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18.xml"/>
  <Override ContentType="application/vnd.openxmlformats-officedocument.spreadsheetml.table+xml" PartName="/xl/tables/table13.xml"/>
  <Override ContentType="application/vnd.openxmlformats-officedocument.spreadsheetml.table+xml" PartName="/xl/tables/table4.xml"/>
  <Override ContentType="application/vnd.openxmlformats-officedocument.spreadsheetml.table+xml" PartName="/xl/tables/table1.xml"/>
  <Override ContentType="application/vnd.openxmlformats-officedocument.spreadsheetml.table+xml" PartName="/xl/tables/table22.xml"/>
  <Override ContentType="application/vnd.openxmlformats-officedocument.spreadsheetml.table+xml" PartName="/xl/tables/table2.xml"/>
  <Override ContentType="application/vnd.openxmlformats-officedocument.spreadsheetml.table+xml" PartName="/xl/tables/table15.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24.xml"/>
  <Override ContentType="application/vnd.openxmlformats-officedocument.spreadsheetml.table+xml" PartName="/xl/tables/table11.xml"/>
  <Override ContentType="application/vnd.openxmlformats-officedocument.spreadsheetml.table+xml" PartName="/xl/tables/table5.xml"/>
  <Override ContentType="application/vnd.openxmlformats-officedocument.spreadsheetml.table+xml" PartName="/xl/tables/table20.xml"/>
  <Override ContentType="application/vnd.openxmlformats-officedocument.spreadsheetml.table+xml" PartName="/xl/tables/table3.xml"/>
  <Override ContentType="application/vnd.openxmlformats-officedocument.spreadsheetml.table+xml" PartName="/xl/tables/table17.xml"/>
  <Override ContentType="application/vnd.openxmlformats-officedocument.spreadsheetml.table+xml" PartName="/xl/tables/table19.xml"/>
  <Override ContentType="application/vnd.openxmlformats-officedocument.spreadsheetml.table+xml" PartName="/xl/tables/table10.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12.xml"/>
  <Override ContentType="application/vnd.openxmlformats-officedocument.spreadsheetml.table+xml" PartName="/xl/tables/table9.xml"/>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statements" sheetId="2" r:id="rId5"/>
    <sheet state="visible" name="flourish_0" sheetId="3" r:id="rId6"/>
    <sheet state="visible" name="flourish_1" sheetId="4" r:id="rId7"/>
    <sheet state="visible" name="data_1" sheetId="5" r:id="rId8"/>
    <sheet state="visible" name="flourish_2" sheetId="6" r:id="rId9"/>
    <sheet state="visible" name="data_2" sheetId="7" r:id="rId10"/>
    <sheet state="visible" name="flourish_3" sheetId="8" r:id="rId11"/>
    <sheet state="visible" name="flourish_4_a" sheetId="9" r:id="rId12"/>
    <sheet state="visible" name="flourish_4_b" sheetId="10" r:id="rId13"/>
    <sheet state="visible" name="flourish_5" sheetId="11" r:id="rId14"/>
    <sheet state="visible" name="flourish_6" sheetId="12" r:id="rId15"/>
    <sheet state="visible" name="data_6" sheetId="13" r:id="rId16"/>
    <sheet state="visible" name="flourish_7" sheetId="14" r:id="rId17"/>
    <sheet state="visible" name="flourish_8" sheetId="15" r:id="rId18"/>
    <sheet state="visible" name="data_8" sheetId="16" r:id="rId19"/>
    <sheet state="visible" name="data_aviation" sheetId="17" r:id="rId20"/>
    <sheet state="visible" name="data_all_emissions" sheetId="18" r:id="rId21"/>
    <sheet state="visible" name="data_ethanol" sheetId="19" r:id="rId22"/>
    <sheet state="visible" name="data_biomethane" sheetId="20" r:id="rId23"/>
    <sheet state="visible" name="data_e_methanol" sheetId="21" r:id="rId24"/>
    <sheet state="visible" name="data_e_kerosene" sheetId="22" r:id="rId25"/>
    <sheet state="visible" name="config" sheetId="23" r:id="rId26"/>
  </sheets>
  <definedNames>
    <definedName name="config_lhv_e_kerosene">config!$B$2</definedName>
    <definedName name="data_co2_capture_latitude">#REF!</definedName>
    <definedName name="data_e_kerosene_label">data_e_kerosene!$A:$A</definedName>
    <definedName name="data_1_sustainable_biogenic_supply_50km_away_from_pipelines">data_1!$F$21</definedName>
    <definedName name="data_co2_storage_longitude">#REF!</definedName>
    <definedName name="data_co2_emissions_latitude">data_all_emissions!$J:$J</definedName>
    <definedName name="data_1_sustainable_biogenic_supply">data_1!$F$20</definedName>
    <definedName name="data_e_methanol_name">data_e_methanol!$C:$C</definedName>
    <definedName name="data_co2_capture_longitude">#REF!</definedName>
    <definedName name="config_lhv_e_methanol">config!$B$3</definedName>
    <definedName name="config_toe_GJ">config!$B$6</definedName>
    <definedName name="data_co2_emissions_label">data_all_emissions!$T:$T</definedName>
    <definedName name="data_e_methanol_latitude">data_e_methanol!$E:$E</definedName>
    <definedName name="data_e_methanol_label">data_e_methanol!$A:$A</definedName>
    <definedName name="data_e_methanol_longitude">data_e_methanol!$F:$F</definedName>
    <definedName name="data_co2_storage_label">#REF!</definedName>
    <definedName name="data_1_sustainable_biogenic_supply_100km_away_from_pipelines">data_1!$F$22</definedName>
    <definedName name="data_e_kerosene_co2">data_e_kerosene!$K:$K</definedName>
    <definedName name="data_e_kerosene_longitude">data_e_kerosene!$I:$I</definedName>
    <definedName name="data_co2_capture_name">#REF!</definedName>
    <definedName name="data_e_kerosene_name">data_e_kerosene!$C:$C</definedName>
    <definedName name="data_6_costs">data_6!$C$29:$F$33</definedName>
    <definedName name="data_co2_emissions_longitude">data_all_emissions!$I:$I</definedName>
    <definedName name="data_co2_emissions_biogenic_volume">data_all_emissions!$R:$R</definedName>
    <definedName name="data_7_costs">#REF!</definedName>
    <definedName name="data_e_kerosene_latitude">data_e_kerosene!$H:$H</definedName>
    <definedName name="data_co2_capture_label">#REF!</definedName>
    <definedName name="data_co2_capture_volume">#REF!</definedName>
    <definedName name="data_co2_storage_volume">#REF!</definedName>
    <definedName name="data_co2_emissions_total_volume">data_all_emissions!$Q:$Q</definedName>
    <definedName name="data_co2_storage_latitude">#REF!</definedName>
    <definedName name="data_e_methanol_co2">data_e_methanol!$I:$I</definedName>
    <definedName name="data_co2_emissions_name">data_all_emissions!$G:$G</definedName>
    <definedName name="data_co2_storage_name">#REF!</definedName>
    <definedName hidden="1" localSheetId="20" name="_xlnm._FilterDatabase">data_e_methanol!$A$1:$I$14</definedName>
    <definedName hidden="1" localSheetId="21" name="_xlnm._FilterDatabase">data_e_kerosene!$A$1:$K$53</definedName>
  </definedNames>
  <calcPr/>
  <pivotCaches>
    <pivotCache cacheId="0" r:id="rId27"/>
  </pivotCaches>
</workbook>
</file>

<file path=xl/sharedStrings.xml><?xml version="1.0" encoding="utf-8"?>
<sst xmlns="http://schemas.openxmlformats.org/spreadsheetml/2006/main" count="28994" uniqueCount="6783">
  <si>
    <t xml:space="preserve"> </t>
  </si>
  <si>
    <t>BRIEFING - November 2025</t>
  </si>
  <si>
    <t>E-fuels’ sustainable carbon challenge</t>
  </si>
  <si>
    <t>How CO2 transport can satisfy Europe's needs for carbon utilisation in e-fuels</t>
  </si>
  <si>
    <t>This document aims to provide the data used for T&amp;E's publication "E-fuels’ sustainable carbon challenge"</t>
  </si>
  <si>
    <t>Tab</t>
  </si>
  <si>
    <t>Description</t>
  </si>
  <si>
    <t>Source</t>
  </si>
  <si>
    <t>Statements in briefing</t>
  </si>
  <si>
    <t>CO2 supply &amp; demand over time</t>
  </si>
  <si>
    <t>T&amp;E</t>
  </si>
  <si>
    <t>CO2 supply &amp; CCU demand in 2030</t>
  </si>
  <si>
    <t>ERM</t>
  </si>
  <si>
    <t>CO2 supply &amp; demand in 2050</t>
  </si>
  <si>
    <t>CO2 Value Europe, Ricardo</t>
  </si>
  <si>
    <t>Map of biogenic CO2 sources and e-fuels plants</t>
  </si>
  <si>
    <t>Map of CCUS infrastructure - Capture and storage</t>
  </si>
  <si>
    <t>ERM, IEA list of storage projects, CATF list of capture projects</t>
  </si>
  <si>
    <t>Map of CCUS infrastructure - Pipelines and shipping</t>
  </si>
  <si>
    <t>CO2 availability if storage is prioritised</t>
  </si>
  <si>
    <t>CO2 transport cost matrix</t>
  </si>
  <si>
    <t>Impact of CO2 transport on e-fuels costs</t>
  </si>
  <si>
    <t>Project SkyPower</t>
  </si>
  <si>
    <t>National breakdown of CO2 availability  - Annex 1</t>
  </si>
  <si>
    <t>Aviation CO2 demand</t>
  </si>
  <si>
    <t xml:space="preserve">List of fossil and biogenic CO2 emissions from ERM. Added the total ethanol and biomethane CO2 availabilities from data_ethanol and data_biomethanol as single entries at the top. </t>
  </si>
  <si>
    <t>List of ethanol-CO2 emitters from ERM</t>
  </si>
  <si>
    <t>Country-overview of biomethane-CO2 emitters from ERM</t>
  </si>
  <si>
    <t>E-methanol projects provided by T&amp;E, enhanced by ERM</t>
  </si>
  <si>
    <t>E-kerosene projects provided by T&amp;E, enhanced by ERM</t>
  </si>
  <si>
    <t>Constants</t>
  </si>
  <si>
    <t>Transport &amp; Environment</t>
  </si>
  <si>
    <t>Published: November 2025</t>
  </si>
  <si>
    <t>Authors: Marion Revest, Geert Decock, Alexander Kunkel</t>
  </si>
  <si>
    <t>Analysis: Alexander Kunkel</t>
  </si>
  <si>
    <t>© 2025 European Federation for Transport and Environment AISBL</t>
  </si>
  <si>
    <t>Further information</t>
  </si>
  <si>
    <t>Alexander Kunkel</t>
  </si>
  <si>
    <t>Senior Data Analyst</t>
  </si>
  <si>
    <t>alexander.kunkel@transportenvironment.org</t>
  </si>
  <si>
    <t>Statement</t>
  </si>
  <si>
    <t>Value</t>
  </si>
  <si>
    <t>Unit</t>
  </si>
  <si>
    <t>Ref</t>
  </si>
  <si>
    <t>Check</t>
  </si>
  <si>
    <t>Note</t>
  </si>
  <si>
    <t>We find 92 Mt of sustainable, accessible, biogenic CO₂ in Europe.</t>
  </si>
  <si>
    <t>Mt CO2</t>
  </si>
  <si>
    <t xml:space="preserve">The conclusion is that 130 Mt CO₂/year of process-related fossil emissions “would potentially allow for generating approximately an additional 36 billion litres of (diesel-equivalent) synthetic fuels in 2050”. While this is a significant volumesounds like an impressive volume, it’s important to highlight that these billions of liters account for only ~15% of road transport fuels. </t>
  </si>
  <si>
    <t>https://www.transportenvironment.org/state-of-european-transport/state-of-transport/energy</t>
  </si>
  <si>
    <t>73.8 Mtoe for petrol in cars, 46.7 Mtoe for diesel in cars, 1.86 Mtoe for petrol in vans, 25 Mtoe for diesel in vans, 68.66 Mtoe for diesel in HDVs - this sums up to 216 Mtoe road fuel demand that we projected for 2025 in 2023.
36 billion liters = 29 Mt = 30 Mtoe</t>
  </si>
  <si>
    <t>Transporting (biogenic) CO₂, even over larger distances, only adds ~5% to the production cost of the e-fuel.</t>
  </si>
  <si>
    <t>For e-kerosene</t>
  </si>
  <si>
    <t>For e-methanol</t>
  </si>
  <si>
    <t>Biogenic/fossil carbon capture and storage only account for ~ 10% of the total e-fuel production cost.</t>
  </si>
  <si>
    <t xml:space="preserve">Lower end is 9% for e-kerosene. </t>
  </si>
  <si>
    <t>T&amp;E estimates to be around 70 Mt per year in 2050 for e-SAF mandated by ReFuel EU.</t>
  </si>
  <si>
    <t>The EU aims to achieve a CO2 storage capacity of at least 50 million tonnes per year by 2030, as outlined in the Net-Zero Industry Act. According to the EU’s impact assessment on the 2040 climate target, the EU would need to increase CO₂ storage capacity to 240 Mt per year by 2040 to meet the 90% emissions reduction target.</t>
  </si>
  <si>
    <t>https://eur-lex.europa.eu/legal-content/EN/TXT/?uri=OJ:L_202401735</t>
  </si>
  <si>
    <t xml:space="preserve">Take -90% emissions reduction scenario S3 that lists injection target in Table 6. </t>
  </si>
  <si>
    <t>https://eur-lex.europa.eu/legal-content/EN/TXT/?uri=CELEX%253A52024DC0062</t>
  </si>
  <si>
    <t>In Europe, there are around 20 (30) Mt of biogenic CO₂ within 50 (100) km of planned pipelines.</t>
  </si>
  <si>
    <t>ERM report</t>
  </si>
  <si>
    <t>Figure 13</t>
  </si>
  <si>
    <t xml:space="preserve">The study finds that current total CO2 emissions (fossil and biogenic) amounted to 828 Mt CO₂/year in 2022, of which 240 Mt CO₂/year of biogenic carbon. </t>
  </si>
  <si>
    <t>e-fuel alliance study</t>
  </si>
  <si>
    <t>Figure 4</t>
  </si>
  <si>
    <t xml:space="preserve"> 2050, there should still be a total amount of 661 Mt CO₂/year in 2050, including significant growth of biogenic carbon emissions, reaching 368 Mt CO₂/year in 2050</t>
  </si>
  <si>
    <t xml:space="preserve"> In contrast, the study commissioned by T&amp;E finds a total accessible biogenic CO₂ volume of 112 Mt of which 33 Mt are located within 100 km of planned CO2 pipelines.</t>
  </si>
  <si>
    <t>he conclusion is that 130 Mt CO₂/year of process-related fossil emissions “would potentially allow for generating approximately an additional 36 billion litres of (diesel-equivalent) synthetic fuels in 2050”. W</t>
  </si>
  <si>
    <t>p.32</t>
  </si>
  <si>
    <t>billion litres</t>
  </si>
  <si>
    <t xml:space="preserve">A single e-kerosene plant with a capacity of 80 kt/year requires around 280 kt/year of CO₂. Equivalently, a single e-methanol plant with a capacity of 200 kt/year also requires around 280 kt/year of CO₂. </t>
  </si>
  <si>
    <t>kt CO2/yr</t>
  </si>
  <si>
    <t>Assume 3.5 kg CO2 / kg e-kerosene which includes synthesis losses and assumes high selectivity (lower bound for MtJ from report)</t>
  </si>
  <si>
    <t>Assume 1.4 kg CO2 / kg e-methanol</t>
  </si>
  <si>
    <t xml:space="preserve">This meets the description of pulp and paper mills with average biogenic emissions of 400 kt/year </t>
  </si>
  <si>
    <t xml:space="preserve">Transport costs could be below €50/t CO₂ for short distances and go up to €70/t CO₂ for larger distances up to 1000 km at a scale of at least 1 Mt CO₂/year. </t>
  </si>
  <si>
    <t>€/t CO2</t>
  </si>
  <si>
    <t>At the same time, the CO₂ volumes required for e-fuels projects (300 kt CO₂/year) could be transported cost-effectively (~€67/t CO₂) with rail over a medium distance of around 300 km, for instance</t>
  </si>
  <si>
    <t>Indeed, out of the annual 92 Mt of accessible, sustainable biogenic CO2, more than 50 Mt are more than 100 km away from planned pipelines corridors (10 Mt from inland Sweden and Finland).</t>
  </si>
  <si>
    <t xml:space="preserve">ERM modelling shows that about 60% of planned e-fuels have as of today sufficient biogenic CO₂ within 100 km perimeter to meet their CO₂ feedstock needs. </t>
  </si>
  <si>
    <t>Figure 14</t>
  </si>
  <si>
    <t>The ERM report finds that around 30 Mt CO₂/year of accessible biogenic CO2 lies within 100 km of existing and planned pipelines</t>
  </si>
  <si>
    <t>Figure 13 - this statement is approximately true whether we only include sustainable CO2 or not</t>
  </si>
  <si>
    <t xml:space="preserve">Two thirds of sustainable, accessible biogenic CO2 located in Sweden, France, Finland and Germany. </t>
  </si>
  <si>
    <t>Producing e-kerosene requires large quantities of green hydrogen and a steady supply of CO₂. For each ton of green hydrogen required, around 8 tonnes of CO₂ are needed.</t>
  </si>
  <si>
    <t>t CO2/t H2</t>
  </si>
  <si>
    <t xml:space="preserve">E-kerosene requires 0.5 t H2 per tonne of product. The ERM report finds 3.3 t CO2 per tonne of product but we have also been using 3.8 tonnes of CO2 based on RWGS losses. Project developers often state slightly higher CO2 needs for FT. Opt for 3.8 t CO2 / t product here.  Scaling by selectivity gives higher requirements for H2 and CO2 for a tonne of e-kerosene. But since we express the results in CO2 per H2, it is independent of the selectivity. </t>
  </si>
  <si>
    <t>Shipping has more e-fuels options available. The main two e-fuels options are e-methanol and e-ammonia. While the latter is carbon-free, e-methanol is a carbon-based fuel, like e-kerosene, requiring around 7 tonnes of CO₂ per tonne of green hydrogen.</t>
  </si>
  <si>
    <t xml:space="preserve">E-methanol requires around 0.2 to H2 per tonne of product and 1.4 t CO2 per tonne of product. </t>
  </si>
  <si>
    <t>Year</t>
  </si>
  <si>
    <t>Demand: CO₂ for e-kerosene according to ReFuel EU</t>
  </si>
  <si>
    <t>Demand: CO₂ for shipping e-fuels if e-ammonia fails to take off</t>
  </si>
  <si>
    <t>Demand: Biogenic storage</t>
  </si>
  <si>
    <t>Demand: Existing (currently met via SMR)</t>
  </si>
  <si>
    <t>Thresholds</t>
  </si>
  <si>
    <t>Supply: Accessible biogenic CO₂ in 2025:: 112</t>
  </si>
  <si>
    <t>Supply: Sustainable &amp; accessible biogenic CO₂ in 2025:: 92</t>
  </si>
  <si>
    <t>Category</t>
  </si>
  <si>
    <t>E-kerosene</t>
  </si>
  <si>
    <t>E-methanol</t>
  </si>
  <si>
    <t>Paper and pulp mills</t>
  </si>
  <si>
    <t>Waste incineration (biogenic fraction)</t>
  </si>
  <si>
    <t>Biogas upgrading</t>
  </si>
  <si>
    <t>Other</t>
  </si>
  <si>
    <t>Total</t>
  </si>
  <si>
    <t>Demand: Announced e-kerosene and e-methanol projects in Europe</t>
  </si>
  <si>
    <t>Supply: Sustainable, accessible biogenic CO₂ in Europe in 2022</t>
  </si>
  <si>
    <t>Figure 13 from ERM report</t>
  </si>
  <si>
    <t>Table 1: Biogenic CO2 in Europe within 50 km and 100 km of planned CO2 pipelines (MtCO2/yr)</t>
  </si>
  <si>
    <t>Biogenic CO2 within 50 km</t>
  </si>
  <si>
    <t>Biogenic CO2 within 100 km</t>
  </si>
  <si>
    <t>All accessible biogenic CO2</t>
  </si>
  <si>
    <t>Cement &amp; lime</t>
  </si>
  <si>
    <t>Ethanol</t>
  </si>
  <si>
    <t>Waste management</t>
  </si>
  <si>
    <t>Biomass Power</t>
  </si>
  <si>
    <t>Pulp &amp; Paper</t>
  </si>
  <si>
    <t>Mean</t>
  </si>
  <si>
    <t>Lower errorbar</t>
  </si>
  <si>
    <t>Upper errorbar</t>
  </si>
  <si>
    <t>Apply sustainability criteria</t>
  </si>
  <si>
    <t>Paper, pulp and primary wood products</t>
  </si>
  <si>
    <t>Supply: Sustainable, accessible, biogenic CO₂ in Europe</t>
  </si>
  <si>
    <t>Supply: Sustainable, accessible, biogenic CO₂ in Europe more than 50 km away from pipelines</t>
  </si>
  <si>
    <t>Supply: Sustainable, accessible, biogenic CO₂ in Europe more than 100 km away from pipelines</t>
  </si>
  <si>
    <t>Demand: CO₂ for shipping e-fuels</t>
  </si>
  <si>
    <t xml:space="preserve">Demand: Existing demands in 2025 (Urea production, carbonated drinks, etc.) </t>
  </si>
  <si>
    <t>Demand: Chemicals + Plastic</t>
  </si>
  <si>
    <t>Demand: Concrete</t>
  </si>
  <si>
    <t>Demand: Non-fossil (biogenic or DAC) storage</t>
  </si>
  <si>
    <t>Scenario 1: Minimum storage &amp; ReFuel EU</t>
  </si>
  <si>
    <t xml:space="preserve">According to the European Scientific Advisory Board on Climate Change, the EU’s climate-neutral scenarios rely on a minimum of carbon removals of 8 Mt CO₂ from BECCS and DACCS in 2030, 46 Mt CO2 in 2040 and 70 Mt CO₂ in 2050.  According to the European Scientific Advisory Board on Climate Change, the EU’s climate-neutral scenarios rely on a minimum of carbon removals of 8 Mt CO₂ from BECCS and DACCS in 2030, 46 Mt CO2 in 2040 and 70 Mt CO₂ in 2050. </t>
  </si>
  <si>
    <t>Scenario 2: Scenario 1 and meet 20% of shipping fuel demand with carbon-based e-fuels</t>
  </si>
  <si>
    <t>Assume 30 Mtoe of shipping fuel demand in 2050.</t>
  </si>
  <si>
    <t>Scenario 3: Scenario 2 and replace existing fossil CO₂ demand with biogenic CO₂</t>
  </si>
  <si>
    <t>In addition, existing CO₂ users like urea producers might also want to switch to biogenic CO₂ sources.</t>
  </si>
  <si>
    <t>Scenario 4: Scenario 3 and biogenic storage from 1.5TECH scenario</t>
  </si>
  <si>
    <t>The EU’s 2040 climate impact assessment finds the need to store 280 Mt of fossil and biogenic CO₂ per year by 2040 and the EU’s 1.5TECH scenario requires 178 Mt biogenic CO₂ sent to permanent geological storage by 2050.</t>
  </si>
  <si>
    <t>Scenario 5: Scenario 4 and CO₂ demand from concrete, chemicals and ceramics</t>
  </si>
  <si>
    <t xml:space="preserve">CO2 Value Europe finds carbon demands for CCU between 5 Mt CO₂ and 305 Mt CO₂ in 2050 with demand coming from fuels, chemicals, concrete, and ceramics. </t>
  </si>
  <si>
    <t>Table 12 from Ricardo study</t>
  </si>
  <si>
    <t>Note that the ReFuel EU CO2 demands assume T&amp;E's roadmap - I use the actual ReFuel EU CO2 demands for 35% e-fuel in 2050</t>
  </si>
  <si>
    <t>Notes</t>
  </si>
  <si>
    <t>CO2 Demand</t>
  </si>
  <si>
    <t>Existing Demands</t>
  </si>
  <si>
    <t>Emerging: T&amp;E Continued growth</t>
  </si>
  <si>
    <t>Emerging: T&amp;E Demand managed</t>
  </si>
  <si>
    <t>Emerging: ReFuelEU Continued growth</t>
  </si>
  <si>
    <t>Total CO2 Demand (low – ReFuelEU Continued growth)</t>
  </si>
  <si>
    <t>Total CO2 Demand (high – T&amp;E Continued growth)</t>
  </si>
  <si>
    <t>CO2 Captured</t>
  </si>
  <si>
    <t>Existing fossil supply</t>
  </si>
  <si>
    <t>Supply from unabated SMR operations in hydrogen production. Declines after 2030 with green/blue hydrogen deployment.</t>
  </si>
  <si>
    <t>Captured biogenic</t>
  </si>
  <si>
    <t>Captured sustainable biogenic</t>
  </si>
  <si>
    <t>Captured fossil/process</t>
  </si>
  <si>
    <t>2050 value from 1.5TECH scenario. Assumed linear trajectory from 2030 onwards.</t>
  </si>
  <si>
    <t>Total sustainable</t>
  </si>
  <si>
    <t>CO2 Stored</t>
  </si>
  <si>
    <t>Biogenic storage</t>
  </si>
  <si>
    <t>2050 value from 1.5TECH. % of captured biogenic CO2 to storage consistent with 2050 (54%).</t>
  </si>
  <si>
    <t>Fossil storage</t>
  </si>
  <si>
    <t>Per 1.5TECH scenario, all fossil CO2 sent to geological storage.</t>
  </si>
  <si>
    <t>DAC storage</t>
  </si>
  <si>
    <t>Assumed zero DAC CO2 stored (1.5TECH scenario).</t>
  </si>
  <si>
    <t>CO2 Supply</t>
  </si>
  <si>
    <t>Utilised biogenic</t>
  </si>
  <si>
    <t>Utilised fossil/process</t>
  </si>
  <si>
    <t>Total CO2 Supply</t>
  </si>
  <si>
    <t>DAC CO2 Required</t>
  </si>
  <si>
    <t>Low (ReFuelEU Continued growth)</t>
  </si>
  <si>
    <t>DAC CO2 balances deficit between supply and demand.</t>
  </si>
  <si>
    <t>High (T&amp;E Continued growth)</t>
  </si>
  <si>
    <t>Current demand for CO2</t>
  </si>
  <si>
    <t>Meaning</t>
  </si>
  <si>
    <t>2015 - global</t>
  </si>
  <si>
    <t>Mt</t>
  </si>
  <si>
    <t>European market share</t>
  </si>
  <si>
    <t>Relative</t>
  </si>
  <si>
    <t>2015 - Europe</t>
  </si>
  <si>
    <t>Annual growth rate assumed in Ricardo report</t>
  </si>
  <si>
    <t>CO2 demand - Europe</t>
  </si>
  <si>
    <t>CO2 Value Europe Study</t>
  </si>
  <si>
    <t xml:space="preserve">They present 4 different scenarios with cool names and combine them into their "Vision" scenario shown in Fig. 8 - the scenario I will rely on </t>
  </si>
  <si>
    <t>Scenario</t>
  </si>
  <si>
    <t>Salamander</t>
  </si>
  <si>
    <t>Phoenix</t>
  </si>
  <si>
    <t>Metropolis</t>
  </si>
  <si>
    <t>Icarus</t>
  </si>
  <si>
    <t>Vision</t>
  </si>
  <si>
    <t>Carbon demand for CCU</t>
  </si>
  <si>
    <t>Digitise Figure 8</t>
  </si>
  <si>
    <t>x</t>
  </si>
  <si>
    <t>y</t>
  </si>
  <si>
    <t>Carbon demand in Mt</t>
  </si>
  <si>
    <t>Sum of CCU for vision scenario  matches table above</t>
  </si>
  <si>
    <t>CCS for storage</t>
  </si>
  <si>
    <t>(C)CUS</t>
  </si>
  <si>
    <t>Building materials</t>
  </si>
  <si>
    <t>Chemicals</t>
  </si>
  <si>
    <t>CCU fuels</t>
  </si>
  <si>
    <t>Process emissions</t>
  </si>
  <si>
    <t>C(CUS)</t>
  </si>
  <si>
    <t>Fossil fuel combustion</t>
  </si>
  <si>
    <t>bio/CCU fuel combustion</t>
  </si>
  <si>
    <t>biogenic from upgrading biogas</t>
  </si>
  <si>
    <t>DAC</t>
  </si>
  <si>
    <t>Project name</t>
  </si>
  <si>
    <t>Latitude</t>
  </si>
  <si>
    <t>Longitude</t>
  </si>
  <si>
    <t>Fate of carbon</t>
  </si>
  <si>
    <t>Capacity in Mt CO₂/yr</t>
  </si>
  <si>
    <t>Greensand Future phase 1</t>
  </si>
  <si>
    <t>Storage</t>
  </si>
  <si>
    <t>Project Greensand phase 2</t>
  </si>
  <si>
    <t>Project Bifrost Phase 1</t>
  </si>
  <si>
    <t>Gassum storage/Fyrkat network (Norne carbon storage hub)</t>
  </si>
  <si>
    <t>Havnso storage/Trelleborg network (Norne carbon storage hub)</t>
  </si>
  <si>
    <t>Project Ruby (Rodby) phase 1</t>
  </si>
  <si>
    <t>Project Ruby (Rodby) phase 2</t>
  </si>
  <si>
    <t>Stenlille project (CO2RYLUS)</t>
  </si>
  <si>
    <t>PYCASSO hub phase 1 - eastern and western pipeline</t>
  </si>
  <si>
    <t>PYCASSO hub phase 2 - northern and cross-border pipeline</t>
  </si>
  <si>
    <t>Coda terminal Phase 1</t>
  </si>
  <si>
    <t>Coda terminal Phase 2</t>
  </si>
  <si>
    <t>Coda terminal phase 3</t>
  </si>
  <si>
    <t>Porthos offshore transport and storage</t>
  </si>
  <si>
    <t>Aramis CCS storage phase 1</t>
  </si>
  <si>
    <t>Aramis CCS storage phase 2</t>
  </si>
  <si>
    <t>L10 CCS</t>
  </si>
  <si>
    <t>Sleipner</t>
  </si>
  <si>
    <t>Snohvit CO2 capture and storage</t>
  </si>
  <si>
    <t>Northern Lights Phase 1</t>
  </si>
  <si>
    <t>Northern Lights Phase 2</t>
  </si>
  <si>
    <t>Altera Stella Maris CCS Project Phase 2</t>
  </si>
  <si>
    <t>STARFISH project (Havstjerne CO2 storage/Altera Stella Maris CCS Project Phase 1)</t>
  </si>
  <si>
    <t>Polaris offshore storage facility</t>
  </si>
  <si>
    <t>Luna storage</t>
  </si>
  <si>
    <t>Equinor Smeaheia storage phase 2</t>
  </si>
  <si>
    <t>Equinor Smeaheia storage phase 1 (start up phase)</t>
  </si>
  <si>
    <t>Trudvang storage project (EXL007)</t>
  </si>
  <si>
    <t>Poseidon CO2 storage</t>
  </si>
  <si>
    <t>Iroko carbon storage</t>
  </si>
  <si>
    <t>Kinno carbon storage</t>
  </si>
  <si>
    <t>Albondigas carbon storage</t>
  </si>
  <si>
    <t>Acorn CCS phase 1-T&amp;S</t>
  </si>
  <si>
    <t>Acorn CCS phase 2</t>
  </si>
  <si>
    <t>Northern Endurance Partnership phase 1</t>
  </si>
  <si>
    <t>Northern Endurance Partnership phase 2</t>
  </si>
  <si>
    <t>Hynet North West (Liverpool Bay CO2 storage) phase 1</t>
  </si>
  <si>
    <t>Hynet North West (Liverpool Bay CO2 storage) phase 2</t>
  </si>
  <si>
    <t>Viking CCS Phase 1</t>
  </si>
  <si>
    <t>Viking CCS Phase 2</t>
  </si>
  <si>
    <t>Northern Endurance Partnership phase 3</t>
  </si>
  <si>
    <t>Viking CCS Phase 3</t>
  </si>
  <si>
    <t>Bacton Thames Net Zero</t>
  </si>
  <si>
    <t>Morecambe Net Zero Cluster</t>
  </si>
  <si>
    <t>UK Poseidon CCS project phase 1</t>
  </si>
  <si>
    <t>UK Poseidon CCS project phase 2</t>
  </si>
  <si>
    <t>UK Poseidon CCS project phase 3</t>
  </si>
  <si>
    <t>Enquest CCS Project</t>
  </si>
  <si>
    <t>Orion CCS Project Phase 1</t>
  </si>
  <si>
    <t>Orion CCS Project Phase 2</t>
  </si>
  <si>
    <t>Project Tellus - CS020 (Area 1)</t>
  </si>
  <si>
    <t>Project Tellus - CS021 (Area 5)</t>
  </si>
  <si>
    <t>Project Tellus - CS022 (Area 7)</t>
  </si>
  <si>
    <t>Sullom voe terminal and Shetland basin hub (SVT)</t>
  </si>
  <si>
    <t>Ravenna</t>
  </si>
  <si>
    <t>ANRAV</t>
  </si>
  <si>
    <t>Prinos</t>
  </si>
  <si>
    <t>Pycasso</t>
  </si>
  <si>
    <t>Capture</t>
  </si>
  <si>
    <t>South Wales Industrial Cluster (SWIC)</t>
  </si>
  <si>
    <t>Eemshaven Port Terminal (NoordKaap)</t>
  </si>
  <si>
    <t>Solent Cluster</t>
  </si>
  <si>
    <t>Kairos@C</t>
  </si>
  <si>
    <t>RWE Eemshaven Power Plant</t>
  </si>
  <si>
    <t>Drax BECCS Plant</t>
  </si>
  <si>
    <t>Carbon Connect Delta</t>
  </si>
  <si>
    <t>Pembroke Power Station CCS</t>
  </si>
  <si>
    <t>Staythorpe Power Station CCS</t>
  </si>
  <si>
    <t>CO2NNECTNOW</t>
  </si>
  <si>
    <t>Carbon Capture Cluster Copenhagen</t>
  </si>
  <si>
    <t>DMX and CO2 Export Dunkirk</t>
  </si>
  <si>
    <t>RWE Amer Power Plant</t>
  </si>
  <si>
    <t>ECO2CEE</t>
  </si>
  <si>
    <t>Peak Cluster</t>
  </si>
  <si>
    <t>Lynemouth Power BECCS</t>
  </si>
  <si>
    <t>Grand Ouest CO2 (GOCO2)</t>
  </si>
  <si>
    <t>Rotterdam Blue Hydrogen</t>
  </si>
  <si>
    <t>PORTHOS</t>
  </si>
  <si>
    <t>VPI Immingham Power CCS</t>
  </si>
  <si>
    <t>Connah's Quay Low Carbon Power</t>
  </si>
  <si>
    <t>Vertex HPP1&amp;2</t>
  </si>
  <si>
    <t>H2GE Rostock</t>
  </si>
  <si>
    <t>OLYMPUS</t>
  </si>
  <si>
    <t>Barents Blue</t>
  </si>
  <si>
    <t>H2 Teesside</t>
  </si>
  <si>
    <t>Stallingborough Power Station CCS</t>
  </si>
  <si>
    <t>H2NorthEast</t>
  </si>
  <si>
    <t>Net Zero Teesside Power</t>
  </si>
  <si>
    <t>Grain CCGT</t>
  </si>
  <si>
    <t>IFESTOS</t>
  </si>
  <si>
    <t>H2morrow </t>
  </si>
  <si>
    <t>Cementa Slite Plant</t>
  </si>
  <si>
    <t>West Burton Energy</t>
  </si>
  <si>
    <t>Humber H2ub</t>
  </si>
  <si>
    <t>CO2 Hub-Nord</t>
  </si>
  <si>
    <t>Sizewell C DAC</t>
  </si>
  <si>
    <t>Keadby Power</t>
  </si>
  <si>
    <t>Peterhead Carbon Capture</t>
  </si>
  <si>
    <t>Enfinium Ferrybridge</t>
  </si>
  <si>
    <t>Marchwood Power Station</t>
  </si>
  <si>
    <t>Riverside CCS</t>
  </si>
  <si>
    <t>BlueHyNow</t>
  </si>
  <si>
    <t>H-Vision</t>
  </si>
  <si>
    <t>CO2LLECT</t>
  </si>
  <si>
    <t>Holcim Höver</t>
  </si>
  <si>
    <t>IRIS</t>
  </si>
  <si>
    <t>Prax Lindsay Oil Refinery</t>
  </si>
  <si>
    <t>Cemex Alcanar</t>
  </si>
  <si>
    <t>Go4ECOPlanet</t>
  </si>
  <si>
    <t>GO4ZERO</t>
  </si>
  <si>
    <t>Normandy Industrial Basin</t>
  </si>
  <si>
    <t>Orlen Plock Refinery</t>
  </si>
  <si>
    <t>Vicat Montalieu Cement Plant</t>
  </si>
  <si>
    <t>Holcim Saint-Pierre-la-Cour CCS</t>
  </si>
  <si>
    <t>AirvaultGOCO₂</t>
  </si>
  <si>
    <t>H2H Saltend</t>
  </si>
  <si>
    <t>Viridor Runcorn Industrial CCS</t>
  </si>
  <si>
    <t xml:space="preserve">Ameli Lime
</t>
  </si>
  <si>
    <t>EET Carbon Capture</t>
  </si>
  <si>
    <t>K6</t>
  </si>
  <si>
    <t>Anthemis</t>
  </si>
  <si>
    <t>Anrav</t>
  </si>
  <si>
    <t>Vlissingen Cryocap FG</t>
  </si>
  <si>
    <t>Yara Sluiskil</t>
  </si>
  <si>
    <t>BECCS @ STHLM</t>
  </si>
  <si>
    <t>Padeswood CCS</t>
  </si>
  <si>
    <t>Whitetail Clean Energy</t>
  </si>
  <si>
    <t>Brocēni cement plant</t>
  </si>
  <si>
    <t>CO₂NTESSA</t>
  </si>
  <si>
    <t>GeZero</t>
  </si>
  <si>
    <t>North London Waste Authority Carbon Capture Project</t>
  </si>
  <si>
    <t>Beli Izvor cement</t>
  </si>
  <si>
    <t>CarboClearTech</t>
  </si>
  <si>
    <t>Geothermal CCS Croatia</t>
  </si>
  <si>
    <t>Borg CO2</t>
  </si>
  <si>
    <t>Deuna Plant</t>
  </si>
  <si>
    <t>CalCC</t>
  </si>
  <si>
    <t>CO2necta</t>
  </si>
  <si>
    <t>Aalborg Portland (ACCSION)</t>
  </si>
  <si>
    <t>EVEREST</t>
  </si>
  <si>
    <t>Preem CCS</t>
  </si>
  <si>
    <t>AEB Amsterdam</t>
  </si>
  <si>
    <t>Acorn Hydrogen</t>
  </si>
  <si>
    <t>Danube Carbon Removals</t>
  </si>
  <si>
    <t>Brevik CCS</t>
  </si>
  <si>
    <t>Protos ERF CCUS</t>
  </si>
  <si>
    <t>KOdeCO net Zero</t>
  </si>
  <si>
    <t>SHARC – Sustainable Hydrogen and Recovery of Carbon</t>
  </si>
  <si>
    <t>Klemetsrud WtE</t>
  </si>
  <si>
    <t>Asnæs Power Station (Ørsted Kalundborg Hub)</t>
  </si>
  <si>
    <t>Sysav - Sydskånes</t>
  </si>
  <si>
    <t>Gärstaverket in Linköping energy-from-waste plant</t>
  </si>
  <si>
    <t>SUEZ Tees Valley EfW</t>
  </si>
  <si>
    <t>Parc Adfer</t>
  </si>
  <si>
    <t>Statkraft Heimdal (Trondheim)</t>
  </si>
  <si>
    <t xml:space="preserve">Buzzi Unicem Augusta Cement Plant
</t>
  </si>
  <si>
    <t>Vattenfall Uppsala</t>
  </si>
  <si>
    <t>St Fergus Gas Terminal</t>
  </si>
  <si>
    <t>Teeside Hydrogen CO2 Capture</t>
  </si>
  <si>
    <t>INNOZHERO</t>
  </si>
  <si>
    <t>H2-Gateway</t>
  </si>
  <si>
    <t>Petrokemija Kutina</t>
  </si>
  <si>
    <t>Växjö Energi CHP</t>
  </si>
  <si>
    <t>CarbonCapture Holla</t>
  </si>
  <si>
    <t>Avedøre Power Station (Ørsted Kalundborg Hub)</t>
  </si>
  <si>
    <t>Hedensbyn CCS</t>
  </si>
  <si>
    <t>KVA Linth</t>
  </si>
  <si>
    <t>AdriatiCO2</t>
  </si>
  <si>
    <t>Leilac-2</t>
  </si>
  <si>
    <t>Removr Commerical Plant2</t>
  </si>
  <si>
    <t>Lyse Energigjenvinning</t>
  </si>
  <si>
    <t>Oak DAC</t>
  </si>
  <si>
    <t>Olea DAC</t>
  </si>
  <si>
    <t>Kvitebjorn Varme Tromso</t>
  </si>
  <si>
    <t>Captureste Ferrara WtE</t>
  </si>
  <si>
    <t>Sisak biorefinery</t>
  </si>
  <si>
    <t>Alkmaar Wte</t>
  </si>
  <si>
    <t>Mammoth</t>
  </si>
  <si>
    <t>KSV Werdhölzli WtE</t>
  </si>
  <si>
    <t>Removr Commerical Plant 1</t>
  </si>
  <si>
    <t>Geometry</t>
  </si>
  <si>
    <t>Name</t>
  </si>
  <si>
    <t>Type</t>
  </si>
  <si>
    <t>Capacity</t>
  </si>
  <si>
    <t>{"type":"LineString","coordinates":[[-2.393106,53.367766],[-2.737662,53.198551],[-3.07248,53.40936]]}</t>
  </si>
  <si>
    <t>Hynet</t>
  </si>
  <si>
    <t>-</t>
  </si>
  <si>
    <t>Pipeline</t>
  </si>
  <si>
    <t>{"type":"LineString","coordinates":[[-0.94026,54.586677],[-0.110254,54.707015],[1.093738,54.15892]]}</t>
  </si>
  <si>
    <t>NEP</t>
  </si>
  <si>
    <t>phase 1</t>
  </si>
  <si>
    <t>{"type":"LineString","coordinates":[[-0.82965,53.694477],[-0.574896,53.512466],[-0.39022,53.70794],[-0.07514,53.62292],[0.352538,53.651703],[1.093738,54.15892]]}</t>
  </si>
  <si>
    <t>NEP 2</t>
  </si>
  <si>
    <t>phase 2</t>
  </si>
  <si>
    <t>{"type":"LineString","coordinates":[[-0.467239,48.175999],[-1.26492,48.100163],[-1.72367,47.575142],[-1.72954,47.572414],[-2.148101,47.313218]]}</t>
  </si>
  <si>
    <t>GO CO2</t>
  </si>
  <si>
    <t>part 1</t>
  </si>
  <si>
    <t>null</t>
  </si>
  <si>
    <t>{"type":"LineString","coordinates":[[-0.13566,46.811406],[-1.72954,47.572414]]}</t>
  </si>
  <si>
    <t>part 2</t>
  </si>
  <si>
    <t>{"type":"LineString","coordinates":[[-0.428724,44.95132],[-0.936303,44.632369],[-1.028566,44.117207],[-0.715584,43.468116],[-0.970565,43.541605],[-1.53,43.5125]]}</t>
  </si>
  <si>
    <t>{"type":"LineString","coordinates":[[0.977365,43.122969],[0.443253,43.178889],[-0.715584,43.468116]]}</t>
  </si>
  <si>
    <t>{"type":"LineString","coordinates":[[1.769943,43.746295],[1.480118,43.361297],[1.239552,43.188709],[0.977365,43.122969]]}</t>
  </si>
  <si>
    <t>ext part 1</t>
  </si>
  <si>
    <t>Extension</t>
  </si>
  <si>
    <t>{"type":"LineString","coordinates":[[2.764357,43.161142],[2.472868,43.216023],[2.067968,43.337378],[1.480118,43.361297]]}</t>
  </si>
  <si>
    <t>Pycasso ext</t>
  </si>
  <si>
    <t>ext part 2</t>
  </si>
  <si>
    <t>{"type":"LineString","coordinates":[[4.901299,46.171014],[4.820898,45.782535],[4.72877,43.527899]]}</t>
  </si>
  <si>
    <t>Callisto</t>
  </si>
  <si>
    <t>{"type":"LineString","coordinates":[[-3.34403,56.02333],[-3.636364,56.004335],[-3.636364,56.261836],[-2.18583,56.92014],[-1.838961,57.523188],[0.233359,57.986422]]}</t>
  </si>
  <si>
    <t>Acorn</t>
  </si>
  <si>
    <t>{"type":"LineString","coordinates":[[8.062135,47.245239],[8.028554,48.043836],[8.277341,48.585938],[8.346402,49.056829],[9.539002,48.700279],[10.166738,48.405762]]}</t>
  </si>
  <si>
    <t>{"type":"LineString","coordinates":[[8.346402,49.056829],[8.492239,49.445759],[8.494908,49.779092],[9.17013,49.955072],[8.816457,50.116328],[8.540825,50.018828],[8.123126,50.220204],[7.822078,50.315459],[7.436363,50.551165],[7.477505,50.750153],[7.2322,50.749244],[6.799098,50.89921],[6.741991,51.422283]]}</t>
  </si>
  <si>
    <t>{"type":"LineString","coordinates":[[13.640816,48.068293],[12.745041,48.12063],[11.921143,48.300543],[11.736932,48.895972],[12.090909,49.054106],[12.11697,49.475216],[11.614535,49.678741],[11.181707,49.60601],[9.980642,49.924444],[7.818317,49.617164],[6.821785,49.147751]]}</t>
  </si>
  <si>
    <t>{"type":"LineString","coordinates":[[12.11697,49.475216],[13.049429,49.850975]]}</t>
  </si>
  <si>
    <t>{"type":"LineString","coordinates":[[6.741991,51.422283],[6.364031,51.357162],[5.700458,50.795557],[5.582617,50.61833],[5.368757,50.557209],[5.350653,50.561577],[4.306987,50.807167],[4.002597,50.675845],[3.553252,50.984283],[3.242233,51.194273]]}</t>
  </si>
  <si>
    <t>{"type":"LineString","coordinates":[[5.350653,50.561577],[4.512049,50.269013],[4.229724,50.495655],[4.002597,50.675845]]}</t>
  </si>
  <si>
    <t>{"type":"LineString","coordinates":[[3.895917,50.325301],[4.229724,50.495655]]}</t>
  </si>
  <si>
    <t>{"type":"LineString","coordinates":[[3.242233,51.194273],[3.187901,53.016889],[3.287359,53.689327],[3.34204,54.453739],[4.185951,55.086941],[4.409331,57.052002]]}</t>
  </si>
  <si>
    <t>{"type":"LineString","coordinates":[[1.925261,50.441966],[2.205195,50.856039],[1.605642,50.790025]]}</t>
  </si>
  <si>
    <t>{"type":"LineString","coordinates":[[2.205195,50.856039],[3.025949,52.264869],[3.20615,52.436458]]}</t>
  </si>
  <si>
    <t>{"type":"LineString","coordinates":[[2.205195,50.856039],[2.958568,50.939705],[3.553252,50.984283],[4.990281,51.593949]]}</t>
  </si>
  <si>
    <t>{"type":"LineString","coordinates":[[6.364031,51.357162],[6.047801,51.405466],[5.046392,51.608286],[4.410552,51.685133],[4.141856,52.005601],[4.128793,52.852707],[3.470951,53.225286],[3.218468,53.225543]]}</t>
  </si>
  <si>
    <t>{"type":"LineString","coordinates":[[6.741991,51.422283],[7.479123,51.398595],[7.366547,53.302802],[7.148052,53.378744],[6.485458,54.927255],[4.185951,55.086941]]}</t>
  </si>
  <si>
    <t>{"type":"LineString","coordinates":[[7.366547,53.302802],[8.24625,53.4018],[8.071461,53.771422],[4.409331,57.052002]]}</t>
  </si>
  <si>
    <t>{"type":"LineString","coordinates":[[8.23444,53.40055],[8.496104,53.018357],[9.031795,53.087375],[9.704895,52.548036],[10.126923,52.358831],[10.605805,52.335557],[11.440183,52.274425],[11.950399,51.398462],[13.504733,51.466061],[13.822559,51.579045],[14.353576,51.535497],[14.258113,52.097953],[14.417754,52.366399],[14.286226,52.500636],[13.824221,52.726658],[13.663636,52.477778],[13.438961,52.477778]]}</t>
  </si>
  <si>
    <t>{"type":"LineString","coordinates":[[11.950399,51.398462],[12.356099,51.191425]]}</t>
  </si>
  <si>
    <t>{"type":"LineString","coordinates":[[13.504733,51.466061],[13.251549,50.307578]]}</t>
  </si>
  <si>
    <t>{"type":"LineString","coordinates":[[13.431537,51.131073],[13.787488,51.117565]]}</t>
  </si>
  <si>
    <t>{"type":"LineString","coordinates":[[10.605805,52.335557],[10.742857,51.937198]]}</t>
  </si>
  <si>
    <t>{"type":"LineString","coordinates":[[10.126923,52.358831],[9.957916,52.024312]]}</t>
  </si>
  <si>
    <t>{"type":"LineString","coordinates":[[9.031795,53.087375],[9.471083,53.366405],[9.806555,53.456648],[9.653845,53.795564]]}</t>
  </si>
  <si>
    <t>{"type":"LineString","coordinates":[[9.806555,53.456648],[10.327767,53.494055],[9.653845,53.795564],[9.653845,53.795564]]}</t>
  </si>
  <si>
    <t>{"type":"LineString","coordinates":[[9.653845,53.795564],[9.618086,53.942303],[9.365138,54.643389],[9.24732,55.263631],[9.489921,56.146376],[10.155639,56.71917],[10.15694,56.72027]]}</t>
  </si>
  <si>
    <t>{"type":"LineString","coordinates":[[9.24732,55.263631],[9.252492,55.265068],[10.070301,55.435789],[10.704112,55.550279],[10.903341,55.308155],[11.463333,55.517494],[12.056143,55.577557],[12.587547,55.712432]]}</t>
  </si>
  <si>
    <t>{"type":"LineString","coordinates":[[4.409331,57.052002],[4.178846,57.844372],[4.027532,59.100705],[3.969733,59.872067],[3.871204,60.3088]]}</t>
  </si>
  <si>
    <t>{"type":"LineString","coordinates":[[12.193978,44.39438],[11.750042,44.402802],[11.564374,44.901575],[11.794865,45.24356],[12.002624,45.389809],[12.309633,45.448752]]}</t>
  </si>
  <si>
    <t>{"type":"LineString","coordinates":[[10.936996,45.117754],[11.564374,44.901575]]}</t>
  </si>
  <si>
    <t>{"type":"LineString","coordinates":[[10.936996,45.117754],[10.175709,45.30435],[9.936492,45.095829],[9.550818,45.134012],[9.487149,45.068512],[9.282456,45.295534],[9.069581,45.359071],[8.908885,45.828293]]}</t>
  </si>
  <si>
    <t>Ravenna ext</t>
  </si>
  <si>
    <t>{"type":"LineString","coordinates":[[8.87447,44.978951],[9.487149,45.068512]]}</t>
  </si>
  <si>
    <t>{"type":"LineString","coordinates":[[9.487149,45.068512],[9.588844,44.9581],[9.762994,44.899944],[9.85535,44.541377]]}</t>
  </si>
  <si>
    <t>{"type":"LineString","coordinates":[[10.175709,45.30435],[10.20406,45.499882],[9.843154,45.65641]]}</t>
  </si>
  <si>
    <t>{"type":"LineString","coordinates":[[22.654109,38.723177],[22.90842,38.563281],[23.195804,38.490784],[23.644919,38.228424],[23.95102,38.29092]]}</t>
  </si>
  <si>
    <t>{"type":"LineString","coordinates":[[18.06811,45.4697],[18.367178,45.75819]]}</t>
  </si>
  <si>
    <t>{"type":"LineString","coordinates":[[27.430663,43.275603],[27.911388,43.065172]]}</t>
  </si>
  <si>
    <t>{"type":"LineString","coordinates":[[2.898262,48.640516],[1.144235,49.443565],[0.104421,49.493598]]}</t>
  </si>
  <si>
    <t>{"type":"LineString","coordinates":[[1.144235,49.443565],[2.307128,49.901671],[2.39086,50.835072]]}</t>
  </si>
  <si>
    <t>{"type":"LineString","coordinates":[[5.700458,50.795557],[4.40496,51.24529]]}</t>
  </si>
  <si>
    <t>{"type":"LineString","coordinates":[[18.65908,54.3095],[18.694381,52.815489],[19.581094,52.56417]]}</t>
  </si>
  <si>
    <t>{"type":"LineString","coordinates":[[17.934102,52.796486],[18.694381,52.815489]]}</t>
  </si>
  <si>
    <t>{"type":"LineString","coordinates":[[22.600773,56.68235],[21.117442,55.699774]]}</t>
  </si>
  <si>
    <t>{"type":"LineString","coordinates":[[4.41644,50.765061],[4.777675,51.120888]]}</t>
  </si>
  <si>
    <t>{"type":"LineString","coordinates":[[7.46506,51.611198],[7.744793,51.680056],[8.094311,51.866558],[8.513588,51.576692]]}</t>
  </si>
  <si>
    <t>{"type":"LineString","coordinates":[[6.799098,50.89921],[5.688366,50.76083]]}</t>
  </si>
  <si>
    <t>{"type":"LineString","coordinates":[[10.155639,56.71917],[10.04261,57.072557]]}</t>
  </si>
  <si>
    <t>{"type":"LineString","coordinates":[[4.977794,60.524319],[4.099792,60.530415],[3.444388,60.540991]]}</t>
  </si>
  <si>
    <t>{"type":"LineString","coordinates":[[3.871204,60.3088],[4.099792,60.530415]]}</t>
  </si>
  <si>
    <t>{"type":"LineString","coordinates":[[-0.37022,53.632865],[-0.139763,53.450755],[0.133795,53.375108],[1.369605,53.469724]]}</t>
  </si>
  <si>
    <t>Viking</t>
  </si>
  <si>
    <t>{"type":"LineString","coordinates":[[1.093738,54.15892],[1.429233,54.192627],[1.461064,54.037869]]}</t>
  </si>
  <si>
    <t>{"type":"LineString","coordinates":[[1.429233,54.192627],[1.649153,54.24456],[1.626156,54.358251]]}</t>
  </si>
  <si>
    <t>{"type":"LineString","coordinates":[[14.12122,44.96732],[14.075102,44.726185],[13.816774,44.652703],[12.709796,44.657961],[12.2375,44.4333]]}</t>
  </si>
  <si>
    <t>Shipping</t>
  </si>
  <si>
    <t>{"type":"LineString","coordinates":[[12.2375,44.4333],[12.565024,44.328773],[15.204902,42.77303],[17.219479,41.429559],[18.165906,40.715684],[18.709986,40.086873],[18.637233,39.925556],[18.39392,39.423704],[18.135945,38.971851],[18.073555,38.562298],[17.887976,37.935553],[17.614884,37.364756],[17.323172,37.031888],[16.939297,36.7149],[16.398626,36.486392],[15.810647,36.366587],[15.160184,36.345469],[14.549878,36.377173],[14.069037,36.577094],[13.847273,36.704929],[13.230968,36.935384],[12.507003,37.312461],[12.16255,37.567385],[11.803101,37.811369],[11.67144,37.93198],[11.567945,38.229176],[11.46528,38.604866],[11.362709,39.039287],[11.284489,39.502545],[11.155727,40.025057],[11.023186,40.439104],[10.950781,40.704959],[10.903307,40.960645],[10.635701,41.149198],[10.353128,41.258547],[10.121177,41.337595],[9.656166,41.376321],[9.259533,41.32265],[8.975093,41.349565],[8.554463,41.525867],[8.233318,41.658055],[7.81047,41.865521],[6.79704,42.304292],[6.236113,42.55961],[5.813124,42.665628],[5.532357,42.795906],[5.235923,42.939421],[4.991908,43.153383],[4.742442,43.524482]]}</t>
  </si>
  <si>
    <t>{"type":"LineString","coordinates":[[15.1973,37.167],[16.036774,37.046584],[16.980083,36.882464],[18.219038,36.683121],[19.729734,36.379426],[20.530951,36.232686],[21.371866,36.044067],[22.22215,35.856114],[22.891103,35.81499],[23.278005,35.897447],[23.522656,36.213246],[23.877904,36.719215],[24.367931,37.411933],[24.528084,37.652628],[24.683848,37.932685],[24.776619,38.247266],[24.807118,38.666226],[24.835852,39.045489],[24.834583,39.374507],[24.769033,39.618685],[24.679363,39.871359],[24.600142,40.087412],[24.468896,40.360805],[24.390151,40.526658],[24.533376,40.718207]]}</t>
  </si>
  <si>
    <t>{"type":"LineString","coordinates":[[23.307173,37.862678],[23.67766,37.784862],[23.848529,37.615508],[24.166998,37.413612],[24.313129,37.334112]]}</t>
  </si>
  <si>
    <t>{"type":"LineString","coordinates":[[24.080577,38.166002],[24.219796,37.896506],[24.493488,37.847403],[24.654668,37.884827]]}</t>
  </si>
  <si>
    <t>{"type":"LineString","coordinates":[[-5.67748,43.561143],[-5.137055,43.764568],[-4.568306,43.852404],[-3.899346,43.871221],[-3.298934,43.856941],[-2.739168,43.804444],[-2.249646,43.720827],[-1.76832,43.634066],[-1.53,43.5125]]}</t>
  </si>
  <si>
    <t>{"type":"LineString","coordinates":[[-1.76832,43.634066],[-2.001167,43.86893],[-2.196437,44.364926],[-2.326923,44.957431],[-2.382607,45.267149],[-2.463532,45.682595],[-2.555334,46.106624],[-2.591046,46.468107],[-2.617226,46.726931],[-2.553479,46.971608],[-2.409396,47.15631],[-2.148101,47.313218]]}</t>
  </si>
  <si>
    <t>{"type":"LineString","coordinates":[[-2.409396,47.15631],[-2.591903,47.189452],[-2.765074,47.154221],[-3.079621,47.160918],[-3.358592,47.141447],[-3.721164,47.244276],[-4.085123,47.42514],[-4.439537,47.561698],[-4.747568,47.708602],[-5.077421,47.846832],[-5.42534,48.036367],[-5.678354,48.223882],[-5.664963,48.489324],[-5.550426,48.674659],[-5.331741,48.844509],[-4.946912,49.046275],[-4.330543,49.246732],[-3.757787,49.452738],[-3.293862,49.568283],[-2.924714,49.70047],[-2.551115,49.821875],[-2.104674,49.964514],[-1.508633,50.007106],[-0.877187,49.862807],[-0.475641,49.703978],[-0.18738,49.528786],[0.104421,49.493598]]}</t>
  </si>
  <si>
    <t>{"type":"LineString","coordinates":[[-0.18738,49.528786],[-0.041118,49.699304],[0.20052,49.89261],[0.537435,50.039206],[0.756507,50.248794],[0.99943,50.503885],[1.157465,50.687979],[1.363996,50.909761],[1.737918,51.079369],[2.115939,51.19397],[2.461595,51.324733],[2.875342,51.483027],[3.204834,51.747418],[3.700043,51.680609],[4.141856,52.005601]]}</t>
  </si>
  <si>
    <t>{"type":"LineString","coordinates":[[4.141856,52.005601],[3.91701,52.549483],[3.902361,52.886195],[4.045996,53.372635]]}</t>
  </si>
  <si>
    <t>Northern Lights</t>
  </si>
  <si>
    <t>{"type":"LineString","coordinates":[[3.700043,51.680609],[3.455692,51.97699],[3.555296,52.496204],[3.71336,52.90578],[3.87271,53.153679],[4.045996,53.372635]]}</t>
  </si>
  <si>
    <t>{"type":"LineString","coordinates":[[4.045996,53.372635],[4.77922,53.396689],[5.423595,53.430365],[5.980805,53.406073],[6.494395,53.438707],[7.092638,53.513024],[7.11964,53.516303]]}</t>
  </si>
  <si>
    <t>{"type":"LineString","coordinates":[[7.092638,53.513024],[6.86155,53.612387],[6.827898,53.788408],[7.090077,53.899831],[7.467032,53.949669],[7.87672,53.794867],[8.071461,53.771422]]}</t>
  </si>
  <si>
    <t>{"type":"LineString","coordinates":[[8.071461,53.771422],[8.369976,53.901588],[8.815064,53.926203],[9.682634,53.873007]]}</t>
  </si>
  <si>
    <t>{"type":"LineString","coordinates":[[8.369976,53.901588],[8.064437,54.082479],[7.783532,54.219193],[7.112351,54.537087],[6.633166,54.959379],[6.167696,55.487913],[5.665761,56.306947]]}</t>
  </si>
  <si>
    <t>{"type":"LineString","coordinates":[[4.045996,53.372635],[4.221857,53.766181],[4.609115,54.223778],[4.917231,54.569144],[5.133759,54.870958],[5.406943,55.301388],[5.527417,55.7551],[5.665761,56.306947]]}</t>
  </si>
  <si>
    <t>{"type":"LineString","coordinates":[[4.273559,56.34716],[5.133603,56.209755],[5.665761,56.306947]]}</t>
  </si>
  <si>
    <t>{"type":"LineString","coordinates":[[5.665761,56.306947],[6.205735,56.079832],[6.800645,55.94962],[7.704504,55.793394],[8.323951,55.666467]]}</t>
  </si>
  <si>
    <t>{"type":"LineString","coordinates":[[5.665761,56.306947],[5.596707,56.758936],[5.504152,57.390991],[5.365547,57.850525],[5.202123,58.328772],[5.002514,58.830181],[4.738411,59.338938],[4.564885,59.714038],[4.37922,60.078847],[4.425297,60.271675],[4.977794,60.524319]]}</t>
  </si>
  <si>
    <t>{"type":"LineString","coordinates":[[4.977794,60.524319],[4.530691,60.616164],[4.020597,60.830971],[3.804124,61.076749],[3.729801,61.304038],[3.710243,61.558253],[3.721377,61.759864],[3.80635,61.954789],[4.105513,62.177902],[4.544335,62.405441],[5.115917,62.699596],[5.989107,63.053447],[6.672003,63.353871],[7.310184,63.576854],[7.667717,63.72952],[7.918532,63.889751],[8.1771,63.97131],[8.827278,63.967701],[9.392956,63.779995],[9.810802,63.627143],[10.197921,63.542281],[10.656423,63.554755],[10.905447,63.684475],[11.265798,63.7744]]}</t>
  </si>
  <si>
    <t>{"type":"LineString","coordinates":[[9.392956,63.779995],[9.364741,64.068695],[9.481877,64.313928],[9.859774,64.539968],[10.300116,64.735661],[10.496598,64.96542],[10.777353,65.209319],[11.185352,65.324503],[11.845793,65.342926],[12.583344,65.358466],[12.780284,65.459621],[12.197439,65.473863],[11.520831,65.532543],[11.212952,65.682168],[11.299512,66.014984],[11.617278,66.164302],[12.065324,66.394973],[12.619155,66.510094],[13.335216,66.556342],[13.883796,66.545002]]}</t>
  </si>
  <si>
    <t>{"type":"LineString","coordinates":[[5.279826,58.089506],[5.654584,57.804048],[6.155379,57.555641],[6.784568,57.303844],[7.248916,57.231367],[8.002224,57.249827],[8.563277,57.374229],[9.143966,57.589038],[9.531208,57.776352],[9.729429,58.064749],[9.77282,58.464934],[9.705367,58.767361],[9.703461,58.998236],[9.836492,58.74806],[10.00485,58.562719],[10.256778,58.655195],[10.426473,58.801175],[10.503782,58.966849],[10.469574,59.247789],[10.483735,59.514472],[10.717784,59.738105],[10.674083,59.315741],[10.691835,58.956269],[10.657962,58.653848],[10.866369,58.398918],[11.3838,58.318183],[11.199328,58.103584],[11.192454,57.893827],[11.403084,57.667332],[11.673634,57.625167],[11.909516,57.686835]]}</t>
  </si>
  <si>
    <t>{"type":"LineString","coordinates":[[11.909516,57.686835],[11.653463,57.376574],[11.470436,57.076256],[11.363696,56.843252],[11.16044,56.586695],[11.077352,56.455719],[11.052463,56.187673],[10.913046,55.827848],[10.875499,55.742743]]}</t>
  </si>
  <si>
    <t>{"type":"LineString","coordinates":[[10.239757,56.992825],[10.661845,56.83894],[11.001643,56.588017],[11.077352,56.455719],[11.537644,56.309611],[12.067367,56.219273],[12.486095,56.099026],[12.614156,55.897043],[12.615073,55.694982],[12.54051,55.156934],[12.713832,55.075249],[12.922439,55.021771],[13.36578,54.942325],[13.870969,54.996068],[14.371072,55.145666],[14.875269,55.36652],[15.659812,55.514669],[16.563994,55.76952],[17.024375,55.86734],[17.714635,55.832278],[18.730065,55.810739],[19.8791,55.760855],[20.640928,55.733565],[21.117442,55.699774]]}</t>
  </si>
  <si>
    <t>{"type":"LineString","coordinates":[[18.65908,54.3095],[18.835297,54.603095],[18.943423,54.828711],[18.425206,55.119958],[17.727484,55.409983],[17.18808,55.66718],[17.024375,55.86734]]}</t>
  </si>
  <si>
    <t>{"type":"LineString","coordinates":[[18.65908,54.3095],[19.086457,54.592482],[19.641643,54.933749],[20.20989,55.21802],[20.693685,55.477968],[21.121016,55.702227]]}</t>
  </si>
  <si>
    <t>{"type":"LineString","coordinates":[[17.024375,55.86734],[17.104072,56.210671],[17.158461,56.599546],[17.23486,56.908877],[17.375831,57.263656],[17.569889,57.595822],[17.868432,57.88255],[18.169677,58.158906],[18.54479,58.41056],[18.868902,58.586203],[19.160717,58.842138],[19.296659,59.069046],[19.193622,59.184221],[18.810802,59.289252],[18.008962,59.408515]]}</t>
  </si>
  <si>
    <t>{"type":"LineString","coordinates":[[18.06544,59.397162],[18.942393,59.393622],[20.001713,59.462652],[21.304085,59.480512],[22.43083,59.640853],[23.522724,59.776463],[24.859691,59.987877],[25.5211,60.30049]]}</t>
  </si>
  <si>
    <t>CO₂ in Mt</t>
  </si>
  <si>
    <t>Sustainable, accessible biogenic CO₂ in Europe in 2022</t>
  </si>
  <si>
    <t>Send CO₂ within 50 km of planned pipelines to storage</t>
  </si>
  <si>
    <t>Send CO₂ within 100 km of planned pipelines to storage</t>
  </si>
  <si>
    <t>Distance - Flow rate</t>
  </si>
  <si>
    <t>30 kt CO₂/yr</t>
  </si>
  <si>
    <t>100 kt CO₂/yr</t>
  </si>
  <si>
    <t>300 kt CO₂/yr</t>
  </si>
  <si>
    <t>1000 kt CO₂/yr</t>
  </si>
  <si>
    <t>10 km</t>
  </si>
  <si>
    <t>30 km</t>
  </si>
  <si>
    <t>100 km</t>
  </si>
  <si>
    <t>300 km</t>
  </si>
  <si>
    <t>1000 km</t>
  </si>
  <si>
    <t>Transport mode</t>
  </si>
  <si>
    <t>Distance (km)</t>
  </si>
  <si>
    <t>Pipeline (Gas)</t>
  </si>
  <si>
    <t>Pipeline (Liquid)</t>
  </si>
  <si>
    <t>Rail</t>
  </si>
  <si>
    <t>Ship</t>
  </si>
  <si>
    <t>Truck</t>
  </si>
  <si>
    <t>Filter for cheapest option</t>
  </si>
  <si>
    <t>Cheapest</t>
  </si>
  <si>
    <t>Cost [€/toe]</t>
  </si>
  <si>
    <t>Green hydrogen</t>
  </si>
  <si>
    <t>Synthesis</t>
  </si>
  <si>
    <t>CO₂ capture</t>
  </si>
  <si>
    <t>CO₂ transport</t>
  </si>
  <si>
    <t>Tonnes of CO2 per toe of fuel</t>
  </si>
  <si>
    <t>Capture cost per tonne [€/t CO2]</t>
  </si>
  <si>
    <t>Transport cost per tonne [€/t CO2]</t>
  </si>
  <si>
    <t>Cost share of capture + transport in total cost</t>
  </si>
  <si>
    <t>Cost share of transport in total cost</t>
  </si>
  <si>
    <t>Cost share of capture in total cost</t>
  </si>
  <si>
    <t>e-kerosene</t>
  </si>
  <si>
    <t>Pulp-and-paper mill connected via rail (300 km)</t>
  </si>
  <si>
    <t>e-methanol</t>
  </si>
  <si>
    <t>DAC (co-located)</t>
  </si>
  <si>
    <t>Country</t>
  </si>
  <si>
    <t>Refining</t>
  </si>
  <si>
    <t>Mining</t>
  </si>
  <si>
    <t>Iron, steel, and other metals</t>
  </si>
  <si>
    <t>Glass</t>
  </si>
  <si>
    <t>Fuel manufacture</t>
  </si>
  <si>
    <t>Food and drinks</t>
  </si>
  <si>
    <t>Agriculture</t>
  </si>
  <si>
    <t>Sweden</t>
  </si>
  <si>
    <t>Finland</t>
  </si>
  <si>
    <t>France</t>
  </si>
  <si>
    <t>Germany</t>
  </si>
  <si>
    <t>Portugal</t>
  </si>
  <si>
    <t>Italy</t>
  </si>
  <si>
    <t>Austria</t>
  </si>
  <si>
    <t>Spain</t>
  </si>
  <si>
    <t>Belgium</t>
  </si>
  <si>
    <t>United Kingdom</t>
  </si>
  <si>
    <t>Switzerland</t>
  </si>
  <si>
    <t>Czechia</t>
  </si>
  <si>
    <t>Poland</t>
  </si>
  <si>
    <t>Norway</t>
  </si>
  <si>
    <t>Denmark</t>
  </si>
  <si>
    <t>Hungary</t>
  </si>
  <si>
    <t>Netherlands</t>
  </si>
  <si>
    <t>Lithuania</t>
  </si>
  <si>
    <t>Greece</t>
  </si>
  <si>
    <t>Estonia</t>
  </si>
  <si>
    <t>Slovakia</t>
  </si>
  <si>
    <t>Luxembourg</t>
  </si>
  <si>
    <t>Romania</t>
  </si>
  <si>
    <t>Slovenia</t>
  </si>
  <si>
    <t>Cyprus</t>
  </si>
  <si>
    <t>Croatia</t>
  </si>
  <si>
    <t>Latvia</t>
  </si>
  <si>
    <t>Bulgaria</t>
  </si>
  <si>
    <t>Iceland</t>
  </si>
  <si>
    <t>Ireland</t>
  </si>
  <si>
    <t>Malta</t>
  </si>
  <si>
    <t>Sustainable, accessible CO2 by country</t>
  </si>
  <si>
    <t>SUM of Accessible biogenic (MtCO2/yr)</t>
  </si>
  <si>
    <t>Preferred Labelling of sector</t>
  </si>
  <si>
    <t>Grand Total</t>
  </si>
  <si>
    <t>All biogenic CO2 in table</t>
  </si>
  <si>
    <t>Without Unknown Power</t>
  </si>
  <si>
    <t>Accessible without unknown</t>
  </si>
  <si>
    <t>Sustainable, accessible</t>
  </si>
  <si>
    <t>SUM of Biogenic emissions (MtCO2/year)</t>
  </si>
  <si>
    <t>Fossil Power or Unknown Power</t>
  </si>
  <si>
    <t>Bioethanol</t>
  </si>
  <si>
    <t>The main difference with ERM is some biomass power plants</t>
  </si>
  <si>
    <t>Accessible within 50 km of pipelines</t>
  </si>
  <si>
    <t>Accessible within  100 km of pipelines</t>
  </si>
  <si>
    <t>Sustainable, Accessible within 50 km of pipelines</t>
  </si>
  <si>
    <t>Sustainable, accessible within  100 km of pipelines</t>
  </si>
  <si>
    <t>Untapped sustainable, accessible CO2 by country outside of reach of planned pipelines</t>
  </si>
  <si>
    <t xml:space="preserve">Report identified untapped potential but including bioethanol and biomass power. What are these numbers exluding bioethanol and biomass power? </t>
  </si>
  <si>
    <t>Sweden - accessible, untapped</t>
  </si>
  <si>
    <t>Sweden - accessible, sustainable untapped</t>
  </si>
  <si>
    <t>Finland - accessible, untapped</t>
  </si>
  <si>
    <t>Finland - accessible, sustainable, untapped</t>
  </si>
  <si>
    <t>Central Europe - accessible, untapped</t>
  </si>
  <si>
    <t>Central Europe - accessible, sustainable, untapped</t>
  </si>
  <si>
    <t xml:space="preserve">These numbers match what the consultants found but I had to take relatively generous bounding boxes to get there. </t>
  </si>
  <si>
    <t>When did the reporting happen?</t>
  </si>
  <si>
    <t xml:space="preserve">Most of the emissions were reported in 2022. </t>
  </si>
  <si>
    <t>reportingYear</t>
  </si>
  <si>
    <t>Aviation, based on ReFuelEU targets</t>
  </si>
  <si>
    <t>PJ</t>
  </si>
  <si>
    <t>e-kerosene (no demand management)</t>
  </si>
  <si>
    <t>e-kerosene (demand management)</t>
  </si>
  <si>
    <t>MtCO2</t>
  </si>
  <si>
    <t>EPRTRSectorCode</t>
  </si>
  <si>
    <t>eprtrSectorName</t>
  </si>
  <si>
    <t>EPRTRAnnexIMainActivityCode</t>
  </si>
  <si>
    <t>EPRTRAnnexIMainActivityLabel</t>
  </si>
  <si>
    <t>FacilityInspireID</t>
  </si>
  <si>
    <t>Facility Name</t>
  </si>
  <si>
    <t>facilityNameConfidentialityReason</t>
  </si>
  <si>
    <t>City</t>
  </si>
  <si>
    <t>pollutant</t>
  </si>
  <si>
    <t>Sector</t>
  </si>
  <si>
    <t>Subsector</t>
  </si>
  <si>
    <t>Industry</t>
  </si>
  <si>
    <t>Total Emissions (MtCO2/year)</t>
  </si>
  <si>
    <t>Biogenic emissions (MtCO2/year)</t>
  </si>
  <si>
    <t>Fossil Emissions (MtCO2/year)</t>
  </si>
  <si>
    <t>Capture category</t>
  </si>
  <si>
    <t>Feasible capture</t>
  </si>
  <si>
    <t>Capture rate</t>
  </si>
  <si>
    <t>Accessible biogenic (MtCO2/yr)</t>
  </si>
  <si>
    <t>nearest_planned_dist_km</t>
  </si>
  <si>
    <t>within_50km_planned</t>
  </si>
  <si>
    <t>within_100km_planned</t>
  </si>
  <si>
    <t>inf</t>
  </si>
  <si>
    <t>N/A</t>
  </si>
  <si>
    <t>Energy sector</t>
  </si>
  <si>
    <t>1(c)</t>
  </si>
  <si>
    <t>Thermal power stations and other combustion installations</t>
  </si>
  <si>
    <t>UK.CAED/EW_EA-67.FACILITY</t>
  </si>
  <si>
    <t>Drax Power Station EPR/VP3530LS</t>
  </si>
  <si>
    <t>SELBY</t>
  </si>
  <si>
    <t>Carbon dioxide (CO2)</t>
  </si>
  <si>
    <t>Power generation</t>
  </si>
  <si>
    <t>Thermal power generation</t>
  </si>
  <si>
    <t>Other sectors</t>
  </si>
  <si>
    <t>Waste and wastewater management</t>
  </si>
  <si>
    <t>5(b)</t>
  </si>
  <si>
    <t>Installations for the incineration of non-hazardous waste in the scope of Directive 2000/76/EC of the European Parliament and of the Council of 4 December 2000 on the incineration of waste</t>
  </si>
  <si>
    <t>FR.CAED/7002.FACILITY</t>
  </si>
  <si>
    <t>SAVED</t>
  </si>
  <si>
    <t>NOYANT</t>
  </si>
  <si>
    <t>Waste inceneration</t>
  </si>
  <si>
    <t>Paper and wood production and processing</t>
  </si>
  <si>
    <t>6(a)</t>
  </si>
  <si>
    <t>Industrial plants for the production of pulp from timber or similar fibrous materials</t>
  </si>
  <si>
    <t>http://paikkatiedot.fi/so/1002031/pf/ProductionFacility/0100252736.ProductionFacility</t>
  </si>
  <si>
    <t>Metsä Fibre Oy, Äänekosken biotuotetehdas</t>
  </si>
  <si>
    <t>Äänekoski</t>
  </si>
  <si>
    <t>Pulp</t>
  </si>
  <si>
    <t>PL.MŚ/000000349.FACILITY</t>
  </si>
  <si>
    <t>PGE Górnictwo i Energetyka Konwencjonalna S.A. - Oddział Elektrownia Bełchatów</t>
  </si>
  <si>
    <t>Rogowiec</t>
  </si>
  <si>
    <t>http://paikkatiedot.fi/so/1002031/pf/ProductionFacility/0000001254.ProductionFacility</t>
  </si>
  <si>
    <t>Stora Enso Oyj, Imatran tehtaat</t>
  </si>
  <si>
    <t>Imatra</t>
  </si>
  <si>
    <t>SE.CAED/10022299.Facility</t>
  </si>
  <si>
    <t>SCA Östrands massafabrik</t>
  </si>
  <si>
    <t>TIMRÅ</t>
  </si>
  <si>
    <t>SE.CAED/10016489.Facility</t>
  </si>
  <si>
    <t>Södra Cell Mönsterås</t>
  </si>
  <si>
    <t>MÖNSTERÅS</t>
  </si>
  <si>
    <t>SE.CAED/10018676.Facility</t>
  </si>
  <si>
    <t>Södra Cell Värö</t>
  </si>
  <si>
    <t>VÄRÖBACKA</t>
  </si>
  <si>
    <t>CZ.MZP.U423/CZ63876696.FACILITY</t>
  </si>
  <si>
    <t>Mondi Štětí a.s. - Celulozka</t>
  </si>
  <si>
    <t>Štětí</t>
  </si>
  <si>
    <t>http://paikkatiedot.fi/so/1002031/pf/ProductionFacility/0000001348.ProductionFacility</t>
  </si>
  <si>
    <t>Metsä Fibre Oy Kemi, Puunjalostusteollisuus</t>
  </si>
  <si>
    <t>Kemi</t>
  </si>
  <si>
    <t>SE.CAED/10020389.Facility</t>
  </si>
  <si>
    <t>Gruvöns bruk</t>
  </si>
  <si>
    <t>GRUMS</t>
  </si>
  <si>
    <t>SE.CAED/10022491.Facility</t>
  </si>
  <si>
    <t>Metsä Board Sverige AB, Husums fabr</t>
  </si>
  <si>
    <t>HUSUM</t>
  </si>
  <si>
    <t>PT.CAED/PT.APA05765162.CI</t>
  </si>
  <si>
    <t>NAVIGATOR Setúbal (CI)</t>
  </si>
  <si>
    <t>SETÚBAL</t>
  </si>
  <si>
    <t>http://paikkatiedot.fi/so/1002031/pf/ProductionFacility/0000001111.ProductionFacility</t>
  </si>
  <si>
    <t xml:space="preserve">Stora Enso Oyj, Uimaharjun tehdas, Enocellin tehdas </t>
  </si>
  <si>
    <t>Joensuu</t>
  </si>
  <si>
    <t>http://paikkatiedot.fi/so/1002031/pf/ProductionFacility/0000001269.ProductionFacility</t>
  </si>
  <si>
    <t>Metsä Fibre Oy, Joutsenon tehdas</t>
  </si>
  <si>
    <t>Lappeenranta</t>
  </si>
  <si>
    <t>http://paikkatiedot.fi/so/1002031/pf/ProductionFacility/0000001919.ProductionFacility</t>
  </si>
  <si>
    <t>Metsä Fibre Oy, Rauman tehdas</t>
  </si>
  <si>
    <t>Rauma</t>
  </si>
  <si>
    <t>ES.CAED/003378000.FACILITY</t>
  </si>
  <si>
    <t>CEASA ENCE- FÁBRICA DE NAVIA</t>
  </si>
  <si>
    <t>NAVIA</t>
  </si>
  <si>
    <t>SE.CAED/10014311.Facility</t>
  </si>
  <si>
    <t>Skutskärs Bruk</t>
  </si>
  <si>
    <t>SKUTSKÄR</t>
  </si>
  <si>
    <t>SE.CAED/10022062.Facility</t>
  </si>
  <si>
    <t>Korsnäsverket</t>
  </si>
  <si>
    <t>GÄVLE</t>
  </si>
  <si>
    <t>SE.CAED/10024717.Facility</t>
  </si>
  <si>
    <t>Smurfit Kappa Kraftliner Piteå</t>
  </si>
  <si>
    <t>PITEÅ</t>
  </si>
  <si>
    <t>6(b)</t>
  </si>
  <si>
    <t>Industrial plants for the production of paper and board and other primary wood products (such as chipboard, fibreboard and plywood)</t>
  </si>
  <si>
    <t>http://paikkatiedot.fi/so/1002031/pf/ProductionFacility/0000001780.ProductionFacility</t>
  </si>
  <si>
    <t>STORA ENSO OULU OY, Oulun tehdas, Oulu</t>
  </si>
  <si>
    <t>Oulu</t>
  </si>
  <si>
    <t>Paper, board, and primary wood products</t>
  </si>
  <si>
    <t>SE.CAED/10017067.Facility</t>
  </si>
  <si>
    <t>Södra Cell Mörrum</t>
  </si>
  <si>
    <t>MÖRRUM</t>
  </si>
  <si>
    <t>PL.MŚ/000000031.FACILITY</t>
  </si>
  <si>
    <t>ENEA Wytwarzanie Spółka z ograniczoną odpowiedzialnością</t>
  </si>
  <si>
    <t>Świerże Górne</t>
  </si>
  <si>
    <t>AT.CAED/9008390614785.FACILITY</t>
  </si>
  <si>
    <t>Zellstoff Pöls Aktiengesellschaft</t>
  </si>
  <si>
    <t>Pöls</t>
  </si>
  <si>
    <t>http://paikkatiedot.fi/so/1002031/pf/ProductionFacility/0000001560.ProductionFacility</t>
  </si>
  <si>
    <t>UPM-Kymmene Oyj, Kymi</t>
  </si>
  <si>
    <t>Kouvola</t>
  </si>
  <si>
    <t>BE.WA/103010000.FACILITY</t>
  </si>
  <si>
    <t>BURGO ARDENNES</t>
  </si>
  <si>
    <t>Virton</t>
  </si>
  <si>
    <t>SE.CAED/10014055.Facility</t>
  </si>
  <si>
    <t>VÄRTAVERKET</t>
  </si>
  <si>
    <t>STOCKHOLM</t>
  </si>
  <si>
    <t>SE.CAED/10020366.Facility</t>
  </si>
  <si>
    <t>Skoghalls Bruk</t>
  </si>
  <si>
    <t>SKOGHALL</t>
  </si>
  <si>
    <t>PT.CAED/PT.APA05774482.CI</t>
  </si>
  <si>
    <t>Celulose Beira Industrial (Celbi), S.A. (CI)</t>
  </si>
  <si>
    <t>Figueira da Foz</t>
  </si>
  <si>
    <t>http://paikkatiedot.fi/so/1002031/pf/ProductionFacility/0000001592.ProductionFacility</t>
  </si>
  <si>
    <t>UPM-Kymmene Oyj, Kaukaan tehtaat</t>
  </si>
  <si>
    <t>SE.CAED/10022227.Facility</t>
  </si>
  <si>
    <t>Iggesunds Bruk</t>
  </si>
  <si>
    <t>IGGESUND</t>
  </si>
  <si>
    <t>PL.MŚ/000000350.FACILITY</t>
  </si>
  <si>
    <t>PGE Górnictwo i Energetyka Konwencjonalna S.A. - Oddział Elektrownia Turów</t>
  </si>
  <si>
    <t>Bogatynia</t>
  </si>
  <si>
    <t>SE.CAED/10015075.Facility</t>
  </si>
  <si>
    <t>Billerud Sweden AB Skärblacka Bruk</t>
  </si>
  <si>
    <t>SKÄRBLACKA</t>
  </si>
  <si>
    <t>SE.CAED/10024325.Facility</t>
  </si>
  <si>
    <t>Billerud Karlsborgs bruk</t>
  </si>
  <si>
    <t>KARLSBORGSVERKEN</t>
  </si>
  <si>
    <t>SE.CAED/10021163.Facility</t>
  </si>
  <si>
    <t>Västerås kraftvärmeverk</t>
  </si>
  <si>
    <t>VÄSTERÅS</t>
  </si>
  <si>
    <t>FR.CAED/662.FACILITY</t>
  </si>
  <si>
    <t>SMURFIT KAPPA CELLULOSE DU PIN</t>
  </si>
  <si>
    <t>BIGANOS</t>
  </si>
  <si>
    <t>PT.CAED/PT.APA05765202.CI</t>
  </si>
  <si>
    <t>Navigator Pulp Cacia, S.A. (CI)</t>
  </si>
  <si>
    <t>Aveiro</t>
  </si>
  <si>
    <t>http://paikkatiedot.fi/so/1002031/pf/ProductionFacility/0000001409.ProductionFacility</t>
  </si>
  <si>
    <t>Stora Enso Oyj, Sunilan tehdas</t>
  </si>
  <si>
    <t>Kotka</t>
  </si>
  <si>
    <t>SE.CAED/10020999.Facility</t>
  </si>
  <si>
    <t>Billerud Skog &amp; Industri AB, Frövi</t>
  </si>
  <si>
    <t>FRÖVI</t>
  </si>
  <si>
    <t>PL.MŚ/000000260.FACILITY</t>
  </si>
  <si>
    <t>PGE Górnictwo i Energetyka Konwencjonalna S.A. - Oddział Elektrownia Opole</t>
  </si>
  <si>
    <t>Opole</t>
  </si>
  <si>
    <t>SE.CAED/10024718.Facility</t>
  </si>
  <si>
    <t>SCA Munksunds pappersbruk</t>
  </si>
  <si>
    <t>http://paikkatiedot.fi/so/1002031/pf/ProductionFacility/0000001728.ProductionFacility</t>
  </si>
  <si>
    <t>Turun Seudun Energiantuotanto Oy, Naantalin voimalaitos</t>
  </si>
  <si>
    <t>Naantali</t>
  </si>
  <si>
    <t>http://paikkatiedot.fi/so/1002031/pf/ProductionFacility/0000018120.ProductionFacility</t>
  </si>
  <si>
    <t>Stora Enso Oyj, Varkauden tehtaat</t>
  </si>
  <si>
    <t>Varkaus</t>
  </si>
  <si>
    <t>SE.CAED/10022449.Facility</t>
  </si>
  <si>
    <t>Mondi Dynäs AB</t>
  </si>
  <si>
    <t>VÄJA</t>
  </si>
  <si>
    <t>FR.CAED/10011.FACILITY</t>
  </si>
  <si>
    <t>FIBRE EXCELLENCE SAINT-GAUDENS</t>
  </si>
  <si>
    <t>ST GAUDENS</t>
  </si>
  <si>
    <t>SE.CAED/10022175.Facility</t>
  </si>
  <si>
    <t>Vallviks Bruk</t>
  </si>
  <si>
    <t>VALLVIK</t>
  </si>
  <si>
    <t>PT.CAED/PT.APA05765222.CI</t>
  </si>
  <si>
    <t>Navigator Figueira (CI)</t>
  </si>
  <si>
    <t>LAVOS</t>
  </si>
  <si>
    <t>PT.CAED/PT.APA05764382.CI</t>
  </si>
  <si>
    <t>Europaec (CI)</t>
  </si>
  <si>
    <t>DEOCRISTE</t>
  </si>
  <si>
    <t>http://paikkatiedot.fi/so/1002031/pf/ProductionFacility/0000063404.ProductionFacility</t>
  </si>
  <si>
    <t>Kaukaan Voima Oy, Energiantuotanto</t>
  </si>
  <si>
    <t>IT.CAED/721001002.FACILITY</t>
  </si>
  <si>
    <t>Centrale Termoelettrica "Federico II"</t>
  </si>
  <si>
    <t>BRINDISI</t>
  </si>
  <si>
    <t>SE.CAED/10020499.Facility</t>
  </si>
  <si>
    <t>Bäckhammars Bruk</t>
  </si>
  <si>
    <t>KRISTINEHAMN</t>
  </si>
  <si>
    <t>PL.MŚ/000000468.FACILITY</t>
  </si>
  <si>
    <t>ENEA Elektrownia Połaniec Spółka Akcyjna</t>
  </si>
  <si>
    <t>Połaniec</t>
  </si>
  <si>
    <t>SE.CAED/10014121.Facility</t>
  </si>
  <si>
    <t>Igelsta kraftvärmeverk</t>
  </si>
  <si>
    <t>SÖDERTÄLJE</t>
  </si>
  <si>
    <t>SE.CAED/10023612.Facility</t>
  </si>
  <si>
    <t>SCA Obbola AB</t>
  </si>
  <si>
    <t>OBBOLA</t>
  </si>
  <si>
    <t>UK.CAED/EW_EA-16950.FACILITY</t>
  </si>
  <si>
    <t>Runcorn Energy From Waste Facility</t>
  </si>
  <si>
    <t>Runcorn</t>
  </si>
  <si>
    <t>SE.CAED/10014053.Facility</t>
  </si>
  <si>
    <t>HÖGDALENVERKET</t>
  </si>
  <si>
    <t>FR.CAED/788.FACILITY</t>
  </si>
  <si>
    <t>RAYONIER A.M. TARTAS</t>
  </si>
  <si>
    <t>TARTAS</t>
  </si>
  <si>
    <t>http://paikkatiedot.fi/so/1002031/pf/ProductionFacility/0100304897.ProductionFacility</t>
  </si>
  <si>
    <t>Oulun Energia Oy, Laanilan Biovoimalaitos</t>
  </si>
  <si>
    <t>CZ.MZP.B645/CZ68607441.FACILITY</t>
  </si>
  <si>
    <t>Elektrárny Poříčí, Hodonín, lokalita Hodonín</t>
  </si>
  <si>
    <t>Hodonín</t>
  </si>
  <si>
    <t>SE.CAED/10022490.Facility</t>
  </si>
  <si>
    <t>Domsjö Fabriker AB</t>
  </si>
  <si>
    <t>ÖRNSKÖLDSVIK</t>
  </si>
  <si>
    <t>FR.CAED/7588.FACILITY</t>
  </si>
  <si>
    <t>FIBRE EXCELLENCE PROVENCE</t>
  </si>
  <si>
    <t>TARASCON</t>
  </si>
  <si>
    <t>EL.CAED/100029.FACILITY</t>
  </si>
  <si>
    <t>PPC S.A. SES AGIOY DHMHTRIOY</t>
  </si>
  <si>
    <t>AGIOS DIMITRIOS, ELLISPONTOS</t>
  </si>
  <si>
    <t>SE.CAED/10020871.Facility</t>
  </si>
  <si>
    <t>Ahlstrom Aspa Bruk AB</t>
  </si>
  <si>
    <t>ASPABRUK</t>
  </si>
  <si>
    <t>IT.CAED/000531002.FACILITY</t>
  </si>
  <si>
    <t>Centrale Torrevaldaliga Nord</t>
  </si>
  <si>
    <t>CIVITAVECCHIA</t>
  </si>
  <si>
    <t>AT.CAED/9008390973059.FACILITY</t>
  </si>
  <si>
    <t>Mondi Frantschach GmbH</t>
  </si>
  <si>
    <t>Frantschach</t>
  </si>
  <si>
    <t>SE.CAED/10020777.Facility</t>
  </si>
  <si>
    <t>Navirum Energi AB, Åbyverket</t>
  </si>
  <si>
    <t>ÖREBRO</t>
  </si>
  <si>
    <t>https://data.ied_registry.omgeving.vlaanderen.be/id/productionfacility//BE.VL.000000640.FACILITY</t>
  </si>
  <si>
    <t>Electrabel - Centrale Knippegroen</t>
  </si>
  <si>
    <t>Gent</t>
  </si>
  <si>
    <t>CZ.MZP.H525/CZ18989196.FACILITY</t>
  </si>
  <si>
    <t>Elektrárny Poříčí, Hodonín, Lokalita Poříčí, provoz Elektrárna Poříčí</t>
  </si>
  <si>
    <t>Trutnov</t>
  </si>
  <si>
    <t>AT.CAED/9008390968734.FACILITY</t>
  </si>
  <si>
    <t>AustroCel Hallein GmbH</t>
  </si>
  <si>
    <t>Hallein</t>
  </si>
  <si>
    <t>FR.CAED/4602.FACILITY</t>
  </si>
  <si>
    <t>SYLVAMO</t>
  </si>
  <si>
    <t>SAILLAT SUR VIENNE</t>
  </si>
  <si>
    <t>SE.CAED/10015102.Facility</t>
  </si>
  <si>
    <t>Händelöverket</t>
  </si>
  <si>
    <t>NORRKÖPING</t>
  </si>
  <si>
    <t>IT.CAED/101372002.FACILITY</t>
  </si>
  <si>
    <t>TRM - TERMOVALORIZZATORE DEL GERBIDO</t>
  </si>
  <si>
    <t>TORINO</t>
  </si>
  <si>
    <t>SE.CAED/10014262.Facility</t>
  </si>
  <si>
    <t>BRISTAVERKET</t>
  </si>
  <si>
    <t>SIGTUNA</t>
  </si>
  <si>
    <t>SE.CAED/10014984.Facility</t>
  </si>
  <si>
    <t>Gärstadverket</t>
  </si>
  <si>
    <t>LINKÖPING</t>
  </si>
  <si>
    <t>SE.CAED/10019386.Facility</t>
  </si>
  <si>
    <t>Sävenäs</t>
  </si>
  <si>
    <t>GÖTEBORG</t>
  </si>
  <si>
    <t>FR.CAED/8549.FACILITY</t>
  </si>
  <si>
    <t>IVRY PARIS 13</t>
  </si>
  <si>
    <t>IVRY SUR SEINE</t>
  </si>
  <si>
    <t>http://paikkatiedot.fi/so/1002031/pf/ProductionFacility/0100180527.ProductionFacility</t>
  </si>
  <si>
    <t>Porin Prosessivoima Oy, Energiantuotanto</t>
  </si>
  <si>
    <t>Pori</t>
  </si>
  <si>
    <t>https://registry.gdi-de.org/id/de.nw.inspire.pf.bube-eureg/arb-2017-113000-100-0204710</t>
  </si>
  <si>
    <t>RWE Generation SE MHKW  Karnap</t>
  </si>
  <si>
    <t>Essen</t>
  </si>
  <si>
    <t>SE.CAED/10014775.Facility</t>
  </si>
  <si>
    <t>Värmeverket Vattumannen</t>
  </si>
  <si>
    <t>ESKILSTUNA</t>
  </si>
  <si>
    <t>SE.CAED/10017666.Facility</t>
  </si>
  <si>
    <t>Sysavs avfallsförbränningsanläggning</t>
  </si>
  <si>
    <t>MALMÖ</t>
  </si>
  <si>
    <t>5(a)</t>
  </si>
  <si>
    <t>Installations for the recovery or disposal of hazardous waste</t>
  </si>
  <si>
    <t>https://registry.gdi-de.org/id/de.hb//de.hb.pf.bube-eureg.06-04-11/2013754/1/0</t>
  </si>
  <si>
    <t>swb Entsorgung GmbH &amp; Co. KG / MHKW Bremen</t>
  </si>
  <si>
    <t>Bremen</t>
  </si>
  <si>
    <t>Hazardous waste</t>
  </si>
  <si>
    <t>https://registry.gdi-de.org/id/de.hh/pf.bube-eureg_/8159</t>
  </si>
  <si>
    <t>Müllverwertung Borsigstraße GmbH, (MVB)</t>
  </si>
  <si>
    <t>Hamburg</t>
  </si>
  <si>
    <t>SE.CAED/10020475.Facility</t>
  </si>
  <si>
    <t>Hedenverket</t>
  </si>
  <si>
    <t>KARLSTAD</t>
  </si>
  <si>
    <t>HU.OKIR/100327538.FACILITY</t>
  </si>
  <si>
    <t>MVM Mátra Energia Zrt.</t>
  </si>
  <si>
    <t>Visonta</t>
  </si>
  <si>
    <t>FR.CAED/10960.FACILITY</t>
  </si>
  <si>
    <t>ENGIE THERMIQUE FRANCE - CENTRALE DK6</t>
  </si>
  <si>
    <t>DUNKERQUE</t>
  </si>
  <si>
    <t>FR.CAED/3176.FACILITY</t>
  </si>
  <si>
    <t>SASU VERNEA</t>
  </si>
  <si>
    <t>CLERMONT FERRAND</t>
  </si>
  <si>
    <t>Production and processing of metals</t>
  </si>
  <si>
    <t>2(a)</t>
  </si>
  <si>
    <t>Metal ore (including sulphide ore) roasting or sintering installations</t>
  </si>
  <si>
    <t>PL.MŚ/000000058.FACILITY</t>
  </si>
  <si>
    <t>ArcelorMittal Poland S.A. Oddział Dąbrowa Górnicza</t>
  </si>
  <si>
    <t>Dąbrowa Górnicza</t>
  </si>
  <si>
    <t>Metal ore processing</t>
  </si>
  <si>
    <t>https://registry.gdi-de.org/id/de.bw.lubw.inspire.pf//pf-450-2719142-00000000</t>
  </si>
  <si>
    <t>Stora Enso Maxau GmbH</t>
  </si>
  <si>
    <t>Karlsruhe</t>
  </si>
  <si>
    <t>SE.CAED/10015586.Facility</t>
  </si>
  <si>
    <t>Kraftvärmeverket Torsvik, KVVT1 (avfall) och KVVT2 (flis)</t>
  </si>
  <si>
    <t>JÖNKÖPING</t>
  </si>
  <si>
    <t>SE.CAED/10018336.Facility</t>
  </si>
  <si>
    <t>Stora Enso Hylte Bruk AB</t>
  </si>
  <si>
    <t>HYLTEBRUK</t>
  </si>
  <si>
    <t>BE.BRU/100010004.FACILITY</t>
  </si>
  <si>
    <t>BRUXELLES ENERGIE</t>
  </si>
  <si>
    <t>Bruxelles</t>
  </si>
  <si>
    <t>ES.CAED/000132000.FACILITY</t>
  </si>
  <si>
    <t>TIRME,S.A. COMPLEJO DE TRATAMIENTO INTEGRAL DE RESIDUOS URBANOS DE SON REUS</t>
  </si>
  <si>
    <t>PALMA</t>
  </si>
  <si>
    <t>IT.CAED/741231003.FACILITY</t>
  </si>
  <si>
    <t>CENTRALE TERMOELETTRICA DI TARANTO</t>
  </si>
  <si>
    <t>TARANTO</t>
  </si>
  <si>
    <t>PT.CAED/PT.APA05764642.CI</t>
  </si>
  <si>
    <t>CTRSU - Central de Tratamento de Resíduos Sólidos Urbanos (CI)</t>
  </si>
  <si>
    <t>SÃO JOÃO DA TALHA</t>
  </si>
  <si>
    <t>ES.CAED/002762000.FACILITY</t>
  </si>
  <si>
    <t>SAICA PAPER EL BURGO DE EBRO</t>
  </si>
  <si>
    <t>BURGO DE EBRO (EL)</t>
  </si>
  <si>
    <t>PL.MŚ/000000130.FACILITY</t>
  </si>
  <si>
    <t>TAURON Wytwarzanie Spółka Akcyjna - Elektrownia Jaworzno III w Jaworznie - Elektrownia III</t>
  </si>
  <si>
    <t>Jaworzno</t>
  </si>
  <si>
    <t>FR.CAED/12109.FACILITY</t>
  </si>
  <si>
    <t>SYCTOM</t>
  </si>
  <si>
    <t>ISSY LES MOULINEAUX</t>
  </si>
  <si>
    <t>https://data.ied_registry.omgeving.vlaanderen.be/id/productionfacility//BE.VL.000000714.FACILITY</t>
  </si>
  <si>
    <t>STORA ENSO LANGERBRUGGE</t>
  </si>
  <si>
    <t>PL.MŚ/000000153.FACILITY</t>
  </si>
  <si>
    <t>EDF RYBNIK S.A. Oddział w Rybniku</t>
  </si>
  <si>
    <t>Rybnik</t>
  </si>
  <si>
    <t>SE.CAED/10021814.Facility</t>
  </si>
  <si>
    <t>STORA ENSO FORS AB</t>
  </si>
  <si>
    <t>FORS</t>
  </si>
  <si>
    <t>EE.KAUR.TTR/213.FACILITY</t>
  </si>
  <si>
    <t>Utilitas Tallinna Elektrijaam OÜ, Väo Reservkatlamaja CHP</t>
  </si>
  <si>
    <t>Lasnamäe linnaosa, Tallinn</t>
  </si>
  <si>
    <t>FR.CAED/8527.FACILITY</t>
  </si>
  <si>
    <t>TIRU</t>
  </si>
  <si>
    <t>ST OUEN</t>
  </si>
  <si>
    <t>EE.KAUR.TTR/156.FACILITY</t>
  </si>
  <si>
    <t>Gren Eesti AS, Pärnu koostootmisjaam</t>
  </si>
  <si>
    <t>Pärnu linn</t>
  </si>
  <si>
    <t>http://paikkatiedot.fi/so/1002031/pf/ProductionFacility/0100183092.ProductionFacility</t>
  </si>
  <si>
    <t>Rauman Biovoima Oy, Rauman voimalaitos</t>
  </si>
  <si>
    <t>EE.KAUR.TTR/125.FACILITY</t>
  </si>
  <si>
    <t>Gren Tartu AS, Lohkva koostootmisjaam</t>
  </si>
  <si>
    <t>Lohkva küla, Luunja vald</t>
  </si>
  <si>
    <t>http://paikkatiedot.fi/so/1002031/pf/ProductionFacility/0000001177.ProductionFacility</t>
  </si>
  <si>
    <t>Vantaan Energia Oy, Martinlaakso</t>
  </si>
  <si>
    <t>Vantaa</t>
  </si>
  <si>
    <t>http://paikkatiedot.fi/so/1002031/pf/ProductionFacility/0000003238.ProductionFacility</t>
  </si>
  <si>
    <t>Fortum Power and Heat Oy, Kivenlahden lämpökeskus</t>
  </si>
  <si>
    <t>Espoo</t>
  </si>
  <si>
    <t>EE.KAUR.TTR/192.FACILITY</t>
  </si>
  <si>
    <t>Enefit Power AS, Auvere elektrijaam</t>
  </si>
  <si>
    <t>Auvere küla, Narva-Jõesuu linn</t>
  </si>
  <si>
    <t>http://paikkatiedot.fi/so/1002031/pf/ProductionFacility/0000001170.ProductionFacility</t>
  </si>
  <si>
    <t>Helen Oy, Salmisaaren voimalaitokset</t>
  </si>
  <si>
    <t>Helsinki</t>
  </si>
  <si>
    <t>http://paikkatiedot.fi/so/1002031/pf/ProductionFacility/0000003574.ProductionFacility</t>
  </si>
  <si>
    <t>ETELÄ-SAVON ENERGIA OY, PURSIALAN VOIMALAITOS</t>
  </si>
  <si>
    <t>Mikkeli</t>
  </si>
  <si>
    <t>http://paikkatiedot.fi/so/1002031/pf/ProductionFacility/0000001262.ProductionFacility</t>
  </si>
  <si>
    <t>Savon Voima Oyj, Joensuun voimalaitos</t>
  </si>
  <si>
    <t>https://data.gov.sk/set/data/so/57011803_minzp/pf:ProductionFacility/57011803.NRZ.FACILITY</t>
  </si>
  <si>
    <t>Ferroenergy s.r.o. - Výroba tepla</t>
  </si>
  <si>
    <t>Košice - Šaca</t>
  </si>
  <si>
    <t>BE.WA/003010000.FACILITY</t>
  </si>
  <si>
    <t>IPALLE - Usine d'incinération</t>
  </si>
  <si>
    <t>Thumaide</t>
  </si>
  <si>
    <t>FR.CAED/7945.FACILITY</t>
  </si>
  <si>
    <t>EVERÉ SAS</t>
  </si>
  <si>
    <t>FOS SUR MER</t>
  </si>
  <si>
    <t>SE.CAED/10022522.Facility</t>
  </si>
  <si>
    <t>Kraftvärmeverket Övik Energi A</t>
  </si>
  <si>
    <t>EE.KAUR.TTR/74.FACILITY</t>
  </si>
  <si>
    <t>Enefit Power AS, Balti Elektrijaam</t>
  </si>
  <si>
    <t>Narva linn</t>
  </si>
  <si>
    <t>PL.MŚ/000000010.FACILITY</t>
  </si>
  <si>
    <t>Zakład Wytwarzania Nowa</t>
  </si>
  <si>
    <t>http://paikkatiedot.fi/so/1002031/pf/ProductionFacility/0000001406.ProductionFacility</t>
  </si>
  <si>
    <t>MM Kotkamills Oy, Kotkan tehtaat</t>
  </si>
  <si>
    <t>http://paikkatiedot.fi/so/1002031/pf/ProductionFacility/0000002677.ProductionFacility</t>
  </si>
  <si>
    <t>Metsä Fibre biovoimalaitos (30.11.2019 alkaen, aiemmin Äänevoima Oy), Energiantuotanto</t>
  </si>
  <si>
    <t>http://paikkatiedot.fi/so/1002031/pf/ProductionFacility/0000001861.ProductionFacility</t>
  </si>
  <si>
    <t>Pori Energia Oy, Aittaluodon voimalaitos</t>
  </si>
  <si>
    <t>http://paikkatiedot.fi/so/1002031/pf/ProductionFacility/0000001784.ProductionFacility</t>
  </si>
  <si>
    <t>OULUN ENERGIA, Toppilan voimalaitokset, Oulu, Energiantuotanto</t>
  </si>
  <si>
    <t>UK.CAED/NRW170059.FACILITY</t>
  </si>
  <si>
    <t>Cardiff Energy Recovery Facility</t>
  </si>
  <si>
    <t>Cardiff</t>
  </si>
  <si>
    <t>https://registry.gdi-de.org/id/de.nw.inspire.pf.bube-eureg/arb-2017-124000-100-0113340</t>
  </si>
  <si>
    <t>AWG Abfallwirtschaftsgesellschaft mbH Wuppertal</t>
  </si>
  <si>
    <t>Wuppertal</t>
  </si>
  <si>
    <t>HU.OKIR/100293428.FACILITY</t>
  </si>
  <si>
    <t>Swiss Krono Kft</t>
  </si>
  <si>
    <t>Vásárosnamény</t>
  </si>
  <si>
    <t>IT.CAED/030402001.FACILITY</t>
  </si>
  <si>
    <t>Unità Locale 3 - Impianto di Termovalorizzazione rifiuti non pericolosi.</t>
  </si>
  <si>
    <t>SAN VITTORE DEL LAZIO</t>
  </si>
  <si>
    <t>https://registry.gdi-de.org/id/de.he.0945.de7.pf.eu_industrie/30000112</t>
  </si>
  <si>
    <t>AVA/HKW Nordweststadt</t>
  </si>
  <si>
    <t>Frankfurt am Main, St.</t>
  </si>
  <si>
    <t>IT.CAED/070461001.FACILITY</t>
  </si>
  <si>
    <t>Centrale Fiume Santo</t>
  </si>
  <si>
    <t>PORTO TORRES</t>
  </si>
  <si>
    <t>PL.MŚ/000000163.FACILITY</t>
  </si>
  <si>
    <t>Elektrociepłownia Siekierki</t>
  </si>
  <si>
    <t>Warszawa</t>
  </si>
  <si>
    <t>SE.CAED/10023763.Facility</t>
  </si>
  <si>
    <t>Dåva kraftvärmeverk</t>
  </si>
  <si>
    <t>UMEÅ</t>
  </si>
  <si>
    <t>http://paikkatiedot.fi/so/1002031/pf/ProductionFacility/0000001162.ProductionFacility</t>
  </si>
  <si>
    <t>Stora Enso Oyj, Heinolan Flutingtehdas</t>
  </si>
  <si>
    <t>Heinola</t>
  </si>
  <si>
    <t>IT.CAED/301761002.FACILITY</t>
  </si>
  <si>
    <t>Impianto termoelettrico di Fusina</t>
  </si>
  <si>
    <t>VENEZIA</t>
  </si>
  <si>
    <t>SE.CAED/10014459.Facility</t>
  </si>
  <si>
    <t>Boländeranläggningarna, Avfallsförbränningsanläggn</t>
  </si>
  <si>
    <t>UPPSALA</t>
  </si>
  <si>
    <t>PT.CAED/PT.APA05770322.CI</t>
  </si>
  <si>
    <t>Central de Valorização Energética e Confinamento Técnico (CI)</t>
  </si>
  <si>
    <t>MAIA</t>
  </si>
  <si>
    <t>BE.WA/004010000.FACILITY</t>
  </si>
  <si>
    <t>INTRADEL - UVELIA - Usine d'incinération</t>
  </si>
  <si>
    <t>Herstal</t>
  </si>
  <si>
    <t>https://registry.gdi-de.org/id/de.hb//de.hb.pf.bube-eureg.06-04-11/2001178/8/6</t>
  </si>
  <si>
    <t>swb Entsorgung GmbH &amp; Co. KG / MKK Bremen Mittelkalorik-Kraftwerk</t>
  </si>
  <si>
    <t>http://paikkatiedot.fi/so/1002031/pf/ProductionFacility/0000001992.ProductionFacility</t>
  </si>
  <si>
    <t>Seinäjoen Voima Oy, Seinäjoen voimalaitos</t>
  </si>
  <si>
    <t>Seinäjoki</t>
  </si>
  <si>
    <t>SE.CAED/10017848.Facility</t>
  </si>
  <si>
    <t>Västhamnsverket, (VHV)</t>
  </si>
  <si>
    <t>HELSINGBORG</t>
  </si>
  <si>
    <t>EE.KAUR.TTR/88.FACILITY</t>
  </si>
  <si>
    <t>Horizon Tselluloosi ja Paberi AS, Kehra paberivabrik</t>
  </si>
  <si>
    <t>Kehra linn, Anija vald</t>
  </si>
  <si>
    <t>NO.EEA/192040.FACILITY</t>
  </si>
  <si>
    <t>Fortum Oslo Varme</t>
  </si>
  <si>
    <t>Oslo</t>
  </si>
  <si>
    <t>FR.CAED/11114.FACILITY</t>
  </si>
  <si>
    <t>COVALYS EX-VALNOR (CVE ANTARES)</t>
  </si>
  <si>
    <t>HALLUIN</t>
  </si>
  <si>
    <t>PT.CAED/PT.APA05770942.CI</t>
  </si>
  <si>
    <t>Caima - Indústria de Celulose, S.A. (CI)</t>
  </si>
  <si>
    <t>CONSTÂNCIA</t>
  </si>
  <si>
    <t>http://paikkatiedot.fi/so/1002031/pf/ProductionFacility/0000001294.ProductionFacility</t>
  </si>
  <si>
    <t>UPM Communication Papers Oy, UPM Specialty Papers Oy, Jämsänkosken paperitehdas</t>
  </si>
  <si>
    <t>Jämsä</t>
  </si>
  <si>
    <t>HU.OKIR/100392330.FACILITY</t>
  </si>
  <si>
    <t>FKF Nonprofit Zrt.</t>
  </si>
  <si>
    <t>Budapest 15. ker.</t>
  </si>
  <si>
    <t>IT.CAED/201532001.FACILITY</t>
  </si>
  <si>
    <t>Impianto di termovalorizzazione Silla 2</t>
  </si>
  <si>
    <t>MILANO</t>
  </si>
  <si>
    <t>http://paikkatiedot.fi/so/1002031/pf/ProductionFacility/0000001495.ProductionFacility</t>
  </si>
  <si>
    <t>Mondi Powerflute Oy, Puunjalostusteollisuus, Mondi Powerflute Oy</t>
  </si>
  <si>
    <t>Kuopio</t>
  </si>
  <si>
    <t>NO.EEA/192335.FACILITY</t>
  </si>
  <si>
    <t>Norske Skog Skogn</t>
  </si>
  <si>
    <t>Skogn</t>
  </si>
  <si>
    <t>EE.KAUR.TTR/135.FACILITY</t>
  </si>
  <si>
    <t>Utilitas Tallinna Elektrijaam OÜ, Tallinna elektrijaam</t>
  </si>
  <si>
    <t>Chemical industry</t>
  </si>
  <si>
    <t>4(b)</t>
  </si>
  <si>
    <t>Chemical installations for the production on an industrial scale of basic inorganic chemicals. Note to reporters, use Level 3 activity e.g. 4(b)(i), in preference to 4(b). Level 2 activity class (i.e. 4(b)) only to be used where Level 3 is not available.</t>
  </si>
  <si>
    <t>https://registry.gdi-de.org/id/de.nw.inspire.pf.bube-eureg/arb-2017-170032-100-0989137</t>
  </si>
  <si>
    <t>Solvay Chemicals GmbH</t>
  </si>
  <si>
    <t>Rheinberg</t>
  </si>
  <si>
    <t>Inorganic - other</t>
  </si>
  <si>
    <t>CZ.MZP.J632/CZ42968796.FACILITY</t>
  </si>
  <si>
    <t>KRONOSPAN OSB</t>
  </si>
  <si>
    <t>Jihlava</t>
  </si>
  <si>
    <t>ES.CAED/002928000.FACILITY</t>
  </si>
  <si>
    <t>CENTRAL TÉRMICA DE ABOÑO</t>
  </si>
  <si>
    <t>GIJON</t>
  </si>
  <si>
    <t>IT.CAED/270321001.FACILITY</t>
  </si>
  <si>
    <t>stabilimento di Ferrera Erbognone</t>
  </si>
  <si>
    <t>FERRERA ERBOGNONE</t>
  </si>
  <si>
    <t>CH.CAED/000000417.Facility</t>
  </si>
  <si>
    <t>Renergia Zentralschweiz AG</t>
  </si>
  <si>
    <t>Perlen</t>
  </si>
  <si>
    <t>http://paikkatiedot.fi/so/1002031/pf/ProductionFacility/0000011208.ProductionFacility</t>
  </si>
  <si>
    <t>Porvoon Energia Oy, Tolkkisten voimalaitokset</t>
  </si>
  <si>
    <t>Porvoo</t>
  </si>
  <si>
    <t>http://paikkatiedot.fi/so/1002031/pf/ProductionFacility/0100050963.ProductionFacility</t>
  </si>
  <si>
    <t>Metsä Board Oyj, Metsä Board Kaskinen Pulp Mill</t>
  </si>
  <si>
    <t>Kaskinen</t>
  </si>
  <si>
    <t>FR.CAED/5125.FACILITY</t>
  </si>
  <si>
    <t>SAICA PAPER EL</t>
  </si>
  <si>
    <t>LAVEYRON</t>
  </si>
  <si>
    <t>SE.CAED/10021702.Facility</t>
  </si>
  <si>
    <t>Västermalmsverket</t>
  </si>
  <si>
    <t>FALUN</t>
  </si>
  <si>
    <t>SE.CAED/10019131.Facility</t>
  </si>
  <si>
    <t>Munksjö Paper AB Billingsfors</t>
  </si>
  <si>
    <t>BILLINGSFORS</t>
  </si>
  <si>
    <t>SE.CAED/10014627.Facility</t>
  </si>
  <si>
    <t>Idbäckens Kraftvärmeverk</t>
  </si>
  <si>
    <t>NYKÖPING</t>
  </si>
  <si>
    <t>NO.EEA/192002.FACILITY</t>
  </si>
  <si>
    <t>Norske Skog Saugbrugs</t>
  </si>
  <si>
    <t>Halden</t>
  </si>
  <si>
    <t>IT.CAED/721001005.FACILITY</t>
  </si>
  <si>
    <t>ENIPOWER S.P.A. - Stabilimento di Brindisi</t>
  </si>
  <si>
    <t>http://paikkatiedot.fi/so/1002031/pf/ProductionFacility/0000002160.ProductionFacility</t>
  </si>
  <si>
    <t>UPM-Kymmene Oyj, Tervasaari, Valkeakoski</t>
  </si>
  <si>
    <t>Valkeakoski</t>
  </si>
  <si>
    <t>AT.CAED/9008390933787.FACILITY</t>
  </si>
  <si>
    <t>WIEN ENERGIE GmbH</t>
  </si>
  <si>
    <t>Wien,Alsergrund</t>
  </si>
  <si>
    <t>https://registry.gdi-de.org/id/de.rp.inspire.pf.bube-eureg/4000267</t>
  </si>
  <si>
    <t>Entsorgungsgesellschaft Mainz mbH</t>
  </si>
  <si>
    <t>Mainz</t>
  </si>
  <si>
    <t>SE.CAED/10014983.Facility</t>
  </si>
  <si>
    <t>Kraftvärmeverket i Linköping</t>
  </si>
  <si>
    <t>http://paikkatiedot.fi/so/1002031/pf/ProductionFacility/0000002157.ProductionFacility</t>
  </si>
  <si>
    <t>Vaasan Voima Oy, Vaasan voimalaitos, VL2</t>
  </si>
  <si>
    <t>Vaasa</t>
  </si>
  <si>
    <t>https://registry.gdi-de.org/id/de.nw.inspire.pf.bube-eureg/arb-2017-362028-300-9968049</t>
  </si>
  <si>
    <t>EEW Energy from Waste Saarbrücken GmbH</t>
  </si>
  <si>
    <t>Hürth</t>
  </si>
  <si>
    <t>CH.CAED/000000110.Facility</t>
  </si>
  <si>
    <t>KEBAG AG</t>
  </si>
  <si>
    <t>Zuchwil</t>
  </si>
  <si>
    <t>SE.CAED/10014118.Facility</t>
  </si>
  <si>
    <t>Igelsta värmeverk</t>
  </si>
  <si>
    <t>http://paikkatiedot.fi/so/1002031/pf/ProductionFacility/0000001216.ProductionFacility</t>
  </si>
  <si>
    <t>Loimua Oy, Vanajan voimalaitos, Hämeenlinna</t>
  </si>
  <si>
    <t>Hämeenlinna</t>
  </si>
  <si>
    <t>SE.CAED/10024059.Facility</t>
  </si>
  <si>
    <t>Hedensbyns kraftvärmeverk</t>
  </si>
  <si>
    <t>SKELLEFTEÅ</t>
  </si>
  <si>
    <t>PL.MŚ/000000705.FACILITY</t>
  </si>
  <si>
    <t>Elektrownia Pątnów II</t>
  </si>
  <si>
    <t>Konin</t>
  </si>
  <si>
    <t>CH.CAED/000000206.Facility</t>
  </si>
  <si>
    <t>Les Cheneviers  / UIOM</t>
  </si>
  <si>
    <t>Aire-la-Ville</t>
  </si>
  <si>
    <t>PL.MŚ/000004638.FACILITY</t>
  </si>
  <si>
    <t>Nowe Jaworzno Grupa TAURON sp. z o.o.</t>
  </si>
  <si>
    <t>http://paikkatiedot.fi/so/1002031/pf/ProductionFacility/0100198358.ProductionFacility</t>
  </si>
  <si>
    <t>Keravan Lämpövoima Oy, Keravan voimalaitos</t>
  </si>
  <si>
    <t>Kerava</t>
  </si>
  <si>
    <t>http://paikkatiedot.fi/so/1002031/pf/ProductionFacility/0000002591.ProductionFacility</t>
  </si>
  <si>
    <t>Stora Enso Publication Papers Oy Ltd, Anjalankosken tehtaat</t>
  </si>
  <si>
    <t>Animal and vegetable products from the food and beverage sector</t>
  </si>
  <si>
    <t>8(b)(ii)</t>
  </si>
  <si>
    <t>Treatment and processing intended for the production of food and beverage products from vegetable raw materials</t>
  </si>
  <si>
    <t>PT.CAED/PT.APA05766442.CI</t>
  </si>
  <si>
    <t>SCC - Sociedade Central de Cervejas e Bebidas,S.A. (CI)</t>
  </si>
  <si>
    <t>Vialonga</t>
  </si>
  <si>
    <t>Food &amp; drink from vegetables</t>
  </si>
  <si>
    <t>ES.CAED/004857000.FACILITY</t>
  </si>
  <si>
    <t>PLANTA DE VALORITZACIO ENERGETICA DE SANT ADRIA DE BESOS</t>
  </si>
  <si>
    <t>Sant Adrià de Besòs</t>
  </si>
  <si>
    <t>CZ.MZP.S207/CZ92220409.FACILITY</t>
  </si>
  <si>
    <t>Teplárna ŠKO-ENERGO s.r.o.</t>
  </si>
  <si>
    <t>Mladá Boleslav</t>
  </si>
  <si>
    <t>UK.CAED/EW_EA-2764.FACILITY</t>
  </si>
  <si>
    <t>Tyseley Energy from Waste Plant</t>
  </si>
  <si>
    <t>Tyseley</t>
  </si>
  <si>
    <t>FR.CAED/9528.FACILITY</t>
  </si>
  <si>
    <t>BLUE PAPER</t>
  </si>
  <si>
    <t>STRASBOURG</t>
  </si>
  <si>
    <t>AT.CAED/9008390707227.FACILITY</t>
  </si>
  <si>
    <t>Smurfit Kappa Nettingsdorf AG &amp; Co KG</t>
  </si>
  <si>
    <t>Kremsdorf</t>
  </si>
  <si>
    <t>https://registry.gdi-de.org/id/de.hb//de.hb.pf.bube-eureg.06-04-12/2177562/6/0</t>
  </si>
  <si>
    <t>Bremerhavener Entsorgungsgesellschaft mbH</t>
  </si>
  <si>
    <t>Bremerhaven</t>
  </si>
  <si>
    <t>https://registry.gdi-de.org/id/de.by.inspire.pf.ied/S00894</t>
  </si>
  <si>
    <t>Sappi Stockstadt GmbH</t>
  </si>
  <si>
    <t>Stockstadt a.Main</t>
  </si>
  <si>
    <t>2(e)(i)</t>
  </si>
  <si>
    <t>Installation for the production of non-ferrous crude metals from ore, concentrates or secondary raw materials by metallurgical, chemical or electrolytic processes</t>
  </si>
  <si>
    <t>NO.EEA/192383.FACILITY</t>
  </si>
  <si>
    <t>Elkem Salten</t>
  </si>
  <si>
    <t>Straumen</t>
  </si>
  <si>
    <t>Non-ferrous metals</t>
  </si>
  <si>
    <t>UK.CAED/EW_EA-16008.FACILITY</t>
  </si>
  <si>
    <t>Staffordshire Energy Recovery Facility EPR/HP3431HK/V003</t>
  </si>
  <si>
    <t>WOLVERHAMPTON</t>
  </si>
  <si>
    <t>CH.CAED/000000286.Facility</t>
  </si>
  <si>
    <t>ERZ KHKW Hagenholz</t>
  </si>
  <si>
    <t>Zürich</t>
  </si>
  <si>
    <t>Mineral industry</t>
  </si>
  <si>
    <t>3(c)</t>
  </si>
  <si>
    <t>Installations for the production of cement clinker in rotary kilns, lime in rotary kilns, cement or lime in other furnaces. Note to reporters, use Level 3 activity e.g. 3(c)(i), in preference to 3(c). Level 2 activity class (i.e. 3(c)) only to be used where Level 3 is not available.</t>
  </si>
  <si>
    <t>SE.CAED/10016795.Facility</t>
  </si>
  <si>
    <t>Cementa AB, Slitefabriken</t>
  </si>
  <si>
    <t>SLITE</t>
  </si>
  <si>
    <t>Various</t>
  </si>
  <si>
    <t>http://paikkatiedot.fi/so/1002031/pf/ProductionFacility/0100203967.ProductionFacility</t>
  </si>
  <si>
    <t>Vantaan Energia Keski-Uusimaa Oy, Järvenpään voimalaitos</t>
  </si>
  <si>
    <t>Järvenpää</t>
  </si>
  <si>
    <t>EE.KAUR.TTR/155.FACILITY</t>
  </si>
  <si>
    <t>AS Utilitas Tallinn, Mustamäe katlamaja</t>
  </si>
  <si>
    <t>Mustamäe linnaosa, Tallinn</t>
  </si>
  <si>
    <t>http://paikkatiedot.fi/so/1002031/pf/ProductionFacility/0000001300.ProductionFacility</t>
  </si>
  <si>
    <t>Kainuun Voima Oy, Kainuun Voima Oy:n höyryvoimalaitos</t>
  </si>
  <si>
    <t>Kajaani</t>
  </si>
  <si>
    <t>SE.CAED/10014500.Facility</t>
  </si>
  <si>
    <t>HPC Simpan och Ena Kraft, kraftvärmeverket</t>
  </si>
  <si>
    <t>ENKÖPING</t>
  </si>
  <si>
    <t>https://registry.gdi-de.org/id/de.nw.inspire.pf.bube-eureg/arb-2017-354012-300-9001747</t>
  </si>
  <si>
    <t>MVA Weisweiler GmbH &amp; Co. KG</t>
  </si>
  <si>
    <t>Eschweiler</t>
  </si>
  <si>
    <t>RO.CAED/102SV0001.FACILITY</t>
  </si>
  <si>
    <t>SC EGGER ROMANIA SRL Radauti</t>
  </si>
  <si>
    <t>Radauti</t>
  </si>
  <si>
    <t>UK.CAED/EW_EA-2520.FACILITY</t>
  </si>
  <si>
    <t>SELCHP Energy Recovery Facility</t>
  </si>
  <si>
    <t>LONDON</t>
  </si>
  <si>
    <t>https://data.ied_registry.omgeving.vlaanderen.be/id/productionfacility//BE.VL.000000931.FACILITY</t>
  </si>
  <si>
    <t>A &amp; S ENERGIE</t>
  </si>
  <si>
    <t>Oostrozebeke</t>
  </si>
  <si>
    <t>LT.CAED/301276531.FACILITY</t>
  </si>
  <si>
    <t>UAB „Fortum Klaipėda“</t>
  </si>
  <si>
    <t>Klaipeda</t>
  </si>
  <si>
    <t>NO.EEA/192160.FACILITY</t>
  </si>
  <si>
    <t>BIR Avfallsenergi</t>
  </si>
  <si>
    <t>Bergen</t>
  </si>
  <si>
    <t>IT.CAED/270202001.FACILITY</t>
  </si>
  <si>
    <t>LOMELLINA ENERGIA</t>
  </si>
  <si>
    <t>Parona</t>
  </si>
  <si>
    <t>http://paikkatiedot.fi/so/1002031/pf/ProductionFacility/0000002336.ProductionFacility</t>
  </si>
  <si>
    <t>Mäntän Energia Oy, Voimalaitos</t>
  </si>
  <si>
    <t>Mänttä-vilppula</t>
  </si>
  <si>
    <t>CH.CAED/000000274.Facility</t>
  </si>
  <si>
    <t>IWB Basel</t>
  </si>
  <si>
    <t>Basel</t>
  </si>
  <si>
    <t>SE.CAED/10018098.Facility</t>
  </si>
  <si>
    <t>Allöverket</t>
  </si>
  <si>
    <t>KRISTIANSTAD</t>
  </si>
  <si>
    <t>EE.KAUR.TTR/38.FACILITY</t>
  </si>
  <si>
    <t>Silpower AS, Sillamäe soojuselektrijaam</t>
  </si>
  <si>
    <t>Sillamäe linn</t>
  </si>
  <si>
    <t>SE.CAED/10014052.Facility</t>
  </si>
  <si>
    <t>HÄSSELBYVERKET</t>
  </si>
  <si>
    <t>HÄSSELBY</t>
  </si>
  <si>
    <t>IT.CAED/960101002.FACILITY</t>
  </si>
  <si>
    <t>ISAB S.r.l.-IGCC</t>
  </si>
  <si>
    <t>PRIOLO GARGALLO</t>
  </si>
  <si>
    <t>CH.CAED/000000283.Facility</t>
  </si>
  <si>
    <t>KVA Thurgau</t>
  </si>
  <si>
    <t>Weinfelden</t>
  </si>
  <si>
    <t>AT.CAED/9008391215707.FACILITY</t>
  </si>
  <si>
    <t>Wiener Kommunal-Umweltschutzprojekt- gesellschaft mbH</t>
  </si>
  <si>
    <t>Wien,Simmering</t>
  </si>
  <si>
    <t>SI.ARSO/000000018.FACILITY</t>
  </si>
  <si>
    <t>Energetika Ljubljana, (Lokacija Toplarniška)</t>
  </si>
  <si>
    <t>Ljubljana</t>
  </si>
  <si>
    <t>http://paikkatiedot.fi/so/1002031/pf/ProductionFacility/0100184511.ProductionFacility</t>
  </si>
  <si>
    <t>Tornion Voima Oy, Röyttän teollisuusalueen voimalaitos ja kattilalai</t>
  </si>
  <si>
    <t>Tornio</t>
  </si>
  <si>
    <t>ES.CAED/001983000.FACILITY</t>
  </si>
  <si>
    <t>CENTRAL TÉRMICA DE GRANADILLA</t>
  </si>
  <si>
    <t>GRANADILLA DE ABONA</t>
  </si>
  <si>
    <t>SE.CAED/10015046.Facility</t>
  </si>
  <si>
    <t>Bravikens Pappersbruk</t>
  </si>
  <si>
    <t>PL.MŚ/000000104.FACILITY</t>
  </si>
  <si>
    <t>Górażdże Cement S.A. - Cementowia Górażdże</t>
  </si>
  <si>
    <t>Chorula</t>
  </si>
  <si>
    <t>FR.CAED/8610.FACILITY</t>
  </si>
  <si>
    <t>SIAAP</t>
  </si>
  <si>
    <t>MAISONS LAFFITTE</t>
  </si>
  <si>
    <t>http://paikkatiedot.fi/so/1002031/pf/ProductionFacility/0000052805.ProductionFacility</t>
  </si>
  <si>
    <t>Järvi-Suomen Voima Oy, Ristiinan voimalaitos</t>
  </si>
  <si>
    <t>AT.CAED/9008390537091.FACILITY</t>
  </si>
  <si>
    <t>Sappi Austria Produktions-GmbH &amp; Co. KG</t>
  </si>
  <si>
    <t>Forstviertel</t>
  </si>
  <si>
    <t>PL.MŚ/000001902.FACILITY</t>
  </si>
  <si>
    <t>ZTPO</t>
  </si>
  <si>
    <t>Kraków</t>
  </si>
  <si>
    <t>PL.MŚ/000000162.FACILITY</t>
  </si>
  <si>
    <t>Elektrociepłownia Żerań</t>
  </si>
  <si>
    <t>IT.CAED/980441001.FACILITY</t>
  </si>
  <si>
    <t>CENTRALE TERMOELETTRICA DI SAN FILIPPO DEL MELA</t>
  </si>
  <si>
    <t>SAN FILIPPO DEL MELA</t>
  </si>
  <si>
    <t>SE.CAED/10019441.Facility</t>
  </si>
  <si>
    <t>Sävenäs Kraftvärmeverk</t>
  </si>
  <si>
    <t>UK.CAED/EW_EA-18706.FACILITY</t>
  </si>
  <si>
    <t>Beddington Energy Recovery Facility EPR/TP3836CT</t>
  </si>
  <si>
    <t>Croydon</t>
  </si>
  <si>
    <t>FR.CAED/146.FACILITY</t>
  </si>
  <si>
    <t>SAICA PAPER  FRANCE (ROCHETTE VENIZEL)</t>
  </si>
  <si>
    <t>VENIZEL</t>
  </si>
  <si>
    <t>UK.CAED/EW_EA-16899.FACILITY</t>
  </si>
  <si>
    <t>Ardley EfW Plant EPR/FP3134GU</t>
  </si>
  <si>
    <t>BICESTER</t>
  </si>
  <si>
    <t>IT.CAED/481231006.FACILITY</t>
  </si>
  <si>
    <t>EniPower  stabilimento di Ravenna</t>
  </si>
  <si>
    <t>RAVENNA</t>
  </si>
  <si>
    <t>https://data.gov.sk/set/data/so/47056307_minzp/pf:ProductionFacility/47056307.NRZ.FACILITY</t>
  </si>
  <si>
    <t>Slovenské elektrárne, a.s. - Elektrárne Nováky, závod</t>
  </si>
  <si>
    <t>Zemianske Kostoľany</t>
  </si>
  <si>
    <t>FR.CAED/9964.FACILITY</t>
  </si>
  <si>
    <t>SETMI</t>
  </si>
  <si>
    <t>TOULOUSE</t>
  </si>
  <si>
    <t>FR.CAED/32898.FACILITY</t>
  </si>
  <si>
    <t>TOTALENERGIES - CENTRALE ÉLECTRIQUE SAINT-AVOLD</t>
  </si>
  <si>
    <t>ST AVOLD</t>
  </si>
  <si>
    <t>PL.MŚ/000000212.FACILITY</t>
  </si>
  <si>
    <t>Kronospan Mielec Sp. z o.o.</t>
  </si>
  <si>
    <t>Mielec</t>
  </si>
  <si>
    <t>ES.CAED/003531000.FACILITY</t>
  </si>
  <si>
    <t>CENTRAL TÉRMICA LOS BARRIOS</t>
  </si>
  <si>
    <t>Barrios, Los</t>
  </si>
  <si>
    <t>PT.CAED/PT.APA05771942.CI</t>
  </si>
  <si>
    <t>Central de Ciclo Combinado do Pego (CI)</t>
  </si>
  <si>
    <t>PEGO</t>
  </si>
  <si>
    <t>IT.CAED/461001003.FACILITY</t>
  </si>
  <si>
    <t>EniPower Mantova S.p.A.</t>
  </si>
  <si>
    <t>MANTOVA</t>
  </si>
  <si>
    <t>https://registry.gdi-de.org/id/de.sl.inspire.pf//0075674-G</t>
  </si>
  <si>
    <t>AVA Velsen</t>
  </si>
  <si>
    <t>Saarbrücken</t>
  </si>
  <si>
    <t>https://data.ied_registry.omgeving.vlaanderen.be/id/productionfacility//BE.VL.000001873.FACILITY</t>
  </si>
  <si>
    <t>A&amp;U ENERGIE</t>
  </si>
  <si>
    <t>Wielsbeke</t>
  </si>
  <si>
    <t>CH.CAED/000000227.Facility</t>
  </si>
  <si>
    <t>TRIDEL Lausanne</t>
  </si>
  <si>
    <t>Lausanne</t>
  </si>
  <si>
    <t>SE.CAED/10017854.Facility</t>
  </si>
  <si>
    <t>Filborna Kraftvärmeverk</t>
  </si>
  <si>
    <t>CZ.MZP.J632/CZ13996896.FACILITY</t>
  </si>
  <si>
    <t>KRONOSPAN CR</t>
  </si>
  <si>
    <t>AT.CAED/9008391215769.FACILITY</t>
  </si>
  <si>
    <t>EEVG Entsorgungs- und Energiever- wertungsgesellschaft m.b.H.</t>
  </si>
  <si>
    <t>Stötten</t>
  </si>
  <si>
    <t>FR.CAED/5469.FACILITY</t>
  </si>
  <si>
    <t>METROPOLE DE LYON - UNITÉ DE TRAITEMENT ET DE VALORISATION ENERGÉTIQUE DES DÉCHETS LYON SUD - UTVE</t>
  </si>
  <si>
    <t>LYON 07</t>
  </si>
  <si>
    <t>IT.CAED/330501001.FACILITY</t>
  </si>
  <si>
    <t>CENTRALE TERMOELETTRICA DI TORVISCOSA</t>
  </si>
  <si>
    <t>TORVISCOSA</t>
  </si>
  <si>
    <t>SE.CAED/10020920.Facility</t>
  </si>
  <si>
    <t>Karlskoga kraftvärmeverk</t>
  </si>
  <si>
    <t>KARLSKOGA</t>
  </si>
  <si>
    <t>PL.MŚ/000000391.FACILITY</t>
  </si>
  <si>
    <t>EDF Polska S.A. Oddział nr 1 w Krakowie</t>
  </si>
  <si>
    <t>3(c)(i)</t>
  </si>
  <si>
    <t>Installations for the production of cement clinker in rotary kilns</t>
  </si>
  <si>
    <t>CY.CAED/0060500000.FACILITY</t>
  </si>
  <si>
    <t>VASSILIKO CEMENT WORKS PUBLIC COMPANY LTD, Vassilikos Plant</t>
  </si>
  <si>
    <t>LARNAKA</t>
  </si>
  <si>
    <t>Cement</t>
  </si>
  <si>
    <t>FR.CAED/9479.FACILITY</t>
  </si>
  <si>
    <t>SENERVAL UIOM</t>
  </si>
  <si>
    <t>CH.CAED/000000287.Facility</t>
  </si>
  <si>
    <t>KVA Winterthur</t>
  </si>
  <si>
    <t>Winterthur</t>
  </si>
  <si>
    <t>http://paikkatiedot.fi/so/1002031/pf/ProductionFacility/0000016028.ProductionFacility</t>
  </si>
  <si>
    <t>Kotkan Energia Oy, Hovinsaaren voimalaitos</t>
  </si>
  <si>
    <t>http://paikkatiedot.fi/so/1002031/pf/ProductionFacility/0000003607.ProductionFacility</t>
  </si>
  <si>
    <t>Järvi-Suomen Voima Oy , Savonlinnan voimalaitos</t>
  </si>
  <si>
    <t>Savonlinna</t>
  </si>
  <si>
    <t>CH.CAED/000000289.Facility</t>
  </si>
  <si>
    <t>KEZO Hinwil</t>
  </si>
  <si>
    <t>Hinwil</t>
  </si>
  <si>
    <t>ES.CAED/002927000.FACILITY</t>
  </si>
  <si>
    <t>CENTRAL TÉRMICA DE SOTO DE RIBERA</t>
  </si>
  <si>
    <t>SOTO DE RIBERA</t>
  </si>
  <si>
    <t>ES.CAED/006644000.FACILITY</t>
  </si>
  <si>
    <t>CENTRAL TERMICA DE CICLO COMBINADO DE CARTAGENA</t>
  </si>
  <si>
    <t>ESCOMBRERAS</t>
  </si>
  <si>
    <t>FR.CAED/6708.FACILITY</t>
  </si>
  <si>
    <t>EDF SA</t>
  </si>
  <si>
    <t>CORDEMAIS</t>
  </si>
  <si>
    <t>ES.CAED/001985000.FACILITY</t>
  </si>
  <si>
    <t>CENTRAL TÉRMICA BARRANCO DE TIRAJANA</t>
  </si>
  <si>
    <t>MATORRAL (EL)</t>
  </si>
  <si>
    <t>CH.CAED/000000280.Facility</t>
  </si>
  <si>
    <t>VfA Buchs</t>
  </si>
  <si>
    <t>Buchs SG</t>
  </si>
  <si>
    <t>IT.CAED/411222010.FACILITY</t>
  </si>
  <si>
    <t>HERAMBIENTE S.R.L.  - IMPIANTO DI TERMOVALORIZZAZIONE RIFIUTI NON PERICOLOSI</t>
  </si>
  <si>
    <t>MODENA</t>
  </si>
  <si>
    <t>IT.CAED/400351001.FACILITY</t>
  </si>
  <si>
    <t>Centrale termoelettrica di Ostiglia</t>
  </si>
  <si>
    <t>OSTIGLIA</t>
  </si>
  <si>
    <t>IT.CAED/290151001.FACILITY</t>
  </si>
  <si>
    <t>ENEL PRODUZIONE S.P.A. - POWER PLANT NORTH C.LE LA CASELLA</t>
  </si>
  <si>
    <t>CASTEL SAN GIOVANNI</t>
  </si>
  <si>
    <t>https://data.ied_registry.omgeving.vlaanderen.be/id/productionfacility//BE.VL.000000991.FACILITY</t>
  </si>
  <si>
    <t>BIOSTOOM OOSTENDE</t>
  </si>
  <si>
    <t>Oostende</t>
  </si>
  <si>
    <t>https://registry.gdi-de.org/id/de.nw.inspire.pf.bube-eureg/arb-2017-170020-100-0501870</t>
  </si>
  <si>
    <t>Kreis Weseler Abfallgesellschaft mbH &amp; Co. KG Abfallentsorgungszentrum Asdonkshof</t>
  </si>
  <si>
    <t>Kamp-Lintfort</t>
  </si>
  <si>
    <t>SE.CAED/10022364.Facility</t>
  </si>
  <si>
    <t>Sundsvall Energi AB, Korstaverk</t>
  </si>
  <si>
    <t>SUNDSVALL</t>
  </si>
  <si>
    <t>EL.CAED/100687.FACILITY</t>
  </si>
  <si>
    <t>PPC S.A. LIGNITIKI MEGALOPOLIS (SES UNIT ΙV)</t>
  </si>
  <si>
    <t>MEGALOPOLI</t>
  </si>
  <si>
    <t>https://data.ied_registry.omgeving.vlaanderen.be/id/productionfacility//BE.VL.000000642.FACILITY</t>
  </si>
  <si>
    <t>ELECTRABEL CENTRALE RODENHUIZE</t>
  </si>
  <si>
    <t>IT.CAED/268361001.FACILITY</t>
  </si>
  <si>
    <t>centrale di Tavazzano e  Montanaso</t>
  </si>
  <si>
    <t>MONTANASO LOMBARDO</t>
  </si>
  <si>
    <t>FR.CAED/659.FACILITY</t>
  </si>
  <si>
    <t>VALBOM</t>
  </si>
  <si>
    <t>BEGLES</t>
  </si>
  <si>
    <t>AT.CAED/9008390972489.FACILITY</t>
  </si>
  <si>
    <t>IT.CAED/240442001.FACILITY</t>
  </si>
  <si>
    <t>REA Dalmine SpA</t>
  </si>
  <si>
    <t>DALMINE</t>
  </si>
  <si>
    <t>PL.MŚ/000000123.FACILITY</t>
  </si>
  <si>
    <t>TAURON Wytwarzanie S.A Elektrownia Łagisza</t>
  </si>
  <si>
    <t>Będzin</t>
  </si>
  <si>
    <t>FR.CAED/13703.FACILITY</t>
  </si>
  <si>
    <t>PAPREC ENERGIES 66</t>
  </si>
  <si>
    <t>CALCE</t>
  </si>
  <si>
    <t>CZ.MZP.A100/CZ26416675.FACILITY</t>
  </si>
  <si>
    <t>Spalovna Malešice</t>
  </si>
  <si>
    <t>Praha 10</t>
  </si>
  <si>
    <t>IT.CAED/400572001.FACILITY</t>
  </si>
  <si>
    <t>FRULLO ENERGIA AMBIENTE S.R.L.</t>
  </si>
  <si>
    <t>GRANAROLO DELL'EMILIA</t>
  </si>
  <si>
    <t>IT.CAED/200562001.FACILITY</t>
  </si>
  <si>
    <t>IMPIANTO DI TERMOVALORIZZAZIONE RIFIUTI SOLIDI URBANI E NON PERICOLOSI</t>
  </si>
  <si>
    <t>TREZZO SULL'ADDA</t>
  </si>
  <si>
    <t>IT.CAED/351272002.FACILITY</t>
  </si>
  <si>
    <t>Impianto di Termovalorizzazione di San Lazzaro (PD)</t>
  </si>
  <si>
    <t>PADOVA</t>
  </si>
  <si>
    <t>CH.CAED/000000362.Facility</t>
  </si>
  <si>
    <t>ACR Giubiasco</t>
  </si>
  <si>
    <t>Giubiasco</t>
  </si>
  <si>
    <t>AT.CAED/9008390974230.FACILITY</t>
  </si>
  <si>
    <t>FunderMax GmbH</t>
  </si>
  <si>
    <t>St. Veit an der Glan</t>
  </si>
  <si>
    <t>LU.CAED/000007000.FACILITY</t>
  </si>
  <si>
    <t>Sidor</t>
  </si>
  <si>
    <t>Leudelange</t>
  </si>
  <si>
    <t>PL.MŚ/000000141.FACILITY</t>
  </si>
  <si>
    <t>CEZ Chorzów S.A.</t>
  </si>
  <si>
    <t>Chorzów</t>
  </si>
  <si>
    <t>ES.CAED/001868000.FACILITY</t>
  </si>
  <si>
    <t>TOTALENERGIES CLIENTES, S.A.U.</t>
  </si>
  <si>
    <t>CASTEJON</t>
  </si>
  <si>
    <t>FR.CAED/4111.FACILITY</t>
  </si>
  <si>
    <t>OREADE SAS</t>
  </si>
  <si>
    <t>ST JEAN DE FOLLEVILLE</t>
  </si>
  <si>
    <t>FR.CAED/7659.FACILITY</t>
  </si>
  <si>
    <t>CENTRE PRODUCTION THERMIQUE PONTEAU - CCG DE MARTIGUES</t>
  </si>
  <si>
    <t>MARTIGUES</t>
  </si>
  <si>
    <t>PT.CAED/PT.APA05766202.CI</t>
  </si>
  <si>
    <t>Central de Ciclo Combinado da Tapada do Outeiro (CI)</t>
  </si>
  <si>
    <t>MEDAS</t>
  </si>
  <si>
    <t>CH.CAED/000000410.Facility</t>
  </si>
  <si>
    <t>Energiezentrale Forsthaus (KVA)</t>
  </si>
  <si>
    <t>Bern</t>
  </si>
  <si>
    <t>PL.MŚ/000001405.FACILITY</t>
  </si>
  <si>
    <t>SW-SOLAR CZARNA WODA SPÓŁKA Z OGRANICZONĄ ODPOWIEDZIALNOŚCIĄ</t>
  </si>
  <si>
    <t>CZARNA WODA</t>
  </si>
  <si>
    <t>FR.CAED/8403.FACILITY</t>
  </si>
  <si>
    <t>SUEZ RV ENERGIE - UVE D'ARGENTEUIL (EX NOVERGIE-UIOM)</t>
  </si>
  <si>
    <t>ARGENTEUIL</t>
  </si>
  <si>
    <t>ES.CAED/001600000.FACILITY</t>
  </si>
  <si>
    <t>COMPLEJO INDUSTRIAL DE HUELVA</t>
  </si>
  <si>
    <t>Huelva</t>
  </si>
  <si>
    <t>ES.CAED/001767000.FACILITY</t>
  </si>
  <si>
    <t>SMURFIT NAVARRA, S.A.-SANGÜESA</t>
  </si>
  <si>
    <t>SANGUESA</t>
  </si>
  <si>
    <t>IT.CAED/880501001.FACILITY</t>
  </si>
  <si>
    <t>CENTRALE TERMOELETTRICA DI SIMERI CRICHI</t>
  </si>
  <si>
    <t>SIMERI CRICHI</t>
  </si>
  <si>
    <t>IT.CAED/090101001.FACILITY</t>
  </si>
  <si>
    <t>Enel Produzione S.p.A. - Centrale Sulcis "Grazia Deledda"</t>
  </si>
  <si>
    <t>PORTOSCUSO</t>
  </si>
  <si>
    <t>http://paikkatiedot.fi/so/1002031/pf/ProductionFacility/0000003626.ProductionFacility</t>
  </si>
  <si>
    <t xml:space="preserve">Nevel Oy, Forssan voimalaitos </t>
  </si>
  <si>
    <t>Forssa</t>
  </si>
  <si>
    <t>SE.CAED/10021743.Facility</t>
  </si>
  <si>
    <t>STORA ENSO PAPER AB, Kvarnsveden Mill</t>
  </si>
  <si>
    <t>BORLÄNGE</t>
  </si>
  <si>
    <t>http://paikkatiedot.fi/so/1002031/pf/ProductionFacility/0000002674.ProductionFacility</t>
  </si>
  <si>
    <t>KUMPUNIEMEN VOIMA OY, Voimalaitos</t>
  </si>
  <si>
    <t>https://registry.gdi-de.org/id/de.th/5bf25e39-19d5-4254-adac-63f1b1cec499/77012792</t>
  </si>
  <si>
    <t xml:space="preserve">Dyckerhoff GmbH, Werk Deuna </t>
  </si>
  <si>
    <t>Niederorschel</t>
  </si>
  <si>
    <t>http://paikkatiedot.fi/so/1002031/pf/ProductionFacility/0000020744.ProductionFacility</t>
  </si>
  <si>
    <t>Oy Alholmens Kraft Ab, Pietarsaaren voimalaitos</t>
  </si>
  <si>
    <t>Pietarsaari</t>
  </si>
  <si>
    <t>FR.CAED/6144.FACILITY</t>
  </si>
  <si>
    <t>NORSKE SKOG</t>
  </si>
  <si>
    <t>GOLBEY</t>
  </si>
  <si>
    <t>FR.CAED/7420.FACILITY</t>
  </si>
  <si>
    <t>SAS ZEPHIRE</t>
  </si>
  <si>
    <t>TOULON</t>
  </si>
  <si>
    <t>ES.CAED/007150000.FACILITY</t>
  </si>
  <si>
    <t>NATURGY CICLOS COMBINADOS, S.L.</t>
  </si>
  <si>
    <t>PUERTO (EL)</t>
  </si>
  <si>
    <t>SE.CAED/10017499.Facility</t>
  </si>
  <si>
    <t>Ångcentralen</t>
  </si>
  <si>
    <t>PERSTORP</t>
  </si>
  <si>
    <t>DK.CAED/000105324.FACILITY</t>
  </si>
  <si>
    <t>Kredsløb, Affaldsenergi A/S</t>
  </si>
  <si>
    <t>Aarhus N</t>
  </si>
  <si>
    <t>IT.CAED/900181001.FACILITY</t>
  </si>
  <si>
    <t>Power Plant South - Impianto di Termini Imerese - Centrale Ettore Majorana</t>
  </si>
  <si>
    <t>TERMINI IMERESE</t>
  </si>
  <si>
    <t>https://registry.gdi-de.org/id/de.nw.inspire.pf.bube-eureg/arb-2017-978024-900-9000377</t>
  </si>
  <si>
    <t>INNOVATHERM -Ges.zur innovativen Nu tzung v.Brennstoffen</t>
  </si>
  <si>
    <t>Lünen</t>
  </si>
  <si>
    <t>CH.CAED/000000230.Facility</t>
  </si>
  <si>
    <t>SATOM Monthey</t>
  </si>
  <si>
    <t>Monthey</t>
  </si>
  <si>
    <t>ES.CAED/003067000.FACILITY</t>
  </si>
  <si>
    <t>FACTORIA MONTAÑANESA</t>
  </si>
  <si>
    <t>MONTAÑANA</t>
  </si>
  <si>
    <t>CZ.MZP.M714/CZ44196175.FACILITY</t>
  </si>
  <si>
    <t>Cement Hranice, akciová společnost</t>
  </si>
  <si>
    <t>Hranice</t>
  </si>
  <si>
    <t>NO.EEA/192083.FACILITY</t>
  </si>
  <si>
    <t>Norcem Brevik</t>
  </si>
  <si>
    <t>Brevik</t>
  </si>
  <si>
    <t>ES.CAED/002761000.FACILITY</t>
  </si>
  <si>
    <t>SAICA 1</t>
  </si>
  <si>
    <t>ZARAGOZA</t>
  </si>
  <si>
    <t>AT.CAED/9008391178545.FACILITY</t>
  </si>
  <si>
    <t>Wien,Ottakring</t>
  </si>
  <si>
    <t>HR.CAED/000000019.FACILITY</t>
  </si>
  <si>
    <t>TE Plomin</t>
  </si>
  <si>
    <t>Plomin</t>
  </si>
  <si>
    <t>SE.CAED/10024810.Facility</t>
  </si>
  <si>
    <t>Bodens värmeverk, BEAB</t>
  </si>
  <si>
    <t>BODEN</t>
  </si>
  <si>
    <t>FR.CAED/7494.FACILITY</t>
  </si>
  <si>
    <t>SUEZ RV ENERGIE</t>
  </si>
  <si>
    <t>VEDENE</t>
  </si>
  <si>
    <t>ES.CAED/008330000.FACILITY</t>
  </si>
  <si>
    <t>CENTRAL TÉRMICA DE CICLO COMBINADO BAHÍA DE ALGECIRAS</t>
  </si>
  <si>
    <t>PUENTE MAYORGA</t>
  </si>
  <si>
    <t>https://registry.gdi-de.org/id/de.sn.sax4inspire.pf/70019073</t>
  </si>
  <si>
    <t>Thermische Abfallbehandlung Lauta GmbH &amp; Co. oHG</t>
  </si>
  <si>
    <t>Lauta</t>
  </si>
  <si>
    <t>PL.MŚ/000000034.FACILITY</t>
  </si>
  <si>
    <t>Elektrociepłownia Gdańska</t>
  </si>
  <si>
    <t>Gdańsk</t>
  </si>
  <si>
    <t>AT.CAED/9008390397176.FACILITY</t>
  </si>
  <si>
    <t>Fritz EGGER GmbH &amp; Co. OG</t>
  </si>
  <si>
    <t>Unterradlberg</t>
  </si>
  <si>
    <t>https://data.ied_registry.omgeving.vlaanderen.be/id/productionfacility//BE.VL.000000687.FACILITY</t>
  </si>
  <si>
    <t>VPK Paper</t>
  </si>
  <si>
    <t>Dendermonde</t>
  </si>
  <si>
    <t>ES.CAED/004848000.FACILITY</t>
  </si>
  <si>
    <t>CENTRAL TERMICA DE CICLE COMBINAT (SANT ADRIÀ DE BESÒS - GRUPS 3 I 4)</t>
  </si>
  <si>
    <t>ES.CAED/007626000.FACILITY</t>
  </si>
  <si>
    <t>CENTRAL DE CICLO COMBINADO AS PONTES</t>
  </si>
  <si>
    <t>VILABELLA</t>
  </si>
  <si>
    <t>FR.CAED/10012.FACILITY</t>
  </si>
  <si>
    <t>ECONOTRE</t>
  </si>
  <si>
    <t>BESSIERES</t>
  </si>
  <si>
    <t>2(e)</t>
  </si>
  <si>
    <t>Installations for the production and/or smelting of non-ferrous metals. Note to reporters, use Level 3 activity e.g. 2(e)(i), in preference to 2(e). Level 2 activity class (i.e. 2(e)) only to be used where Level 3 is not available.</t>
  </si>
  <si>
    <t>EL.CAED/100048.FACILITY</t>
  </si>
  <si>
    <t>MYTILINEOS S.A.  / METALLURGY BUSINESS UNIT PLAN-ALOUMINIUM OF GREECE</t>
  </si>
  <si>
    <t>VIOTIA</t>
  </si>
  <si>
    <t>CH.CAED/000000231.Facility</t>
  </si>
  <si>
    <t>GEKAL Buchs</t>
  </si>
  <si>
    <t>Buchs AG</t>
  </si>
  <si>
    <t>PL.MŚ/000004579.FACILITY</t>
  </si>
  <si>
    <t>Zakład Unieszkodliwiania Odpadów Sp. z o.o.</t>
  </si>
  <si>
    <t>Szczecin</t>
  </si>
  <si>
    <t>PT.CAED/PT.APA05771462.CI</t>
  </si>
  <si>
    <t>Central Termoeléctrica do Ribatejo (CI)</t>
  </si>
  <si>
    <t>CARREGADO</t>
  </si>
  <si>
    <t>FR.CAED/11375.FACILITY</t>
  </si>
  <si>
    <t>EDF BOUCHAIN_CCG</t>
  </si>
  <si>
    <t>BOUCHAIN</t>
  </si>
  <si>
    <t>https://registry.gdi-de.org/id/de.by.inspire.pf.ied/S00984</t>
  </si>
  <si>
    <t>Müllheizkraftwerk Kempten</t>
  </si>
  <si>
    <t>Kempten (Allgäu)</t>
  </si>
  <si>
    <t>PL.MŚ/000000140.FACILITY</t>
  </si>
  <si>
    <t>CEZ Skawina S.A.</t>
  </si>
  <si>
    <t>Skawina</t>
  </si>
  <si>
    <t>PL.MŚ/000000693.FACILITY</t>
  </si>
  <si>
    <t>Elektrownia Pątnów I</t>
  </si>
  <si>
    <t>CZ.MZP.U423/CZ47356419.FACILITY</t>
  </si>
  <si>
    <t>Lafarge Cement, a.s.</t>
  </si>
  <si>
    <t>Čížkovice</t>
  </si>
  <si>
    <t>NO.EEA/192008.FACILITY</t>
  </si>
  <si>
    <t>Borregaard AS, avd. spesialcellulose</t>
  </si>
  <si>
    <t>Sarpsborg</t>
  </si>
  <si>
    <t>IT.CAED/391002004.FACILITY</t>
  </si>
  <si>
    <t>Termovalorizzatore rifiuti residui di Bolzano</t>
  </si>
  <si>
    <t>BOLZANO</t>
  </si>
  <si>
    <t>https://registry.gdi-de.org/id/de.rp.inspire.pf.bube-eureg/1000878</t>
  </si>
  <si>
    <t>IHKW Industrieheizkraftwerk Andernach Gm bH</t>
  </si>
  <si>
    <t>Andernach</t>
  </si>
  <si>
    <t>http://paikkatiedot.fi/so/1002031/pf/ProductionFacility/0000011179.ProductionFacility</t>
  </si>
  <si>
    <t>Sappi Finland Operations Oy, Kirkniemen voimalaitos</t>
  </si>
  <si>
    <t>Lohja</t>
  </si>
  <si>
    <t>IT.CAED/870421001.FACILITY</t>
  </si>
  <si>
    <t>CENTRALE TERMOELETTRICA DI ALTOMONTE</t>
  </si>
  <si>
    <t>ALTOMONTE</t>
  </si>
  <si>
    <t>IT.CAED/481231001.FACILITY</t>
  </si>
  <si>
    <t>ENEL PRODUZIONE SPA - CENTRALE A CICLO COMBINATO DI PORTO CORSINI</t>
  </si>
  <si>
    <t>IT.CAED/100241001.FACILITY</t>
  </si>
  <si>
    <t>CENTRALE TERMOELETTRICA DI COGENERAZIONE DI MONCALIERI</t>
  </si>
  <si>
    <t>MONCALIERI</t>
  </si>
  <si>
    <t>AT.CAED/9008391215691.FACILITY</t>
  </si>
  <si>
    <t>FCC Zistersdorf Abfall Service GmbH</t>
  </si>
  <si>
    <t>Zistersdorf</t>
  </si>
  <si>
    <t>SE.CAED/10018458.Facility</t>
  </si>
  <si>
    <t>Kristinehedsverket</t>
  </si>
  <si>
    <t>HALMSTAD</t>
  </si>
  <si>
    <t>IT.CAED/100341001.FACILITY</t>
  </si>
  <si>
    <t>CENTRALE TERMOELETTRICA DI CHIVASSO</t>
  </si>
  <si>
    <t>CHIVASSO</t>
  </si>
  <si>
    <t>IT.CAED/051002003.FACILITY</t>
  </si>
  <si>
    <t>ACEA AMBIENTE Srl UL1_Impianto di Termovalorizzazione</t>
  </si>
  <si>
    <t>TERNI</t>
  </si>
  <si>
    <t>EL.CAED/100072.FACILITY</t>
  </si>
  <si>
    <t>PPC S.A. SES MEGALOPOLIS, UNIT V</t>
  </si>
  <si>
    <t>PL.MŚ/000000916.FACILITY</t>
  </si>
  <si>
    <t>ZAKŁAD PRODUKCYJNY "SODA MĄTWY" W INOWROCŁAWIU</t>
  </si>
  <si>
    <t>INOWROCŁAW</t>
  </si>
  <si>
    <t>IT.CAED/341472001.FACILITY</t>
  </si>
  <si>
    <t>Impianto di Termovalorizzazione Rifiuti di Trieste - via Errera 11</t>
  </si>
  <si>
    <t>TRIESTE</t>
  </si>
  <si>
    <t>IT.CAED/130461001.FACILITY</t>
  </si>
  <si>
    <t>CENTRALE DI LIVORNO FERRARIS</t>
  </si>
  <si>
    <t>LIVORNO FERRARIS</t>
  </si>
  <si>
    <t>FR.CAED/13341.FACILITY</t>
  </si>
  <si>
    <t>SITOM NORD-ISERE (NOUVELLE UNITE)</t>
  </si>
  <si>
    <t>BOURGOIN JALLIEU</t>
  </si>
  <si>
    <t>IT.CAED/441221001.FACILITY</t>
  </si>
  <si>
    <t>S.E.F. S.R.L. SOCIETA' ENIPOWER FERRARA S.R.L.</t>
  </si>
  <si>
    <t>FERRARA</t>
  </si>
  <si>
    <t>EL.CAED/100004.FACILITY</t>
  </si>
  <si>
    <t>PPC S.A. SES KERATEAS-LAYRIOY</t>
  </si>
  <si>
    <t>KERATEA</t>
  </si>
  <si>
    <t>IT.CAED/170471001.FACILITY</t>
  </si>
  <si>
    <t>Centrale Vado Ligure</t>
  </si>
  <si>
    <t>QUILIANO</t>
  </si>
  <si>
    <t>FR.CAED/11135.FACILITY</t>
  </si>
  <si>
    <t>ROQUETTE FRÈRES</t>
  </si>
  <si>
    <t>LESTREM</t>
  </si>
  <si>
    <t>CZ.MZP.E531/CZ27995052.FACILITY</t>
  </si>
  <si>
    <t>CEMEX Czech Republic, s.r.o.</t>
  </si>
  <si>
    <t>Prachovice</t>
  </si>
  <si>
    <t>IT.CAED/471222018.FACILITY</t>
  </si>
  <si>
    <t>HERAMBIENTE - 3^ LINEA</t>
  </si>
  <si>
    <t>FORLI'</t>
  </si>
  <si>
    <t>AT.CAED/9008391215714.FACILITY</t>
  </si>
  <si>
    <t>W. Hamburger GmbH</t>
  </si>
  <si>
    <t>Pitten</t>
  </si>
  <si>
    <t>SE.CAED/10020018.Facility</t>
  </si>
  <si>
    <t>Lidköpings Värmeverk, Filen</t>
  </si>
  <si>
    <t>LIDKÖPING</t>
  </si>
  <si>
    <t>FR.CAED/2190.FACILITY</t>
  </si>
  <si>
    <t>SOTRAVAL-SPL</t>
  </si>
  <si>
    <t>BREST</t>
  </si>
  <si>
    <t>PL.MŚ/000000067.FACILITY</t>
  </si>
  <si>
    <t>CEMENTOWNIA "WARTA" SPÓŁKA AKCYJNA</t>
  </si>
  <si>
    <t>TRĘBACZEW</t>
  </si>
  <si>
    <t>IT.CAED/268211001.FACILITY</t>
  </si>
  <si>
    <t>CENTRALE A CICLO COMBINATO DI TURANO LODIGIANO E BERTONICO</t>
  </si>
  <si>
    <t>BERTONICO</t>
  </si>
  <si>
    <t>FR.CAED/5246.FACILITY</t>
  </si>
  <si>
    <t>GRENOBLE-ALPES METROPOLE</t>
  </si>
  <si>
    <t>LA TRONCHE</t>
  </si>
  <si>
    <t>NO.EEA/192262.FACILITY</t>
  </si>
  <si>
    <t>Elkem Bremanger</t>
  </si>
  <si>
    <t>Svelgen</t>
  </si>
  <si>
    <t>PL.MŚ/000000429.FACILITY</t>
  </si>
  <si>
    <t>Grupa Azoty Zakłady Chemiczne "POLICE" SA</t>
  </si>
  <si>
    <t>Police</t>
  </si>
  <si>
    <t>DK.CAED/000106482.FACILITY</t>
  </si>
  <si>
    <t>CP Kelco ApS</t>
  </si>
  <si>
    <t>Lille Skensved</t>
  </si>
  <si>
    <t>FR.CAED/5447.FACILITY</t>
  </si>
  <si>
    <t>NEOVALY</t>
  </si>
  <si>
    <t>RILLIEUX LA PAPE</t>
  </si>
  <si>
    <t>CH.CAED/000000270.Facility</t>
  </si>
  <si>
    <t>KVA Turgi</t>
  </si>
  <si>
    <t>Turgi</t>
  </si>
  <si>
    <t>IT.CAED/478532001.FACILITY</t>
  </si>
  <si>
    <t>HERAMBIENTE s.p.a (inceneritore)</t>
  </si>
  <si>
    <t>CORIANO</t>
  </si>
  <si>
    <t>IT.CAED/441242002.FACILITY</t>
  </si>
  <si>
    <t>HERAMBIENTE Spa -Termovalorizzatore</t>
  </si>
  <si>
    <t>SI.ARSO/000000011.FACILITY</t>
  </si>
  <si>
    <t>SALONIT ANHOVO gradbeni materiali</t>
  </si>
  <si>
    <t>Deskle</t>
  </si>
  <si>
    <t>https://registry.gdi-de.org/id/de.by.inspire.pf.ied/S00637</t>
  </si>
  <si>
    <t>MHKW Coburg</t>
  </si>
  <si>
    <t>Coburg</t>
  </si>
  <si>
    <t>ES.CAED/006516000.FACILITY</t>
  </si>
  <si>
    <t>CENTRAL CICLO COMBINADO CA'S TRESORER</t>
  </si>
  <si>
    <t>IT.CAED/238682003.FACILITY</t>
  </si>
  <si>
    <t>Impianto di termovalorizzazione di Valmadrera</t>
  </si>
  <si>
    <t>VALMADRERA</t>
  </si>
  <si>
    <t>ES.CAED/005989000.FACILITY</t>
  </si>
  <si>
    <t>CENTRAL CICLO COMBINADO ARCOS DE LA FRONTERA</t>
  </si>
  <si>
    <t>Arcos de la Frontera</t>
  </si>
  <si>
    <t>FR.CAED/9662.FACILITY</t>
  </si>
  <si>
    <t>SIVOM AGGLO MULHOUSIENNE SAUSHEIM - UIOM</t>
  </si>
  <si>
    <t>SAUSHEIM</t>
  </si>
  <si>
    <t>SE.CAED/10019896.Facility</t>
  </si>
  <si>
    <t>Ryaverket</t>
  </si>
  <si>
    <t>BORÅS</t>
  </si>
  <si>
    <t>SE.CAED/10019709.Facility</t>
  </si>
  <si>
    <t>Lillesjö Avfallskraftvärmeverk</t>
  </si>
  <si>
    <t>UDDEVALLA</t>
  </si>
  <si>
    <t>NO.EEA/192037.FACILITY</t>
  </si>
  <si>
    <t>Haraldrud energigjenvinningsanlegg</t>
  </si>
  <si>
    <t>https://data.ied_registry.omgeving.vlaanderen.be/id/productionfacility//BE.VL.000000503.FACILITY</t>
  </si>
  <si>
    <t>SAPPI LANAKEN</t>
  </si>
  <si>
    <t>Lanaken</t>
  </si>
  <si>
    <t>FR.CAED/8463.FACILITY</t>
  </si>
  <si>
    <t>SAREN</t>
  </si>
  <si>
    <t>SARCELLES</t>
  </si>
  <si>
    <t>IT.CAED/860772001.FACILITY</t>
  </si>
  <si>
    <t>TERMOVALORIZZATORE CCS POZZILLI</t>
  </si>
  <si>
    <t>POZZILLI</t>
  </si>
  <si>
    <t>https://registry.gdi-de.org/id/de.nw.inspire.pf.bube-eureg/arb-2017-566040-500-0106867</t>
  </si>
  <si>
    <t>Dyckerhoff GmbH</t>
  </si>
  <si>
    <t>Lengerich</t>
  </si>
  <si>
    <t>CH.CAED/000000282.Facility</t>
  </si>
  <si>
    <t>ZAB Bazenheid</t>
  </si>
  <si>
    <t>Bazenheid</t>
  </si>
  <si>
    <t>CZ.MZP.B643/CZ23625775.FACILITY</t>
  </si>
  <si>
    <t>závod Mokrá</t>
  </si>
  <si>
    <t>Tvarožná</t>
  </si>
  <si>
    <t>AT.CAED/9008390853801.FACILITY</t>
  </si>
  <si>
    <t>MM Frohnleiten GmbH</t>
  </si>
  <si>
    <t>Frohnleiten</t>
  </si>
  <si>
    <t>ES.CAED/002112000.FACILITY</t>
  </si>
  <si>
    <t>CENTRAL DE ESCATRON</t>
  </si>
  <si>
    <t>ESCATRON</t>
  </si>
  <si>
    <t>FR.CAED/13901.FACILITY</t>
  </si>
  <si>
    <t>TOTAL ENERGIES</t>
  </si>
  <si>
    <t>PONT SUR SAMBRE</t>
  </si>
  <si>
    <t>IT.CAED/270581001.FACILITY</t>
  </si>
  <si>
    <t>Voghera Energia S.p.A.</t>
  </si>
  <si>
    <t>VOGHERA</t>
  </si>
  <si>
    <t>BG.CAED/005000005.FACILITY</t>
  </si>
  <si>
    <t>Cement company Holcim BG</t>
  </si>
  <si>
    <t>Бели извор</t>
  </si>
  <si>
    <t>FR.CAED/12507.FACILITY</t>
  </si>
  <si>
    <t>UVEA</t>
  </si>
  <si>
    <t>OUARVILLE</t>
  </si>
  <si>
    <t>CH.CAED/000000279.Facility</t>
  </si>
  <si>
    <t>GEVAG Trimmis</t>
  </si>
  <si>
    <t>Untervaz-Bahnhof</t>
  </si>
  <si>
    <t>CH.CAED/000000367.Facility</t>
  </si>
  <si>
    <t>AVAG KVA AG</t>
  </si>
  <si>
    <t>Thun</t>
  </si>
  <si>
    <t>IT.CAED/960101001.FACILITY</t>
  </si>
  <si>
    <t>ERG Power Impianti Nord</t>
  </si>
  <si>
    <t>IT.CAED/200621001.FACILITY</t>
  </si>
  <si>
    <t>CENTRALE TERMOELETTRICA DI CASSANO D'ADDA</t>
  </si>
  <si>
    <t>CASSANO D'ADDA</t>
  </si>
  <si>
    <t>ES.CAED/003536000.FACILITY</t>
  </si>
  <si>
    <t>UNIDAD DE PRODUCCION TERMICA  AS PONTES</t>
  </si>
  <si>
    <t>PONTES DE GARCIA RODRIGUEZ (AS)</t>
  </si>
  <si>
    <t>CZ.MZP.T802/CZ33886785.FACILITY</t>
  </si>
  <si>
    <t>Teplárna Frýdek-Místek</t>
  </si>
  <si>
    <t>Sviadnov</t>
  </si>
  <si>
    <t>EL.CAED/100099.FACILITY</t>
  </si>
  <si>
    <t>PPC S.A. LIGNITIKI MELITIS (UNIT I)</t>
  </si>
  <si>
    <t>FLORINA</t>
  </si>
  <si>
    <t>IT.CAED/810561001.FACILITY</t>
  </si>
  <si>
    <t>Calenia Energia S.p.A.</t>
  </si>
  <si>
    <t>SPARANISE</t>
  </si>
  <si>
    <t>IT.CAED/030392001.FACILITY</t>
  </si>
  <si>
    <t>Stabilimento di Sora (FR)</t>
  </si>
  <si>
    <t>SORA</t>
  </si>
  <si>
    <t>CH.CAED/000000278.Facility</t>
  </si>
  <si>
    <t>Niederurnen</t>
  </si>
  <si>
    <t>IT.CAED/570161001.FACILITY</t>
  </si>
  <si>
    <t>CENTRALE DI COGENERAZIONE (ex-Solvay Chimica Italia S.p.A.; ex-Rosen)</t>
  </si>
  <si>
    <t>ROSIGNANO MARITTIMO</t>
  </si>
  <si>
    <t>FR.CAED/6388.FACILITY</t>
  </si>
  <si>
    <t>GAZEL ENERGIE GENERATION</t>
  </si>
  <si>
    <t>BE.WA/001010000.FACILITY</t>
  </si>
  <si>
    <t>TIBI sc - Usine d'incinération</t>
  </si>
  <si>
    <t>Aiseau</t>
  </si>
  <si>
    <t>https://registry.gdi-de.org/id/de.sh//50081814</t>
  </si>
  <si>
    <t>Müllverbrennung Kiel GmbH &amp; Co. KG - Müllheizkraftwerk Kiel</t>
  </si>
  <si>
    <t>Kiel</t>
  </si>
  <si>
    <t>IT.CAED/340112001.FACILITY</t>
  </si>
  <si>
    <t>STABILIMENTO DI DUINO</t>
  </si>
  <si>
    <t>DUINO-AURISINA</t>
  </si>
  <si>
    <t>NO.EEA/192012.FACILITY</t>
  </si>
  <si>
    <t>FREVAR - Forbrenningsanlegget</t>
  </si>
  <si>
    <t>Gamle Fredrikstad</t>
  </si>
  <si>
    <t>HU.OKIR/101690594.FACILITY</t>
  </si>
  <si>
    <t>Uniper Hungary Kft.</t>
  </si>
  <si>
    <t>Gönyű</t>
  </si>
  <si>
    <t>FR.CAED/8261.FACILITY</t>
  </si>
  <si>
    <t>SUEZ RV ENERGIE - AZALYS</t>
  </si>
  <si>
    <t>CARRIERES SOUS POISSY</t>
  </si>
  <si>
    <t>IT.CAED/710161001.FACILITY</t>
  </si>
  <si>
    <t>En Plus S.r.l.</t>
  </si>
  <si>
    <t>SAN SEVERO</t>
  </si>
  <si>
    <t>FR.CAED/22915.FACILITY</t>
  </si>
  <si>
    <t>COMPAGNIE ELECTRIQUE DE BRETAGNE</t>
  </si>
  <si>
    <t>LANDIVISIAU</t>
  </si>
  <si>
    <t>NO.EEA/192328.FACILITY</t>
  </si>
  <si>
    <t>Elkem Thamshavn</t>
  </si>
  <si>
    <t>Orkanger</t>
  </si>
  <si>
    <t>FR.CAED/8230.FACILITY</t>
  </si>
  <si>
    <t>SUEZ RV ENERGIE (EX NOVERGIE IDF)</t>
  </si>
  <si>
    <t>ST THIBAULT DES VIGNES</t>
  </si>
  <si>
    <t>FR.CAED/3601.FACILITY</t>
  </si>
  <si>
    <t>UNILIN SAS</t>
  </si>
  <si>
    <t>BAZEILLES</t>
  </si>
  <si>
    <t>FR.CAED/6155.FACILITY</t>
  </si>
  <si>
    <t>EGGER PANNEAUX ET DECORS</t>
  </si>
  <si>
    <t>RAMBERVILLERS</t>
  </si>
  <si>
    <t>UK.CAED/EW_EA-654.FACILITY</t>
  </si>
  <si>
    <t>Ketton Works</t>
  </si>
  <si>
    <t>Stamford</t>
  </si>
  <si>
    <t>AT.CAED/9008390967331.FACILITY</t>
  </si>
  <si>
    <t>St. Johann in Tirol</t>
  </si>
  <si>
    <t>PL.MŚ/000000138.FACILITY</t>
  </si>
  <si>
    <t>Arctic Paper Kostrzyn S.A.</t>
  </si>
  <si>
    <t>Kostrzyn nad Odrą</t>
  </si>
  <si>
    <t>PL.MŚ/000000685.FACILITY</t>
  </si>
  <si>
    <t>Pfleiderer Grajewo Sp. z o.o.</t>
  </si>
  <si>
    <t>Grajewo</t>
  </si>
  <si>
    <t>PL.MŚ/000003652.FACILITY</t>
  </si>
  <si>
    <t>Oddział Huta Miedzi "Głogów"</t>
  </si>
  <si>
    <t>Głogów</t>
  </si>
  <si>
    <t>PL.MŚ/000000346.FACILITY</t>
  </si>
  <si>
    <t>Grupa Azoty Spółka Akcyjna</t>
  </si>
  <si>
    <t>Tarnów</t>
  </si>
  <si>
    <t>PL.MŚ/000000147.FACILITY</t>
  </si>
  <si>
    <t>Elektrociepłownia EC-4</t>
  </si>
  <si>
    <t>Łódź</t>
  </si>
  <si>
    <t>IT.CAED/301761001.FACILITY</t>
  </si>
  <si>
    <t>CENTRALE TERMOELETTRICA DI MARGHERA LEVANTE</t>
  </si>
  <si>
    <t>HR.CAED/000000028.FACILITY</t>
  </si>
  <si>
    <t>TE-TO Zagreb</t>
  </si>
  <si>
    <t>Zagreb</t>
  </si>
  <si>
    <t>FR.CAED/8246.FACILITY</t>
  </si>
  <si>
    <t>GENERIS</t>
  </si>
  <si>
    <t>VAUX LE PENIL</t>
  </si>
  <si>
    <t>LT.CAED/303792888.FACILITY</t>
  </si>
  <si>
    <t>UAB Kauno kogeneracinė jėgainė</t>
  </si>
  <si>
    <t>Biruliškės</t>
  </si>
  <si>
    <t>https://registry.gdi-de.org/id/de.by.inspire.pf.ied/S00400</t>
  </si>
  <si>
    <t>RW silicium GmbH, Werk Pocking</t>
  </si>
  <si>
    <t>Pocking</t>
  </si>
  <si>
    <t>FR.CAED/1884.FACILITY</t>
  </si>
  <si>
    <t>COMMUNAUTÉ DE L'AGGLOMÉRATION DIJONNAISE</t>
  </si>
  <si>
    <t>DIJON</t>
  </si>
  <si>
    <t>CH.CAED/000000223.Facility</t>
  </si>
  <si>
    <t>SAIDEF Fribourg</t>
  </si>
  <si>
    <t>Posieux</t>
  </si>
  <si>
    <t>ES.CAED/001960000.FACILITY</t>
  </si>
  <si>
    <t>DS SMITH SPAIN, S.A.</t>
  </si>
  <si>
    <t>DUEÑAS</t>
  </si>
  <si>
    <t>FR.CAED/11460.FACILITY</t>
  </si>
  <si>
    <t>EDF-PEI SAS</t>
  </si>
  <si>
    <t>LE PORT</t>
  </si>
  <si>
    <t>CH.CAED/000000290.Facility</t>
  </si>
  <si>
    <t>KVA Limmattal</t>
  </si>
  <si>
    <t>Dietikon</t>
  </si>
  <si>
    <t>https://registry.gdi-de.org/id/de.sl.inspire.pf//0078532-G</t>
  </si>
  <si>
    <t>AHKW Neunkirchen</t>
  </si>
  <si>
    <t>Neunkirchen</t>
  </si>
  <si>
    <t>FR.CAED/6792.FACILITY</t>
  </si>
  <si>
    <t>ALCEA</t>
  </si>
  <si>
    <t>NANTES</t>
  </si>
  <si>
    <t>PL.MŚ/000000687.FACILITY</t>
  </si>
  <si>
    <t>Pfleiderer Prospan S.A.</t>
  </si>
  <si>
    <t>Wieruszów</t>
  </si>
  <si>
    <t>DK.CAED/000105551.FACILITY</t>
  </si>
  <si>
    <t>I/S Norfors</t>
  </si>
  <si>
    <t>Hørsholm</t>
  </si>
  <si>
    <t>FR.CAED/8264.FACILITY</t>
  </si>
  <si>
    <t>CRISTAL ECO VALO (EX NOVERGIE)</t>
  </si>
  <si>
    <t>CARRIERES SUR SEINE</t>
  </si>
  <si>
    <t>EL.CAED/100076.FACILITY</t>
  </si>
  <si>
    <t>TITAN CEMENT S.A. - KAMARI PLANT</t>
  </si>
  <si>
    <t>KAMARI, DERVENOCHORIA</t>
  </si>
  <si>
    <t>4(b)(iv)</t>
  </si>
  <si>
    <t>Chemical installations for the production on an industrial scale of basic inorganic chemicals: Salts, such as ammonium chloride, potassium chlorate, potassium carbonate, sodium carbonate, perborate, silver nitrate</t>
  </si>
  <si>
    <t>ES.CAED/003182000.FACILITY</t>
  </si>
  <si>
    <t>SOLVAY QUIMICA (FÁBRICA DE TORRELAVEGA)</t>
  </si>
  <si>
    <t>TORRELAVEGA</t>
  </si>
  <si>
    <t>IT.CAED/221002005.FACILITY</t>
  </si>
  <si>
    <t>TERMOVALORIZZATORE COMO</t>
  </si>
  <si>
    <t>COMO</t>
  </si>
  <si>
    <t>IT.CAED/101511001.FACILITY</t>
  </si>
  <si>
    <t>CENTRALE TERMOELETTRICA DI COGENERAZIONE TORINO NORD</t>
  </si>
  <si>
    <t>FR.CAED/8201.FACILITY</t>
  </si>
  <si>
    <t>SOMOVAL (UTOM DE MONTHYON) (SMITOM)</t>
  </si>
  <si>
    <t>MONTHYON</t>
  </si>
  <si>
    <t>FR.CAED/8363.FACILITY</t>
  </si>
  <si>
    <t>ENORIS</t>
  </si>
  <si>
    <t>MASSY</t>
  </si>
  <si>
    <t>PL.MŚ/000000146.FACILITY</t>
  </si>
  <si>
    <t>Elektrociepłownia EC-3</t>
  </si>
  <si>
    <t>https://data.gov.sk/set/data/so/37021405_minzp/pf:ProductionFacility/37021405.NRZ.FACILITY</t>
  </si>
  <si>
    <t>Duslo a.s.</t>
  </si>
  <si>
    <t>Šaľa</t>
  </si>
  <si>
    <t>IT.CAED/100401001.FACILITY</t>
  </si>
  <si>
    <t>CENTRALE DI LEINI'</t>
  </si>
  <si>
    <t>LEINI'</t>
  </si>
  <si>
    <t>FR.CAED/673.FACILITY</t>
  </si>
  <si>
    <t>CENON</t>
  </si>
  <si>
    <t>ES.CAED/006515000.FACILITY</t>
  </si>
  <si>
    <t>ENGIE CARTAGENA, S.L.</t>
  </si>
  <si>
    <t>FR.CAED/437.FACILITY</t>
  </si>
  <si>
    <t>IDDEO / EX ESIANE</t>
  </si>
  <si>
    <t>VILLERS ST PAUL</t>
  </si>
  <si>
    <t>FR.CAED/132.FACILITY</t>
  </si>
  <si>
    <t>TEREOS FRANCE</t>
  </si>
  <si>
    <t>ORIGNY STE BENOITE</t>
  </si>
  <si>
    <t>EL.CAED/100090.FACILITY</t>
  </si>
  <si>
    <t>HERON II VIOTIA S.A.</t>
  </si>
  <si>
    <t>THIVA</t>
  </si>
  <si>
    <t>FR.CAED/10862.FACILITY</t>
  </si>
  <si>
    <t>CALLERGIE</t>
  </si>
  <si>
    <t>NOYELLES SOUS LENS</t>
  </si>
  <si>
    <t>ES.CAED/008402000.FACILITY</t>
  </si>
  <si>
    <t>CENTRAL TERMICA DE CICLE COMBINAT (SANT ADRIÀ DE BESÒS - GRUP 5)</t>
  </si>
  <si>
    <t>FR.CAED/6402.FACILITY</t>
  </si>
  <si>
    <t>TOUL</t>
  </si>
  <si>
    <t>https://registry.gdi-de.org/id/de.rp.inspire.pf.bube-eureg/5000164</t>
  </si>
  <si>
    <t>Göllheim</t>
  </si>
  <si>
    <t>EL.CAED/100100.FACILITY</t>
  </si>
  <si>
    <t>KORINTHOS POWER S.A.</t>
  </si>
  <si>
    <t>SOUSSAKI, AG. THEODORI</t>
  </si>
  <si>
    <t>IT.CAED/291222006.FACILITY</t>
  </si>
  <si>
    <t>IREN AMBIENTE S.p.A. (CENTRO STOCCAGGIO E TRATTAMENTO RIFIUTI)</t>
  </si>
  <si>
    <t>PIACENZA</t>
  </si>
  <si>
    <t>https://data.ied_registry.omgeving.vlaanderen.be/id/productionfacility//BE.VL.000001755.FACILITY</t>
  </si>
  <si>
    <t>2VALORISE HAM</t>
  </si>
  <si>
    <t>Ham</t>
  </si>
  <si>
    <t>FR.CAED/10883.FACILITY</t>
  </si>
  <si>
    <t>PAPREC ENERGIES CENTRE EST</t>
  </si>
  <si>
    <t>ST SAULVE</t>
  </si>
  <si>
    <t>FR.CAED/5004.FACILITY</t>
  </si>
  <si>
    <t>SIVALOR</t>
  </si>
  <si>
    <t>BELLEGARDE SUR VALSERINE</t>
  </si>
  <si>
    <t>http://paikkatiedot.fi/so/1002031/pf/ProductionFacility/0100088039.ProductionFacility</t>
  </si>
  <si>
    <t>OULUN ENERGIA OY, Laanilan ekovoimalaitos</t>
  </si>
  <si>
    <t>IT.CAED/570161004.FACILITY</t>
  </si>
  <si>
    <t>ENGIE PRODUZIONE SPA</t>
  </si>
  <si>
    <t>https://data.ied_registry.omgeving.vlaanderen.be/id/productionfacility//BE.VL.000000665.FACILITY</t>
  </si>
  <si>
    <t>INTERGEMEENTELIJKE OPDRACHTHOUDENDE VERENIGING VOOR HUISVUILVERWERKING MEETJESLAND</t>
  </si>
  <si>
    <t>Eeklo</t>
  </si>
  <si>
    <t>FR.CAED/5491.FACILITY</t>
  </si>
  <si>
    <t>SAVOIE DECHETS</t>
  </si>
  <si>
    <t>CHAMBERY</t>
  </si>
  <si>
    <t>IT.CAED/208322001.FACILITY</t>
  </si>
  <si>
    <t>Brianza Energia Ambiente S.p.A.</t>
  </si>
  <si>
    <t>DESIO</t>
  </si>
  <si>
    <t>IT.CAED/460281001.FACILITY</t>
  </si>
  <si>
    <t>A2A GENCOGAS - CENTRALE TERMOELETTRICA SERMIDE</t>
  </si>
  <si>
    <t>SERMIDE</t>
  </si>
  <si>
    <t>PL.MŚ/000000898.FACILITY</t>
  </si>
  <si>
    <t>ZAKŁAD PRODUKCYJNY "JANIKOSODA" W JANIKOWIE</t>
  </si>
  <si>
    <t>JANIKOWO</t>
  </si>
  <si>
    <t>FR.CAED/11416.FACILITY</t>
  </si>
  <si>
    <t>ALBIOMA ALG CENTRALE THERMIQUE</t>
  </si>
  <si>
    <t>ST LOUIS</t>
  </si>
  <si>
    <t>IT.CAED/330282002.FACILITY</t>
  </si>
  <si>
    <t>Stabilimento di Tolmezzo</t>
  </si>
  <si>
    <t>TOLMEZZO</t>
  </si>
  <si>
    <t>IT.CAED/890161001.FACILITY</t>
  </si>
  <si>
    <t>Rizziconi Energia S.p.A.</t>
  </si>
  <si>
    <t>RIZZICONI</t>
  </si>
  <si>
    <t>PL.MŚ/000000215.FACILITY</t>
  </si>
  <si>
    <t>CEMEX Polska Sp. z o.o - Zakład Cementownia Chełm</t>
  </si>
  <si>
    <t>Chełm</t>
  </si>
  <si>
    <t>FR.CAED/771.FACILITY</t>
  </si>
  <si>
    <t>EGGER PANNEAUX &amp; DÉCORS</t>
  </si>
  <si>
    <t>RION DES LANDES</t>
  </si>
  <si>
    <t>SE.CAED/10024476.Facility</t>
  </si>
  <si>
    <t>LKAB - Malmbergsgruvan</t>
  </si>
  <si>
    <t>Malmberget</t>
  </si>
  <si>
    <t>FR.CAED/7963.FACILITY</t>
  </si>
  <si>
    <t>ENGIE THERMIQUE FRANCE</t>
  </si>
  <si>
    <t>IT.CAED/660521001.FACILITY</t>
  </si>
  <si>
    <t>CENTRALE DI GISSI</t>
  </si>
  <si>
    <t>GISSI</t>
  </si>
  <si>
    <t>PT.CAED/PT.APA05763522.CI</t>
  </si>
  <si>
    <t>Central Termoeléctrica de Lares (CI)</t>
  </si>
  <si>
    <t>FIGUEIRA DA FOZ</t>
  </si>
  <si>
    <t>FR.CAED/5506.FACILITY</t>
  </si>
  <si>
    <t>LA ROCHETTE  CARTONBOARD SAS</t>
  </si>
  <si>
    <t>LA ROCHETTE</t>
  </si>
  <si>
    <t>PL.MŚ/000000363.FACILITY</t>
  </si>
  <si>
    <t>PGE Górnictwo i Energetyka Konwencjonalna S.A. - Oddział Zespół Elektrociepłowni Bydgoszcz - EC Bydgoszcz II</t>
  </si>
  <si>
    <t>Bydgoszcz</t>
  </si>
  <si>
    <t>http://paikkatiedot.fi/so/1002031/pf/ProductionFacility/0000002096.ProductionFacility</t>
  </si>
  <si>
    <t>Tampereen Energia Oy, Naistenlahden voimalaitos</t>
  </si>
  <si>
    <t>Tampere</t>
  </si>
  <si>
    <t>ES.CAED/000136000.FACILITY</t>
  </si>
  <si>
    <t>C.T.C.C. SON REUS</t>
  </si>
  <si>
    <t>PL.MŚ/000000686.FACILITY</t>
  </si>
  <si>
    <t>Pfleiderer MDF Grajewo Sp. z o.o.</t>
  </si>
  <si>
    <t>EL.CAED/100037.FACILITY</t>
  </si>
  <si>
    <t>PPC S.A. SES ATHERINOLAKKOY</t>
  </si>
  <si>
    <t>LEFKI</t>
  </si>
  <si>
    <t>LT.CAED/110012450.FACILITY</t>
  </si>
  <si>
    <t>AB „Grigeo Grigiškės“</t>
  </si>
  <si>
    <t>Vilnius</t>
  </si>
  <si>
    <t>ES.CAED/003518000.FACILITY</t>
  </si>
  <si>
    <t>CENTRAL TERMICA DE SABON (CTCC SABON)</t>
  </si>
  <si>
    <t>SABON</t>
  </si>
  <si>
    <t>PL.MŚ/000000973.FACILITY</t>
  </si>
  <si>
    <t>HOMANIT KROSNO ODRZAŃSKIE Sp. z o.o.</t>
  </si>
  <si>
    <t>Krosno Odrzańskie</t>
  </si>
  <si>
    <t>PL.MŚ/000002010.FACILITY</t>
  </si>
  <si>
    <t>TANNE SP. Z O.O. UL DUBOWO I 60</t>
  </si>
  <si>
    <t>Suwałki</t>
  </si>
  <si>
    <t>IT.CAED/710241001.FACILITY</t>
  </si>
  <si>
    <t>CENTRALE TERMOELETTRICA DI CANDELA</t>
  </si>
  <si>
    <t>CANDELA</t>
  </si>
  <si>
    <t>FR.CAED/13734.FACILITY</t>
  </si>
  <si>
    <t>ALBIOMA LE MOULE</t>
  </si>
  <si>
    <t>LE MOULE</t>
  </si>
  <si>
    <t>BE.WA/112010000.FACILITY</t>
  </si>
  <si>
    <t>ELECTRABEL - CENTRALE D'AMERCOEUR</t>
  </si>
  <si>
    <t>Roux</t>
  </si>
  <si>
    <t>HU.OKIR/100372804.FACILITY</t>
  </si>
  <si>
    <t>ISD POWER Kft.</t>
  </si>
  <si>
    <t>Dunaújváros</t>
  </si>
  <si>
    <t>ES.CAED/003408000.FACILITY</t>
  </si>
  <si>
    <t>FÁBRICA DE MENGÍBAR (SMURFIT KAPPA ESPAÑA, S.A.)</t>
  </si>
  <si>
    <t>MENGIBAR</t>
  </si>
  <si>
    <t>PL.MŚ/000000425.FACILITY</t>
  </si>
  <si>
    <t>Enea Wytwarzanie Sp. z o.o.</t>
  </si>
  <si>
    <t>Białystok</t>
  </si>
  <si>
    <t>FR.CAED/3183.FACILITY</t>
  </si>
  <si>
    <t>TOTALENERGIES - CENTRALE ELECTRIQUE BAYET</t>
  </si>
  <si>
    <t>BAYET</t>
  </si>
  <si>
    <t>SI.ARSO/000000022.FACILITY</t>
  </si>
  <si>
    <t>VIPAP VIDEM KRŠKO</t>
  </si>
  <si>
    <t>Krško</t>
  </si>
  <si>
    <t>AT.CAED/9008391181606.FACILITY</t>
  </si>
  <si>
    <t>AT.CAED/9008390956830.FACILITY</t>
  </si>
  <si>
    <t>Wien,Donaustadt</t>
  </si>
  <si>
    <t>IT.CAED/291211001.FACILITY</t>
  </si>
  <si>
    <t>Centrale Termoelettrica di Piacenza</t>
  </si>
  <si>
    <t>EL.CAED/100080.FACILITY</t>
  </si>
  <si>
    <t>HERACLES G.C.Co, VOLOS PLANT</t>
  </si>
  <si>
    <t>PORTARIA</t>
  </si>
  <si>
    <t>UK.CAED/EW_EA-365.FACILITY</t>
  </si>
  <si>
    <t>Cauldon Cement Plant</t>
  </si>
  <si>
    <t>Waterhouses</t>
  </si>
  <si>
    <t>PL.MŚ/000000232.FACILITY</t>
  </si>
  <si>
    <t>Dyckerhoff Polska Sp. z o.o.</t>
  </si>
  <si>
    <t>Sitkówka-Nowiny</t>
  </si>
  <si>
    <t>PL.MŚ/000000033.FACILITY</t>
  </si>
  <si>
    <t>Elektrociepłownia Gdyńska</t>
  </si>
  <si>
    <t>Gdynia</t>
  </si>
  <si>
    <t>IT.CAED/340741001.FACILITY</t>
  </si>
  <si>
    <t>Centrale Termoelettrica di Monfalcone</t>
  </si>
  <si>
    <t>MONFALCONE</t>
  </si>
  <si>
    <t>PL.MŚ/000001999.FACILITY</t>
  </si>
  <si>
    <t>Zakład CCGT we Włocławku</t>
  </si>
  <si>
    <t>Włocławek</t>
  </si>
  <si>
    <t>HU.OKIR/100423302.FACILITY</t>
  </si>
  <si>
    <t>Isd Dunaferr Zrt.</t>
  </si>
  <si>
    <t>PT.CAED/PT.APA05766542.CI</t>
  </si>
  <si>
    <t>Centro de Produção de Alhandra (CI)</t>
  </si>
  <si>
    <t>Alhandra</t>
  </si>
  <si>
    <t>https://data.ied_registry.omgeving.vlaanderen.be/id/productionfacility//BE.VL.000000516.FACILITY</t>
  </si>
  <si>
    <t>T POWER</t>
  </si>
  <si>
    <t>Tessenderlo</t>
  </si>
  <si>
    <t>BE.WA/026010000.FACILITY</t>
  </si>
  <si>
    <t>CBR sa - Site de Lixhe</t>
  </si>
  <si>
    <t>Lixhe</t>
  </si>
  <si>
    <t>https://data.gov.sk/set/data/so/57102807_minzp/pf:ProductionFacility/57102807.NRZ.FACILITY</t>
  </si>
  <si>
    <t>Slovenské elektrárne, a.s. - Elektrárne Vojany, závod</t>
  </si>
  <si>
    <t>Vojany</t>
  </si>
  <si>
    <t>BE.WA/027010000.FACILITY</t>
  </si>
  <si>
    <t>CCB - Site de Gaurain-Ramecroix</t>
  </si>
  <si>
    <t>Gaurain-Ramecroix</t>
  </si>
  <si>
    <t>EL.CAED/100082.FACILITY</t>
  </si>
  <si>
    <t>ELPEDISON S.A. -THESSALONIKI POWER PLANT</t>
  </si>
  <si>
    <t>THESSALONIKI</t>
  </si>
  <si>
    <t>3(c)(ii)</t>
  </si>
  <si>
    <t>Installations for the production of lime in rotary kilns</t>
  </si>
  <si>
    <t>LT.CAED/153009143.FACILITY</t>
  </si>
  <si>
    <t>AB "Akmenės cementas"</t>
  </si>
  <si>
    <t>Naujoji Akmenė</t>
  </si>
  <si>
    <t>Lime</t>
  </si>
  <si>
    <t>https://registry.gdi-de.org/id/de.nw.inspire.pf.bube-eureg/arb-2017-366044-300-0079450</t>
  </si>
  <si>
    <t>Smurfit Kappa Zülpich Papier GmbH</t>
  </si>
  <si>
    <t>Zülpich</t>
  </si>
  <si>
    <t>FR.CAED/5892.FACILITY</t>
  </si>
  <si>
    <t>EDF - CCG BLÉNOD</t>
  </si>
  <si>
    <t>BLENOD LES PONT A MOUSSON</t>
  </si>
  <si>
    <t>HR.CAED/000000055.FACILITY</t>
  </si>
  <si>
    <t>Tvornica papira, ambalaže i energetika</t>
  </si>
  <si>
    <t>Belišće</t>
  </si>
  <si>
    <t>PL.MŚ/000000362.FACILITY</t>
  </si>
  <si>
    <t>PGE Górnictwo i Energetyka Konwencjonalna S.A. - Oddział Zespół Elektrowni Dolna Odra - Elektrownia Pomorzany</t>
  </si>
  <si>
    <t>EL.CAED/100089.FACILITY</t>
  </si>
  <si>
    <t>ELPEDISON S.A.- THISVI POWER PLANT</t>
  </si>
  <si>
    <t>THISVI</t>
  </si>
  <si>
    <t>EL.CAED/100020.FACILITY</t>
  </si>
  <si>
    <t>PPC S.A. SES LINOPERAMATON</t>
  </si>
  <si>
    <t>GAZI</t>
  </si>
  <si>
    <t>PL.MŚ/000000122.FACILITY</t>
  </si>
  <si>
    <t>TAURON Wytwarzanie  Spółka Akcyjna - Oddział Elektrownia Jaworzno III w Jaworznie - Elektrownia II</t>
  </si>
  <si>
    <t>ES.CAED/009575000.FACILITY</t>
  </si>
  <si>
    <t>CENTRAL TÉRMICA DE CICLO COMBINADO DE GIBRALTAR (G20)</t>
  </si>
  <si>
    <t>https://data.ied_registry.omgeving.vlaanderen.be/id/productionfacility//BE.VL.000000876.FACILITY</t>
  </si>
  <si>
    <t>ELECTRABEL - CENTRALE DROGENBOS</t>
  </si>
  <si>
    <t>Drogenbos</t>
  </si>
  <si>
    <t>HU.OKIR/100368287.FACILITY</t>
  </si>
  <si>
    <t>Alpiq Csepel Kft.</t>
  </si>
  <si>
    <t>Budapest 21. ker.</t>
  </si>
  <si>
    <t>https://data.ied_registry.omgeving.vlaanderen.be/id/productionfacility//BE.VL.000000194.FACILITY</t>
  </si>
  <si>
    <t>ZANDVLIET POWER - TERREIN BASF</t>
  </si>
  <si>
    <t>Antwerpen</t>
  </si>
  <si>
    <t>LT.CAED/111760831.FACILITY1</t>
  </si>
  <si>
    <t>AB ,,Vilniaus šilumos tinklai“, Termofikacinė elektrinė Nr.2 (E-2)</t>
  </si>
  <si>
    <t>FR.CAED/8007.FACILITY</t>
  </si>
  <si>
    <t>CENTRALE  THERMIQUE DE COMBIGOLFE</t>
  </si>
  <si>
    <t>BE.WA/225010000.FACILITY</t>
  </si>
  <si>
    <t>Total Energies Centrale Electrique Marchienne au Pont</t>
  </si>
  <si>
    <t>Goutroux</t>
  </si>
  <si>
    <t>IT.CAED/250862002.FACILITY</t>
  </si>
  <si>
    <t>Italcementi di Rezzato</t>
  </si>
  <si>
    <t>REZZATO</t>
  </si>
  <si>
    <t>EL.CAED/100017.FACILITY</t>
  </si>
  <si>
    <t>PPC S.A. SES ALIVERIOY</t>
  </si>
  <si>
    <t>TAMINEI</t>
  </si>
  <si>
    <t>EL.CAED/100095.FACILITY</t>
  </si>
  <si>
    <t>PPC S.A. SES KOMOTINIS</t>
  </si>
  <si>
    <t>KOMOTINI</t>
  </si>
  <si>
    <t>AT.CAED/9008390951965.FACILITY</t>
  </si>
  <si>
    <t>LINZ STROM GAS WÄRME GmbH für Energie- dienstleistungen und Telekommunikation</t>
  </si>
  <si>
    <t>Linz</t>
  </si>
  <si>
    <t>NL.RIVM/000000148.FACILITY</t>
  </si>
  <si>
    <t>ENCI BV (Maastricht)</t>
  </si>
  <si>
    <t>Maastricht</t>
  </si>
  <si>
    <t>IE.CAED/P0378.FACILITY</t>
  </si>
  <si>
    <t>Mannok Cement Limited</t>
  </si>
  <si>
    <t>Cavan</t>
  </si>
  <si>
    <t>IT.CAED/040111001.FACILITY</t>
  </si>
  <si>
    <t>CENTRALE A CICLO COMBINATO DI APRILIA</t>
  </si>
  <si>
    <t>APRILIA</t>
  </si>
  <si>
    <t>MT.ERA/000000183.FACILITY</t>
  </si>
  <si>
    <t>Delimara Power Station EGM</t>
  </si>
  <si>
    <t>Marsaxlokk</t>
  </si>
  <si>
    <t>IT.CAED/000531001.FACILITY</t>
  </si>
  <si>
    <t>CENTRALE TORREVALDALIGA SUD</t>
  </si>
  <si>
    <t>EL.CAED/100088.FACILITY</t>
  </si>
  <si>
    <t>PROTERGIA POWER PLANT</t>
  </si>
  <si>
    <t>DISTOMO</t>
  </si>
  <si>
    <t>HU.OKIR/100351304.FACILITY</t>
  </si>
  <si>
    <t>Bakonyi Erőmű Zrt.</t>
  </si>
  <si>
    <t>Ajka</t>
  </si>
  <si>
    <t>IT.CAED/520221001.FACILITY</t>
  </si>
  <si>
    <t>Impianto Termoelettrico di Santa Barbara</t>
  </si>
  <si>
    <t>CAVRIGLIA</t>
  </si>
  <si>
    <t>HU.OKIR/102144241.FACILITY</t>
  </si>
  <si>
    <t>Hamburger Hungária KFT.</t>
  </si>
  <si>
    <t>HR.CAED/000000025.FACILITY</t>
  </si>
  <si>
    <t>TE-TO Sisak</t>
  </si>
  <si>
    <t>Sisak-Caprag</t>
  </si>
  <si>
    <t>FR.CAED/5236.FACILITY</t>
  </si>
  <si>
    <t>PEC TREDI</t>
  </si>
  <si>
    <t>SALAISE SUR SANNE</t>
  </si>
  <si>
    <t>ES.CAED/007198000.FACILITY</t>
  </si>
  <si>
    <t>GAS NATURAL FENOSA GENERACION S.L.U. (ACECA IV)</t>
  </si>
  <si>
    <t>VILLASECA DE LA SAGRA</t>
  </si>
  <si>
    <t>IT.CAED/888311001.FACILITY</t>
  </si>
  <si>
    <t>Centrale di Scandale</t>
  </si>
  <si>
    <t>SCANDALE</t>
  </si>
  <si>
    <t>PL.MŚ/000000125.FACILITY</t>
  </si>
  <si>
    <t>Zakład Wytwarzania Katowice</t>
  </si>
  <si>
    <t>Katowice</t>
  </si>
  <si>
    <t>EL.CAED/100078.FACILITY</t>
  </si>
  <si>
    <t>HERACLES G.C.Co, MILAKI PLANT</t>
  </si>
  <si>
    <t>ALIVERI</t>
  </si>
  <si>
    <t>FR.CAED/11428.FACILITY</t>
  </si>
  <si>
    <t>ALBIOMA BOIS ROUGE</t>
  </si>
  <si>
    <t>ST ANDRE</t>
  </si>
  <si>
    <t>FR.CAED/6581.FACILITY</t>
  </si>
  <si>
    <t>LAFARGE CIMENTS</t>
  </si>
  <si>
    <t>ST PIERRE LA COUR</t>
  </si>
  <si>
    <t>IT.CAED/801461001.FACILITY</t>
  </si>
  <si>
    <t>CENTRALE NAPOLI LEVANTE</t>
  </si>
  <si>
    <t>NAPOLI</t>
  </si>
  <si>
    <t>FR.CAED/10599.FACILITY</t>
  </si>
  <si>
    <t>EDF PEI POINTE JARRY</t>
  </si>
  <si>
    <t>BAIE MAHAULT</t>
  </si>
  <si>
    <t>IT.CAED/120172001.FACILITY</t>
  </si>
  <si>
    <t>BUZZI UNICEM SPA</t>
  </si>
  <si>
    <t>ROBILANTE</t>
  </si>
  <si>
    <t>UK.CAED/EW_EA-656.FACILITY</t>
  </si>
  <si>
    <t>Ribblesdale Cement Works</t>
  </si>
  <si>
    <t>CLITHEROE</t>
  </si>
  <si>
    <t>ES.CAED/000296000.FACILITY</t>
  </si>
  <si>
    <t>CEMENTOS MOLINS INDUSTRIAL (SANT VICENÇ DELS HORTS)</t>
  </si>
  <si>
    <t>Sant Vicenç dels Horts</t>
  </si>
  <si>
    <t>FR.CAED/10600.FACILITY</t>
  </si>
  <si>
    <t>EDF PEI BF2</t>
  </si>
  <si>
    <t>BELLEFONTAINE</t>
  </si>
  <si>
    <t>8(b)(i)</t>
  </si>
  <si>
    <t>Treatment and processing intended for the production of food and beverage products from animal raw materials (other than milk)</t>
  </si>
  <si>
    <t>ES.CAED/008423000.FACILITY</t>
  </si>
  <si>
    <t>CORSA PETFOOD (CARDONA)</t>
  </si>
  <si>
    <t>Cardona</t>
  </si>
  <si>
    <t>Food &amp; drink from animals (not milk)</t>
  </si>
  <si>
    <t>ES.CAED/001988000.FACILITY</t>
  </si>
  <si>
    <t>CENTRAL DIESEL DE PUNTA GRANDE</t>
  </si>
  <si>
    <t>ARRECIFE</t>
  </si>
  <si>
    <t>https://data.gov.sk/set/data/so/37084106_minzp/pf:ProductionFacility/37084106.NRZ.FACILITY</t>
  </si>
  <si>
    <t>CRH (Slovensko) a.s. - Výroba cementu</t>
  </si>
  <si>
    <t>Rohožník</t>
  </si>
  <si>
    <t>ES.CAED/003036000.FACILITY</t>
  </si>
  <si>
    <t>CEMENTOS PORTLAND VALDERRIVAS (SANTA MARGARIDA I ELS MONJOS)</t>
  </si>
  <si>
    <t>Santa Margarida i els Monjos</t>
  </si>
  <si>
    <t>CZ.MZP.A100/CZ43518031.FACILITY</t>
  </si>
  <si>
    <t>závod Radotín</t>
  </si>
  <si>
    <t>Praha 16</t>
  </si>
  <si>
    <t>LV.LVGMC.PRTR/310017.Facility</t>
  </si>
  <si>
    <t>AS “Latvenergo” Rīgas TEC-2</t>
  </si>
  <si>
    <t>Acone, Salaspils pagasts, Salaspils novads</t>
  </si>
  <si>
    <t>AT.CAED/9008390971345.FACILITY</t>
  </si>
  <si>
    <t>VERBUND Thermal Power GmbH &amp; Co KG</t>
  </si>
  <si>
    <t>Mellach</t>
  </si>
  <si>
    <t>PL.MŚ/000000599.FACILITY</t>
  </si>
  <si>
    <t>ODDZIAŁ  "ZOFIÓWKA"</t>
  </si>
  <si>
    <t>Jastrzębie-Zdrój</t>
  </si>
  <si>
    <t>FR.CAED/5161.FACILITY</t>
  </si>
  <si>
    <t>VICAT</t>
  </si>
  <si>
    <t>BOUVESSE QUIRIEU</t>
  </si>
  <si>
    <t>ES.CAED/004922000.FACILITY</t>
  </si>
  <si>
    <t>CENTRAL DE CICLO COMBINADO DE ARRÚBAL</t>
  </si>
  <si>
    <t>ARRUBAL</t>
  </si>
  <si>
    <t>FR.CAED/8544.FACILITY</t>
  </si>
  <si>
    <t>VALO'MARNE (EX CIE)</t>
  </si>
  <si>
    <t>CRETEIL</t>
  </si>
  <si>
    <t>IT.CAED/240332003.FACILITY</t>
  </si>
  <si>
    <t>Italcementi Calusco D'Adda</t>
  </si>
  <si>
    <t>CALUSCO D'ADDA</t>
  </si>
  <si>
    <t>PT.CAED/PT.APA05766522.CI</t>
  </si>
  <si>
    <t>CIMPOR - Industria de Cimentos, S.A. - C.P.Souselas (CI)</t>
  </si>
  <si>
    <t>SOUSELAS</t>
  </si>
  <si>
    <t>HU.OKIR/100368276.FACILITY</t>
  </si>
  <si>
    <t>Dunamenti Erőmű Zrt.</t>
  </si>
  <si>
    <t>Százhalombatta</t>
  </si>
  <si>
    <t>FR.CAED/3507.FACILITY</t>
  </si>
  <si>
    <t>CIMENTS CALCIA</t>
  </si>
  <si>
    <t>COUVROT</t>
  </si>
  <si>
    <t>FR.CAED/12044.FACILITY</t>
  </si>
  <si>
    <t>EDF PRODUCTION ELECTRIQUE INSULAIRE SAS</t>
  </si>
  <si>
    <t>LUCCIANA</t>
  </si>
  <si>
    <t>BE.WA/029010000.FACILITY</t>
  </si>
  <si>
    <t>CBR sa - Site d'Antoing</t>
  </si>
  <si>
    <t>Antoing</t>
  </si>
  <si>
    <t>PL.MŚ/000000486.FACILITY</t>
  </si>
  <si>
    <t>Elektrociepłownia Zielona Góra S.A.</t>
  </si>
  <si>
    <t>Zielona Góra</t>
  </si>
  <si>
    <t>FR.CAED/7633.FACILITY</t>
  </si>
  <si>
    <t>BASELL POLYOLÉFINES FRANCE SAS</t>
  </si>
  <si>
    <t>BERRE L ETANG</t>
  </si>
  <si>
    <t>FR.CAED/5900.FACILITY</t>
  </si>
  <si>
    <t>SOLVAY OPERATIONS FRANCE</t>
  </si>
  <si>
    <t>DOMBASLE SUR MEURTHE</t>
  </si>
  <si>
    <t>BE.WA/028010000.FACILITY</t>
  </si>
  <si>
    <t>HOLCIM Belgique - Usine d'OBOURG</t>
  </si>
  <si>
    <t>Obourg</t>
  </si>
  <si>
    <t>IT.CAED/700261001.FACILITY</t>
  </si>
  <si>
    <t>CENTRALE A CICLO COMBINATO DI MODUGNO</t>
  </si>
  <si>
    <t>MODUGNO</t>
  </si>
  <si>
    <t>PT.CAED/PT.APA05764282.CI</t>
  </si>
  <si>
    <t>Fábrica Secil - Outão (CI)</t>
  </si>
  <si>
    <t>Setúbal</t>
  </si>
  <si>
    <t>4(b)(v)</t>
  </si>
  <si>
    <t>Chemical installations for the production on an industrial scale of basic inorganic chemicals: Non-metals, metal oxides or other inorganic compounds such as calcium carbide, silicon, silicon carbide</t>
  </si>
  <si>
    <t>ES.CAED/001998000.FACILITY</t>
  </si>
  <si>
    <t>ALUMINA ESPAÑOLA S.A.</t>
  </si>
  <si>
    <t>LIEIRO</t>
  </si>
  <si>
    <t>FR.CAED/3437.FACILITY</t>
  </si>
  <si>
    <t>CRISTAL UNION</t>
  </si>
  <si>
    <t>BAZANCOURT</t>
  </si>
  <si>
    <t>IS.CAED/570297-2609</t>
  </si>
  <si>
    <t>Norðurál Grundartangi ehf.</t>
  </si>
  <si>
    <t>Akranes</t>
  </si>
  <si>
    <t>PL.MŚ/000000041.FACILITY</t>
  </si>
  <si>
    <t>ELEKTROCIEPŁOWNIA BĘDZIN Sp. z o.o.</t>
  </si>
  <si>
    <t>ES.CAED/007460000.FACILITY</t>
  </si>
  <si>
    <t>CENTRAL DE CICLO COMBINADO PLANA DEL VENT-GRUPO 2</t>
  </si>
  <si>
    <t>Vandellòs i l'Hospitalet de l'Infant</t>
  </si>
  <si>
    <t>ES.CAED/003587000.FACILITY</t>
  </si>
  <si>
    <t>CENTRAL TERMICA DE CASTELLON (IBERDROLA GENERACIÓN TÉRMICA)</t>
  </si>
  <si>
    <t>Castellón de la Plana/Castelló de la Plana</t>
  </si>
  <si>
    <t>PL.MŚ/000001886.FACILITY</t>
  </si>
  <si>
    <t>ITPOK Poznań</t>
  </si>
  <si>
    <t>Poznań</t>
  </si>
  <si>
    <t>https://data.ied_registry.omgeving.vlaanderen.be/id/productionfacility//BE.VL.000000711.FACILITY</t>
  </si>
  <si>
    <t>LUMINUS</t>
  </si>
  <si>
    <t>IT.CAED/860782001.FACILITY</t>
  </si>
  <si>
    <t>COLACEM S.P.A.</t>
  </si>
  <si>
    <t>SESTO CAMPANO</t>
  </si>
  <si>
    <t>ES.CAED/006528000.FACILITY</t>
  </si>
  <si>
    <t>CENTRAL TÉRMICA DE CICLO COMBINADO DE SANTURTZI</t>
  </si>
  <si>
    <t>SANTURTZI</t>
  </si>
  <si>
    <t>https://registry.gdi-de.org/id/de.he.0945.de7.pf.eu_industrie/30000163</t>
  </si>
  <si>
    <t>InfraServ GmbH &amp; Co. Höchst KG</t>
  </si>
  <si>
    <t>IT.CAED/860391001.FACILITY</t>
  </si>
  <si>
    <t>CENTRALE A CICLO COMBINATO DI TERMOLI</t>
  </si>
  <si>
    <t>TERMOLI</t>
  </si>
  <si>
    <t>BE.WA/119010000.FACILITY</t>
  </si>
  <si>
    <t>LUMINUS - Centrale de Seraing</t>
  </si>
  <si>
    <t>Seraing</t>
  </si>
  <si>
    <t>https://data.gov.sk/set/data/so/57084805_minzp/pf:ProductionFacility/57084805.NRZ.FACILITY</t>
  </si>
  <si>
    <t>Tepláreň Košice, a.s.</t>
  </si>
  <si>
    <t>Košice - Juh</t>
  </si>
  <si>
    <t>3(c)(iii)</t>
  </si>
  <si>
    <t>Installations for the production of cement clinker or lime in other furnaces</t>
  </si>
  <si>
    <t>FR.CAED/10785.FACILITY</t>
  </si>
  <si>
    <t>EQIOM CIMENTERIE DE LUMBRES</t>
  </si>
  <si>
    <t>LUMBRES</t>
  </si>
  <si>
    <t>FR.CAED/7381.FACILITY</t>
  </si>
  <si>
    <t>GAZELENERGIE GENERATION</t>
  </si>
  <si>
    <t>MEYREUIL</t>
  </si>
  <si>
    <t>FR.CAED/10743.FACILITY</t>
  </si>
  <si>
    <t>ALUMINIUM DUNKERQUE SAS</t>
  </si>
  <si>
    <t>LOON PLAGE</t>
  </si>
  <si>
    <t>ES.CAED/002468000.FACILITY</t>
  </si>
  <si>
    <t>TARRAGONA POWER</t>
  </si>
  <si>
    <t>Canonja, La</t>
  </si>
  <si>
    <t>PL.MŚ/000000156.FACILITY</t>
  </si>
  <si>
    <t>CHP Zabrze</t>
  </si>
  <si>
    <t>Zabrze</t>
  </si>
  <si>
    <t>LV.LVGMC.PRTR/056901.Facility</t>
  </si>
  <si>
    <t>SIA "SCHWENK Latvija", Brocēnu cementa rūpnīca</t>
  </si>
  <si>
    <t>Brocēni</t>
  </si>
  <si>
    <t>FR.CAED/1252.FACILITY</t>
  </si>
  <si>
    <t>DALKIA FRANCE</t>
  </si>
  <si>
    <t>1(a)</t>
  </si>
  <si>
    <t>Mineral oil and gas refineries</t>
  </si>
  <si>
    <t>PL.MŚ/000003640.FACILITY</t>
  </si>
  <si>
    <t>Polski Koncern Naftowy ORLEN S.A.</t>
  </si>
  <si>
    <t>Płock</t>
  </si>
  <si>
    <t>HU.OKIR/100318695.FACILITY</t>
  </si>
  <si>
    <t>Pannon Hőerőmű Zrt.</t>
  </si>
  <si>
    <t>Pécs</t>
  </si>
  <si>
    <t>https://registry.gdi-de.org/id/de.nw.inspire.pf.bube-eureg/arb-2017-974016-900-0014855</t>
  </si>
  <si>
    <t>Portlandzementwerk -Wittekind- Hugo Miebach Söhne KG</t>
  </si>
  <si>
    <t>Erwitte</t>
  </si>
  <si>
    <t>ES.CAED/008068000.FACILITY</t>
  </si>
  <si>
    <t>CENTRAL DE CICLO COMBINADO DE MÁLAGA</t>
  </si>
  <si>
    <t>CAMPANILLAS</t>
  </si>
  <si>
    <t>AT.CAED/9008391597537.FACILITY</t>
  </si>
  <si>
    <t>Holcim (Österreich) GmbH</t>
  </si>
  <si>
    <t>Mannersdorf am Leithagebirge</t>
  </si>
  <si>
    <t>IT.CAED/200291001.FACILITY</t>
  </si>
  <si>
    <t>IREN ENERGIA S.P.A. - Turbigo</t>
  </si>
  <si>
    <t>TURBIGO</t>
  </si>
  <si>
    <t>ES.CAED/001759000.FACILITY</t>
  </si>
  <si>
    <t>CEMENTOS PORTLAND VALDERRIVAS (FÁBRICA EL ALTO)</t>
  </si>
  <si>
    <t>MORATA DE TAJUÑA</t>
  </si>
  <si>
    <t>EL.CAED/100079.FACILITY</t>
  </si>
  <si>
    <t>TITAN CEMENT S.A. - THESSALONIKI PLANT</t>
  </si>
  <si>
    <t>EYKARPIA</t>
  </si>
  <si>
    <t>HR.CAED/000000073.FACILITY</t>
  </si>
  <si>
    <t>NEXE d.o.o.</t>
  </si>
  <si>
    <t>Našice</t>
  </si>
  <si>
    <t>ES.CAED/010852000.FACILITY</t>
  </si>
  <si>
    <t>PLANTA BIOMASA DE 50 MWE</t>
  </si>
  <si>
    <t>Puertollano</t>
  </si>
  <si>
    <t>https://data.ied_registry.omgeving.vlaanderen.be/id/productionfacility//BE.VL.000000113.FACILITY</t>
  </si>
  <si>
    <t>INEOS OXIDE UTILITIES</t>
  </si>
  <si>
    <t>Zwijndrecht</t>
  </si>
  <si>
    <t>ES.CAED/001757000.FACILITY</t>
  </si>
  <si>
    <t>FÁBRICA DE ALCALÁ DE GUADAIRA (CEMENTOS PORTLAND VALDERRIVAS, S.A.)</t>
  </si>
  <si>
    <t>Alcalá de Guadaíra</t>
  </si>
  <si>
    <t>EL.CAED/100075.FACILITY</t>
  </si>
  <si>
    <t>TITAN CEMENT S.A. - DREPANO PLANT</t>
  </si>
  <si>
    <t>RION</t>
  </si>
  <si>
    <t>FR.CAED/5097.FACILITY</t>
  </si>
  <si>
    <t>LE TEIL</t>
  </si>
  <si>
    <t>NO.EEA/192295.FACILITY</t>
  </si>
  <si>
    <t>Wacker Chemicals Norway</t>
  </si>
  <si>
    <t>Kyrksæterøra</t>
  </si>
  <si>
    <t>PL.MŚ/000000356.FACILITY</t>
  </si>
  <si>
    <t>PGE Górnictwo i Energetyka Konwencjonalna S.A. - Oddział Elektrociepłownia Lublin Wrotków</t>
  </si>
  <si>
    <t>Lublin</t>
  </si>
  <si>
    <t>IT.CAED/460401001.FACILITY</t>
  </si>
  <si>
    <t>Centrale Termoelettrica del Mincio</t>
  </si>
  <si>
    <t>PONTI SUL MINCIO</t>
  </si>
  <si>
    <t>ES.CAED/008153000.FACILITY</t>
  </si>
  <si>
    <t>CENTRAL TERMICA DE CICLE COMBINAT (PORT DE BARCELONA)</t>
  </si>
  <si>
    <t>Barcelona</t>
  </si>
  <si>
    <t>FR.CAED/8528.FACILITY</t>
  </si>
  <si>
    <t>CPCU</t>
  </si>
  <si>
    <t>ES.CAED/001507000.FACILITY</t>
  </si>
  <si>
    <t>CENTRAL TÉRMICA CRISTÓBAL COLÓN</t>
  </si>
  <si>
    <t>BE.WA/215010000.FACILITY</t>
  </si>
  <si>
    <t>INDUSTRIE DU BOIS VIELSALM &amp; CIE - IBV</t>
  </si>
  <si>
    <t>Vielsalm</t>
  </si>
  <si>
    <t>IT.CAED/980571002.FACILITY</t>
  </si>
  <si>
    <t>Termica Milazzo S.r.l.</t>
  </si>
  <si>
    <t>MILAZZO</t>
  </si>
  <si>
    <t>FR.CAED/330.FACILITY</t>
  </si>
  <si>
    <t>TEREOS  STARCH &amp; SWEETENER EUROPE</t>
  </si>
  <si>
    <t>MESNIL ST NICAISE</t>
  </si>
  <si>
    <t>FR.CAED/5914.FACILITY</t>
  </si>
  <si>
    <t>NOVACARB</t>
  </si>
  <si>
    <t>LANEUVEVILLE DEVANT NANCY</t>
  </si>
  <si>
    <t>ES.CAED/000138000.FACILITY</t>
  </si>
  <si>
    <t>C.D.E. MAÓ</t>
  </si>
  <si>
    <t>MAO</t>
  </si>
  <si>
    <t>BE.WA/033010000.FACILITY</t>
  </si>
  <si>
    <t>CARRIERES ET FOURS A CHAUX DUMONT WAUTIER</t>
  </si>
  <si>
    <t>Saint-Georges-Sur-Meuse</t>
  </si>
  <si>
    <t>ES.CAED/001573000.FACILITY</t>
  </si>
  <si>
    <t>FÁBRICA DE CARBONERAS (LAFARGEHOLCIM ESPAÑA SAU)</t>
  </si>
  <si>
    <t>CARBONERAS</t>
  </si>
  <si>
    <t>FR.CAED/9517.FACILITY</t>
  </si>
  <si>
    <t>TEREOS STARCH &amp; SWEETENERS EUROPE</t>
  </si>
  <si>
    <t>MARCKOLSHEIM</t>
  </si>
  <si>
    <t>PT.CAED/PT.APA07272643.CI</t>
  </si>
  <si>
    <t>Central Termoelétrica a Biomassa (CI)</t>
  </si>
  <si>
    <t>ES.CAED/001914000.FACILITY</t>
  </si>
  <si>
    <t>TUDELA VEGUIN - FÁBRICA DE CALES Y CEMENTOS DE TUDELA VEGUÍN</t>
  </si>
  <si>
    <t>OVIEDO</t>
  </si>
  <si>
    <t>IT.CAED/810301001.FACILITY</t>
  </si>
  <si>
    <t>SET S.p.A.</t>
  </si>
  <si>
    <t>TEVEROLA</t>
  </si>
  <si>
    <t>HU.OKIR/101537691.FACILITY</t>
  </si>
  <si>
    <t>Lafarge Cement Magyarország Gyártó és Kereskedelmi Kft.</t>
  </si>
  <si>
    <t>Királyegyháza</t>
  </si>
  <si>
    <t>FR.CAED/10820.FACILITY</t>
  </si>
  <si>
    <t>CHAUX ET DOLOMIES DU BOULONNAIS</t>
  </si>
  <si>
    <t>RETY</t>
  </si>
  <si>
    <t>SE.CAED/10020849.Facility</t>
  </si>
  <si>
    <t>Fortum Waste Solutions AB, Norrtorp</t>
  </si>
  <si>
    <t>KUMLA</t>
  </si>
  <si>
    <t>PL.MŚ/000000272.FACILITY</t>
  </si>
  <si>
    <t>Zakład Wytwarzania Tychy</t>
  </si>
  <si>
    <t>Tychy</t>
  </si>
  <si>
    <t>CZ.MZP.Z724/CZ15297397.FACILITY</t>
  </si>
  <si>
    <t>Teplárna Zlín</t>
  </si>
  <si>
    <t>Zlín</t>
  </si>
  <si>
    <t>IT.CAED/210322001.FACILITY</t>
  </si>
  <si>
    <t>Confidential</t>
  </si>
  <si>
    <t>Article4(2)(d)</t>
  </si>
  <si>
    <t>CARAVATE</t>
  </si>
  <si>
    <t>https://data.ied_registry.omgeving.vlaanderen.be/id/productionfacility//BE.VL.000000717.FACILITY</t>
  </si>
  <si>
    <t>TEREOS STARCH &amp; SWEETENERS BELGIUM</t>
  </si>
  <si>
    <t>Aalst</t>
  </si>
  <si>
    <t>ES.CAED/001916000.FACILITY</t>
  </si>
  <si>
    <t>FÁBRICA DE CEMENTOS DE LA ROBLA</t>
  </si>
  <si>
    <t>ROBLA (LA)</t>
  </si>
  <si>
    <t>HR.CAED/000000052.FACILITY</t>
  </si>
  <si>
    <t>TVORNICA CEMENTA "SVETI JURAJ"</t>
  </si>
  <si>
    <t>Kaštel Sućurac</t>
  </si>
  <si>
    <t>CH.CAED/000000115.Facility</t>
  </si>
  <si>
    <t>Cimo SA</t>
  </si>
  <si>
    <t>AT.CAED/9008391745020.FACILITY</t>
  </si>
  <si>
    <t>Alpacem Zement Austria GmbH</t>
  </si>
  <si>
    <t>Wietersdorf</t>
  </si>
  <si>
    <t>4(b)(ii)</t>
  </si>
  <si>
    <t>Chemical installations for the production on an industrial scale of basic inorganic chemicals: Acids, such as chromic acid, hydrofluoric acid, phosphoric acid, nitric acid, hydrochloric acid, sulphuric acid, oleum, sulphurous acids</t>
  </si>
  <si>
    <t>FR.CAED/3936.FACILITY</t>
  </si>
  <si>
    <t>LAT NITROGEN FRANCE</t>
  </si>
  <si>
    <t>LE GRAND QUEVILLY</t>
  </si>
  <si>
    <t>ES.CAED/004984000.FACILITY</t>
  </si>
  <si>
    <t>AGROENERGÉTICA DE BAENA, S.L.</t>
  </si>
  <si>
    <t>Baena</t>
  </si>
  <si>
    <t>5(e)</t>
  </si>
  <si>
    <t>Installations for the disposal or recycling of animal carcasses and animal waste</t>
  </si>
  <si>
    <t>ES.CAED/000910000.FACILITY</t>
  </si>
  <si>
    <t>SYSFEED (LA VALL D´EN BAS)</t>
  </si>
  <si>
    <t>Vall d'en Bas, La</t>
  </si>
  <si>
    <t>Animal waste</t>
  </si>
  <si>
    <t>LU.CAED/000004000.FACILITY</t>
  </si>
  <si>
    <t>Cimalux S.A.</t>
  </si>
  <si>
    <t>Rumelange</t>
  </si>
  <si>
    <t>IT.CAED/090181001.FACILITY</t>
  </si>
  <si>
    <t>Sarlux srl</t>
  </si>
  <si>
    <t>SARROCH</t>
  </si>
  <si>
    <t>IT.CAED/210202005.FACILITY</t>
  </si>
  <si>
    <t>Holcim (Italia) S.p.A. - unità produttiva di Ternate</t>
  </si>
  <si>
    <t>COMABBIO</t>
  </si>
  <si>
    <t>FR.CAED/13309.FACILITY</t>
  </si>
  <si>
    <t>SUEZ RR IWS CHEMICALS FRANCE</t>
  </si>
  <si>
    <t>IT.CAED/550162001.FACILITY</t>
  </si>
  <si>
    <t>Impianto di cogenerazione</t>
  </si>
  <si>
    <t>PORCARI</t>
  </si>
  <si>
    <t>IT.CAED/060242001.FACILITY</t>
  </si>
  <si>
    <t>Stabilimento di Gubbio CEMENTERIE ALDO BARBETTI S.p.A.</t>
  </si>
  <si>
    <t>GUBBIO</t>
  </si>
  <si>
    <t>FR.CAED/11610.FACILITY</t>
  </si>
  <si>
    <t>CIMENTS CALCIA SAS (CIMENTERIE)</t>
  </si>
  <si>
    <t>AIRVAULT</t>
  </si>
  <si>
    <t>PL.MŚ/000000340.FACILITY</t>
  </si>
  <si>
    <t>CHP CZĘSTOCHOWA</t>
  </si>
  <si>
    <t>Częstochowa</t>
  </si>
  <si>
    <t>FR.CAED/33009.FACILITY</t>
  </si>
  <si>
    <t>BIOMASSE ENERGIE ALIZAY SAS</t>
  </si>
  <si>
    <t>ALIZAY</t>
  </si>
  <si>
    <t>FR.CAED/7225.FACILITY</t>
  </si>
  <si>
    <t>MONTOIR DE BRETAGNE</t>
  </si>
  <si>
    <t>CH.CAED/000000136.Facility</t>
  </si>
  <si>
    <t>GETEC PARK.SWISS AG / Health, Safety, Environment and Quality</t>
  </si>
  <si>
    <t>Muttenz 1</t>
  </si>
  <si>
    <t>AT.CAED/9008390509852.FACILITY</t>
  </si>
  <si>
    <t>Baumit GmbH</t>
  </si>
  <si>
    <t>Wopfing</t>
  </si>
  <si>
    <t>PT.CAED/PT.APA05770962.CI</t>
  </si>
  <si>
    <t>Central Termoeléctrica a Biomassa da Figueira da Foz (CI)</t>
  </si>
  <si>
    <t>IT.CAED/000122001.FACILITY</t>
  </si>
  <si>
    <t>CEMENTERIA DI GUIDONIA</t>
  </si>
  <si>
    <t>GUIDONIA MONTECELIO</t>
  </si>
  <si>
    <t>ES.CAED/001481000.FACILITY</t>
  </si>
  <si>
    <t>COGENERACIÓN DE REFINERÍA LA RÁBIDA (DETISA)</t>
  </si>
  <si>
    <t>Palos de la Frontera</t>
  </si>
  <si>
    <t>EL.CAED/100039.FACILITY</t>
  </si>
  <si>
    <t>PPC S.A. SES CHANION (ex PPC S.A. SES HANION)</t>
  </si>
  <si>
    <t>CHANIA</t>
  </si>
  <si>
    <t>IT.CAED/290102006.FACILITY</t>
  </si>
  <si>
    <t>BUZZI UNICEM S.p.A.</t>
  </si>
  <si>
    <t>VERNASCA</t>
  </si>
  <si>
    <t>FR.CAED/12029.FACILITY</t>
  </si>
  <si>
    <t>EDF CORSE</t>
  </si>
  <si>
    <t>AJACCIO</t>
  </si>
  <si>
    <t>FR.CAED/9415.FACILITY</t>
  </si>
  <si>
    <t>ROQUETTE FRERES</t>
  </si>
  <si>
    <t>BEINHEIM</t>
  </si>
  <si>
    <t>https://data.gov.sk/set/data/so/77042302_minzp/pf:ProductionFacility/77042302.NRZ.FACILITY</t>
  </si>
  <si>
    <t>Považská cementáreň, a.s. - Výroba cementu</t>
  </si>
  <si>
    <t>Ladce</t>
  </si>
  <si>
    <t>HU.OKIR/100431466.FACILITY</t>
  </si>
  <si>
    <t>Bc-Erőmű Kft</t>
  </si>
  <si>
    <t>Kazincbarcika</t>
  </si>
  <si>
    <t>FR.CAED/7783.FACILITY</t>
  </si>
  <si>
    <t>LAVERA ENERGIES SNC</t>
  </si>
  <si>
    <t>https://data.gov.sk/set/data/so/57104807_minzp/pf:ProductionFacility/57104807.NRZ.FACILITY</t>
  </si>
  <si>
    <t>eustream, a.s. - Kompresorová stanica  č. 1</t>
  </si>
  <si>
    <t>Veľké Kapušany</t>
  </si>
  <si>
    <t>HU.OKIR/100452988.FACILITY</t>
  </si>
  <si>
    <t>Hungrana Kft.</t>
  </si>
  <si>
    <t>Szabadegyháza</t>
  </si>
  <si>
    <t>CZ.MZP.S203/CZ84874607.FACILITY</t>
  </si>
  <si>
    <t>Teplárna Kladno - ELEKTRÁRNA KLADNO</t>
  </si>
  <si>
    <t>Kladno</t>
  </si>
  <si>
    <t>IT.CAED/281002007.FACILITY</t>
  </si>
  <si>
    <t>Novel S.p.A.</t>
  </si>
  <si>
    <t>NOVARA</t>
  </si>
  <si>
    <t>NO.EEA/192199.FACILITY</t>
  </si>
  <si>
    <t>ELKEM ASA AVD BJØLVEFOSSEN</t>
  </si>
  <si>
    <t>Ålvik</t>
  </si>
  <si>
    <t>5(g)</t>
  </si>
  <si>
    <t>Independently operated industrial waste-water treatment plants which serve one or more activities covered in annex 1 of Regulation 166/2006</t>
  </si>
  <si>
    <t>PL.MŚ/000000136.FACILITY</t>
  </si>
  <si>
    <t>Celsa "Huta Ostrowiec" Sp.o.o.</t>
  </si>
  <si>
    <t>Ostrowiec Świętokrzyski</t>
  </si>
  <si>
    <t>Industiral waste water</t>
  </si>
  <si>
    <t>FR.CAED/82.FACILITY</t>
  </si>
  <si>
    <t>BUCY LE LONG</t>
  </si>
  <si>
    <t>BE.WA/114010000.FACILITY</t>
  </si>
  <si>
    <t>ELECTRABEL - CENTRALE BAUDOUR/St GHISLAIN</t>
  </si>
  <si>
    <t>Baudour</t>
  </si>
  <si>
    <t>EL.CAED/100009.FACILITY</t>
  </si>
  <si>
    <t>PPC S.A. SES RODOY</t>
  </si>
  <si>
    <t>SORONI</t>
  </si>
  <si>
    <t>CZ.MZP.M712/CZ79386174.FACILITY</t>
  </si>
  <si>
    <t>Teplárna Olomouc</t>
  </si>
  <si>
    <t>Olomouc</t>
  </si>
  <si>
    <t>FR.CAED/7444.FACILITY</t>
  </si>
  <si>
    <t>VICAT SA</t>
  </si>
  <si>
    <t>BLAUSASC</t>
  </si>
  <si>
    <t>BE.WA/032010000.FACILITY</t>
  </si>
  <si>
    <t>CARMEUSE - Site d'Aisemont</t>
  </si>
  <si>
    <t>Aisemont</t>
  </si>
  <si>
    <t>HU.OKIR/101716090.FACILITY</t>
  </si>
  <si>
    <t>Pannon-Hő Kft.</t>
  </si>
  <si>
    <t>FR.CAED/3848.FACILITY</t>
  </si>
  <si>
    <t>SEDIBEX</t>
  </si>
  <si>
    <t>SANDOUVILLE</t>
  </si>
  <si>
    <t>PL.MŚ/000000357.FACILITY</t>
  </si>
  <si>
    <t>PGE Górnictwo i Energetyka Konwencjonalna S.A Oddział Elektrociepłownia Rzeszów - Instalacja Termicznego Przekształcanie z Odzyskiem Energii ITPOE</t>
  </si>
  <si>
    <t>Rzeszów</t>
  </si>
  <si>
    <t>FR.CAED/12062.FACILITY</t>
  </si>
  <si>
    <t>SNC COGE VITRY</t>
  </si>
  <si>
    <t>VITRY SUR SEINE</t>
  </si>
  <si>
    <t>HU.OKIR/100401517.FACILITY</t>
  </si>
  <si>
    <t>Duna-Dráva Cement Kft.</t>
  </si>
  <si>
    <t>Vác</t>
  </si>
  <si>
    <t>CH.CAED/000000175.Facility</t>
  </si>
  <si>
    <t>Holcim (Schweiz) AG</t>
  </si>
  <si>
    <t>Würenlingen</t>
  </si>
  <si>
    <t>https://data.gov.sk/set/data/so/47025613_minzp/pf:ProductionFacility/47025613.NRZ.FACILITY</t>
  </si>
  <si>
    <t>Slovalco, a.s.</t>
  </si>
  <si>
    <t>Žiar nad Hronom</t>
  </si>
  <si>
    <t>https://data.gov.sk/set/data/so/77001503_minzp/pf:ProductionFacility/77001503.NRZ.FACILITY</t>
  </si>
  <si>
    <t>OFZ a.s. Istebné - prevádzka Široká</t>
  </si>
  <si>
    <t>Oravský Podzámok</t>
  </si>
  <si>
    <t>HU.OKIR/100329299.FACILITY</t>
  </si>
  <si>
    <t>Beremend</t>
  </si>
  <si>
    <t>ES.CAED/000143000.FACILITY</t>
  </si>
  <si>
    <t>FABRICA DE VILLALUENGA (LAFARGEHOLCIM ESPAÑA SAU)</t>
  </si>
  <si>
    <t>VILLALUENGA DE LA SAGRA</t>
  </si>
  <si>
    <t>FR.CAED/8921.FACILITY</t>
  </si>
  <si>
    <t>LAFARGE HOLCIM</t>
  </si>
  <si>
    <t>PORT LA NOUVELLE</t>
  </si>
  <si>
    <t>FR.CAED/8958.FACILITY</t>
  </si>
  <si>
    <t>SOCIÉTÉ DES CIMENTS CALCIA</t>
  </si>
  <si>
    <t>BEAUCAIRE</t>
  </si>
  <si>
    <t>IT.CAED/960112003.FACILITY</t>
  </si>
  <si>
    <t>CEMENTERIA DI AUGUSTA</t>
  </si>
  <si>
    <t>AUGUSTA</t>
  </si>
  <si>
    <t>PL.MŚ/000000129.FACILITY</t>
  </si>
  <si>
    <t>Zakład Wytwarzania Bielsko-Biała EC2</t>
  </si>
  <si>
    <t>Czechowice-Dziedzice</t>
  </si>
  <si>
    <t>CH.CAED/000000177.Facility</t>
  </si>
  <si>
    <t>Jura Cement Fabriken</t>
  </si>
  <si>
    <t>Wildegg</t>
  </si>
  <si>
    <t>IT.CAED/960101003.FACILITY</t>
  </si>
  <si>
    <t>ENEL PRODUZIONE SPA - CENTRALE "ARCHIMEDE" DI PRIOLO GARGALLO</t>
  </si>
  <si>
    <t>ES.CAED/007945000.FACILITY</t>
  </si>
  <si>
    <t>PLANTA DE TRATAMIENTO INTEGRAL DEL ALPERUJO EN LINARES</t>
  </si>
  <si>
    <t>LINARES</t>
  </si>
  <si>
    <t>HU.OKIR/100379364.FACILITY</t>
  </si>
  <si>
    <t>Budapesti Erőmű Zrt.</t>
  </si>
  <si>
    <t>Budapest 11. ker.</t>
  </si>
  <si>
    <t>HU.OKIR/101626353.FACILITY</t>
  </si>
  <si>
    <t>Dbm Zrt.</t>
  </si>
  <si>
    <t>Szakoly</t>
  </si>
  <si>
    <t>https://data.ied_registry.omgeving.vlaanderen.be/id/productionfacility//BE.VL.000000987.FACILITY</t>
  </si>
  <si>
    <t>ELECTRABEL CENTRALE HERDERSBRUG</t>
  </si>
  <si>
    <t>Brugge</t>
  </si>
  <si>
    <t>HU.OKIR/100985361.FACILITY</t>
  </si>
  <si>
    <t>Bakonyi Bioenergia Kft.</t>
  </si>
  <si>
    <t>IS.CAED/680466-0179</t>
  </si>
  <si>
    <t>Rio Tinto á Íslandi hf.</t>
  </si>
  <si>
    <t>Hafnarfjörður</t>
  </si>
  <si>
    <t>PL.MŚ/000000190.FACILITY</t>
  </si>
  <si>
    <t>CEMEX Polska Sp. z o.o. - Zakład Cementownia Rudniki</t>
  </si>
  <si>
    <t>Rudniki</t>
  </si>
  <si>
    <t>FR.CAED/10017.FACILITY</t>
  </si>
  <si>
    <t>MARTRES TOLOSANE</t>
  </si>
  <si>
    <t>ES.CAED/001829000.FACILITY</t>
  </si>
  <si>
    <t>ACCIONA ENERGÍA, S.A. (PLANTA DE BIOMASA DE SANGÜESA)</t>
  </si>
  <si>
    <t>IT.CAED/520162001.FACILITY</t>
  </si>
  <si>
    <t>COLACEM S.P.A. - CEMENTERIA DI RASSINA</t>
  </si>
  <si>
    <t>CASTEL FOCOGNANO</t>
  </si>
  <si>
    <t>ES.CAED/002586000.FACILITY</t>
  </si>
  <si>
    <t>CEMEX ESPAÑA-ALICANTE (CEMENTO BLANCO)</t>
  </si>
  <si>
    <t>ALICANTE/ALACANT</t>
  </si>
  <si>
    <t>IT.CAED/060661001.FACILITY</t>
  </si>
  <si>
    <t>Enel Produzione S.p.A. - IMPIANTO TERMOELETTRICO DI PIETRAFITTA</t>
  </si>
  <si>
    <t>PIEGARO</t>
  </si>
  <si>
    <t>BG.CAED/008000002.FACILITY</t>
  </si>
  <si>
    <t>Cement company Zlatna Panega Ciment</t>
  </si>
  <si>
    <t>Златна Панега</t>
  </si>
  <si>
    <t>SE.CAED/10020098.Facility</t>
  </si>
  <si>
    <t>Heidelberg Materials Cement Sverige AB</t>
  </si>
  <si>
    <t>SKÖVDE</t>
  </si>
  <si>
    <t>IT.CAED/751002001.FACILITY</t>
  </si>
  <si>
    <t>Italcementi di  Matera</t>
  </si>
  <si>
    <t>MATERA</t>
  </si>
  <si>
    <t>HU.OKIR/100352666.FACILITY</t>
  </si>
  <si>
    <t>Budapest 04. ker.</t>
  </si>
  <si>
    <t>PL.MŚ/000004844.FACILITY</t>
  </si>
  <si>
    <t>Elektrociepłownia Stalowa Wola S.A.</t>
  </si>
  <si>
    <t>Stalowa Wola</t>
  </si>
  <si>
    <t>AT.CAED/9008391215837.FACILITY</t>
  </si>
  <si>
    <t>Leube Zement GmbH</t>
  </si>
  <si>
    <t>https://data.gov.sk/set/data/so/57105803_minzp/pf:ProductionFacility/57105803.NRZ.FACILITY</t>
  </si>
  <si>
    <t>Carmeuse Slovakia, s.r.o. - Závod Vápenka Košice</t>
  </si>
  <si>
    <t>PL.MŚ/000000358.FACILITY</t>
  </si>
  <si>
    <t>PGE Górnictwo i Energetyka Konwencjonalna S.A. - Oddział Elektrociepłownia Kielce</t>
  </si>
  <si>
    <t>Kielce</t>
  </si>
  <si>
    <t>PT.CAED/PT.APA05764262.CI</t>
  </si>
  <si>
    <t>Fábrica Maceira-Liz (CI)</t>
  </si>
  <si>
    <t>Leiria</t>
  </si>
  <si>
    <t>FR.CAED/6046.FACILITY</t>
  </si>
  <si>
    <t>EQIOM</t>
  </si>
  <si>
    <t>HEMING</t>
  </si>
  <si>
    <t>IT.CAED/291222003.FACILITY</t>
  </si>
  <si>
    <t>INDUSTRIA CEMENTI GIOVANNI ROSSI S.P.A.</t>
  </si>
  <si>
    <t>HU.OKIR/100501563.FACILITY</t>
  </si>
  <si>
    <t>Tvk-Erőmű Kft.</t>
  </si>
  <si>
    <t>Tiszaújváros</t>
  </si>
  <si>
    <t>LT.CAED/147031669.FACILITY</t>
  </si>
  <si>
    <t>AB „Roquette Amilina“</t>
  </si>
  <si>
    <t>Panevezys</t>
  </si>
  <si>
    <t>FR.CAED/8288.FACILITY</t>
  </si>
  <si>
    <t>SARP INDUSTRIES</t>
  </si>
  <si>
    <t>LIMAY</t>
  </si>
  <si>
    <t>PT.CAED/PT.APA05769542.CI</t>
  </si>
  <si>
    <t>CENTRAL TÉRMICA DA VITÓRIA (CI)</t>
  </si>
  <si>
    <t>FUNCHAL</t>
  </si>
  <si>
    <t>https://data.gov.sk/set/data/so/77065511_minzp/pf:ProductionFacility/77065511.NRZ.FACILITY</t>
  </si>
  <si>
    <t>Žilinská teplárenská, a.s.</t>
  </si>
  <si>
    <t>Žilina</t>
  </si>
  <si>
    <t>ES.CAED/009567000.FACILITY</t>
  </si>
  <si>
    <t>CCC CAMPO DE GIBRALTAR GRUPO 10</t>
  </si>
  <si>
    <t>EE.KAUR.TTR/67.FACILITY</t>
  </si>
  <si>
    <t>Kunda Nordic Tsement AS, Kunda tsemenditehas</t>
  </si>
  <si>
    <t>Kunda linn</t>
  </si>
  <si>
    <t>https://registry.gdi-de.org/id/de.nw.inspire.pf.bube-eureg/arb-2017-974020-900-0009912</t>
  </si>
  <si>
    <t>Dyckerhoff GmbH Werksgruppe Nord-Werk Geseke-</t>
  </si>
  <si>
    <t>Geseke</t>
  </si>
  <si>
    <t>NO.EEA/192369.FACILITY</t>
  </si>
  <si>
    <t>Elkem Rana AS</t>
  </si>
  <si>
    <t>Mo i Rana</t>
  </si>
  <si>
    <t>FR.CAED/3572.FACILITY</t>
  </si>
  <si>
    <t>VILLETTE SUR AUBE</t>
  </si>
  <si>
    <t>EL.CAED/100626.FACILITY</t>
  </si>
  <si>
    <t>PPC S.A. SOUTHERN RHODES TPP</t>
  </si>
  <si>
    <t>KATTAVIA</t>
  </si>
  <si>
    <t>CH.CAED/000000285.Facility</t>
  </si>
  <si>
    <t>ERZ KHKW Josefstrasse</t>
  </si>
  <si>
    <t>CH.CAED/000000176.Facility</t>
  </si>
  <si>
    <t>Untervaz</t>
  </si>
  <si>
    <t>BE.WA/034010000.FACILITY</t>
  </si>
  <si>
    <t>LHOIST INDUSTRIE - Site de On</t>
  </si>
  <si>
    <t>Marche-En-Famenne</t>
  </si>
  <si>
    <t>FR.CAED/5509.FACILITY</t>
  </si>
  <si>
    <t>TRIMET</t>
  </si>
  <si>
    <t>ST JEAN DE MAURIENNE</t>
  </si>
  <si>
    <t>FR.CAED/12675.FACILITY</t>
  </si>
  <si>
    <t>ARTENAY</t>
  </si>
  <si>
    <t>https://data.ied_registry.omgeving.vlaanderen.be/id/productionfacility//BE.VL.000000997.FACILITY</t>
  </si>
  <si>
    <t>FLUXYS - LNG TERMINAL</t>
  </si>
  <si>
    <t>ES.CAED/000144000.FACILITY</t>
  </si>
  <si>
    <t>FÁBRICA DE MONTCADA (LAFARGEHOLCIM ESPAÑA SAU)</t>
  </si>
  <si>
    <t>Montcada i Reixac</t>
  </si>
  <si>
    <t>PL.MŚ/000000794.FACILITY</t>
  </si>
  <si>
    <t>PGE Toruń Spółka Akcyjna - Elektrociepłownia EC1</t>
  </si>
  <si>
    <t>Toruń</t>
  </si>
  <si>
    <t>ES.CAED/001594000.FACILITY</t>
  </si>
  <si>
    <t>CENTRAL TÉRMICA  DE LA PEREDA</t>
  </si>
  <si>
    <t>PEREDA (LA)</t>
  </si>
  <si>
    <t>AT.CAED/9008391591573.FACILITY</t>
  </si>
  <si>
    <t>Ehrenhausen</t>
  </si>
  <si>
    <t>IT.CAED/570162008.FACILITY</t>
  </si>
  <si>
    <t>SOLVAY CHIMICA ITALIA S.P.A. ROSIGNANO</t>
  </si>
  <si>
    <t>FR.CAED/5978.FACILITY</t>
  </si>
  <si>
    <t>CARRIERES ET FOURS A CHAUX DE DUGNY</t>
  </si>
  <si>
    <t>DUGNY SUR MEUSE</t>
  </si>
  <si>
    <t>PL.MŚ/000000095.FACILITY</t>
  </si>
  <si>
    <t>MEGATEM EC-LUBLIN Sp. z o.o.</t>
  </si>
  <si>
    <t>ES.CAED/000135000.FACILITY</t>
  </si>
  <si>
    <t>C.D.E. EIVISSA</t>
  </si>
  <si>
    <t>EIVISSA</t>
  </si>
  <si>
    <t>NO.EEA/192417.FACILITY</t>
  </si>
  <si>
    <t>Finnfjord</t>
  </si>
  <si>
    <t>FINNSNES</t>
  </si>
  <si>
    <t>IT.CAED/350432003.FACILITY</t>
  </si>
  <si>
    <t>Stabilimento di Monselice</t>
  </si>
  <si>
    <t>MONSELICE</t>
  </si>
  <si>
    <t>IT.CAED/090101002.FACILITY</t>
  </si>
  <si>
    <t>Stabilimento di Portovesme</t>
  </si>
  <si>
    <t>FR.CAED/5952.FACILITY</t>
  </si>
  <si>
    <t>VICAT (USINE DE XEUILLEY)</t>
  </si>
  <si>
    <t>XEUILLEY</t>
  </si>
  <si>
    <t>FR.CAED/6265.FACILITY</t>
  </si>
  <si>
    <t>SOCIETE DES FOURS A CHAUX DE SORCY</t>
  </si>
  <si>
    <t>SORCY ST MARTIN</t>
  </si>
  <si>
    <t>IT.CAED/130442002.FACILITY</t>
  </si>
  <si>
    <t>CRESCENTINO</t>
  </si>
  <si>
    <t>FR.CAED/13773.FACILITY</t>
  </si>
  <si>
    <t>EDF SEI - PK</t>
  </si>
  <si>
    <t>FORT DE FRANCE</t>
  </si>
  <si>
    <t>FR.CAED/4039.FACILITY</t>
  </si>
  <si>
    <t>TARANIS DU ROUVRAY</t>
  </si>
  <si>
    <t>ST ETIENNE DU ROUVRAY</t>
  </si>
  <si>
    <t>LV.LVGMC.PRTR/ROUXQO.Facility</t>
  </si>
  <si>
    <t>SIA "Gren Latvija", biokurināmā koģenerācijas stacija</t>
  </si>
  <si>
    <t>Jelgava</t>
  </si>
  <si>
    <t>https://data.gov.sk/set/data/so/57047713a_minzp/pf:ProductionFacility/57047713a.NRZ.FACILITY</t>
  </si>
  <si>
    <t>BUKÓZA ENERGO a.s. - Výroba energií</t>
  </si>
  <si>
    <t>Hencovce</t>
  </si>
  <si>
    <t>PL.MŚ/000000278.FACILITY</t>
  </si>
  <si>
    <t>Huta Miedzi "Legnica"</t>
  </si>
  <si>
    <t>Legnica</t>
  </si>
  <si>
    <t>HU.OKIR/100400015.FACILITY</t>
  </si>
  <si>
    <t>Budapest 18. ker.</t>
  </si>
  <si>
    <t>ES.CAED/001497000.FACILITY</t>
  </si>
  <si>
    <t>VOTORANTIM CEMENTOS ESPAÑA, (TORAL DE LOS VADOS)</t>
  </si>
  <si>
    <t>TORAL DE LOS VADOS</t>
  </si>
  <si>
    <t>FR.CAED/10838.FACILITY</t>
  </si>
  <si>
    <t>LILLERS</t>
  </si>
  <si>
    <t>HR.CAED/000000033.FACILITY</t>
  </si>
  <si>
    <t>EL-TO Zagreb</t>
  </si>
  <si>
    <t>CH.CAED/000000344.Facility</t>
  </si>
  <si>
    <t>Axpo Tegra AG</t>
  </si>
  <si>
    <t>Domat/ Ems</t>
  </si>
  <si>
    <t>IT.CAED/310402007.FACILITY</t>
  </si>
  <si>
    <t>CEMENTERIA DI PEDEROBBA</t>
  </si>
  <si>
    <t>PEDEROBBA</t>
  </si>
  <si>
    <t>FR.CAED/3466.FACILITY</t>
  </si>
  <si>
    <t>CONNANTRE</t>
  </si>
  <si>
    <t>ES.CAED/001282000.FACILITY</t>
  </si>
  <si>
    <t>S.A.T. NUFRI 1956</t>
  </si>
  <si>
    <t>Mollerussa</t>
  </si>
  <si>
    <t>PL.MŚ/000000070.FACILITY</t>
  </si>
  <si>
    <t>Przedsiębiorstwo Energetyki Cieplnej - Gliwice Sp. z o.o.</t>
  </si>
  <si>
    <t>Gliwice</t>
  </si>
  <si>
    <t>AT.CAED/9008390975244.FACILITY</t>
  </si>
  <si>
    <t>EVN Wärmekraftwerke GmbH</t>
  </si>
  <si>
    <t>Theiß</t>
  </si>
  <si>
    <t>ES.CAED/003718000.FACILITY</t>
  </si>
  <si>
    <t>LEMONA INDUSTRIAL, S.A. (LEMONA INDUSTRIAL, S.A)</t>
  </si>
  <si>
    <t>ESTAZIÑOA</t>
  </si>
  <si>
    <t>IT.CAED/000342001.FACILITY</t>
  </si>
  <si>
    <t>Italcementi di Colleferro</t>
  </si>
  <si>
    <t>COLLEFERRO</t>
  </si>
  <si>
    <t>FR.CAED/12066.FACILITY</t>
  </si>
  <si>
    <t>ES.CAED/003375000.FACILITY</t>
  </si>
  <si>
    <t>AZUCARERA DE JEREZ - CENTRO DE GUADALETE</t>
  </si>
  <si>
    <t>Jerez de la Frontera</t>
  </si>
  <si>
    <t>IT.CAED/441221002.FACILITY</t>
  </si>
  <si>
    <t>YARA ITALIA SPA - STABILIMENTO DI FERRARA</t>
  </si>
  <si>
    <t>IT.CAED/971002002.FACILITY</t>
  </si>
  <si>
    <t>Ragusa Cementi</t>
  </si>
  <si>
    <t>RAGUSA</t>
  </si>
  <si>
    <t>FR.CAED/3678.FACILITY</t>
  </si>
  <si>
    <t>CRISTAL UNION ÉTABLISSEMENT CRISTANOL</t>
  </si>
  <si>
    <t>FR.CAED/4998.FACILITY</t>
  </si>
  <si>
    <t>FERROPEM</t>
  </si>
  <si>
    <t>ANGLEFORT</t>
  </si>
  <si>
    <t>IT.CAED/120392002.FACILITY</t>
  </si>
  <si>
    <t>SMURFIT KAPPA CARTIERA DI VERZUOLO SRL</t>
  </si>
  <si>
    <t>VERZUOLO</t>
  </si>
  <si>
    <t>CH.CAED/000000174.Facility</t>
  </si>
  <si>
    <t>Holcim (Suisse) SA</t>
  </si>
  <si>
    <t>Eclépens</t>
  </si>
  <si>
    <t>ES.CAED/005986000.FACILITY</t>
  </si>
  <si>
    <t>BIOENERGÍA SANTAMARÍA, S.A.</t>
  </si>
  <si>
    <t>Lucena</t>
  </si>
  <si>
    <t>ES.CAED/006333000.FACILITY</t>
  </si>
  <si>
    <t>COMPAÑÍA ENERGÉTICA DE PATA DE MULO, S.L.</t>
  </si>
  <si>
    <t>Puente Genil</t>
  </si>
  <si>
    <t>IT.CAED/330922001.FACILITY</t>
  </si>
  <si>
    <t>Cementeria di Fanna</t>
  </si>
  <si>
    <t>FANNA</t>
  </si>
  <si>
    <t>PT.CAED/PT.APA05762862.CI</t>
  </si>
  <si>
    <t>LUSICAL, Companhia Lusitana de Cal  SA (CI)</t>
  </si>
  <si>
    <t>ALCANEDE</t>
  </si>
  <si>
    <t>EL.CAED/100015.FACILITY</t>
  </si>
  <si>
    <t>PPC S.A. AES KOS</t>
  </si>
  <si>
    <t>SOUTH AEGEAN, KOS</t>
  </si>
  <si>
    <t>FR.CAED/7788.FACILITY</t>
  </si>
  <si>
    <t>BOUC BEL AIR</t>
  </si>
  <si>
    <t>https://data.gov.sk/set/data/so/75081806_minzp/pf:ProductionFacility/75081806.NRZ.FACILITY</t>
  </si>
  <si>
    <t>CRH (Slovensko) a.s. Cementáreň Turňa nad Bodvou</t>
  </si>
  <si>
    <t>Turňa nad Bodvou</t>
  </si>
  <si>
    <t>PL.MŚ/000000510.FACILITY</t>
  </si>
  <si>
    <t>Lhoist Bukowa Sp.zo.o.</t>
  </si>
  <si>
    <t>Bukowa</t>
  </si>
  <si>
    <t>HU.OKIR/100326726.FACILITY</t>
  </si>
  <si>
    <t>Bunge Zrt.</t>
  </si>
  <si>
    <t>Martfű</t>
  </si>
  <si>
    <t>ES.CAED/002072000.FACILITY</t>
  </si>
  <si>
    <t>FABRICA DE MATAPORQUERA (CEMENTOS ALFA)</t>
  </si>
  <si>
    <t>MATAPORQUERA</t>
  </si>
  <si>
    <t>EL.CAED/100083.FACILITY</t>
  </si>
  <si>
    <t>PPC S.A. - AES THIRA</t>
  </si>
  <si>
    <t>THIRAS</t>
  </si>
  <si>
    <t>PL.MŚ/000000128.FACILITY</t>
  </si>
  <si>
    <t>Zakład Wytwarzania Bielsko-Biała  EC1</t>
  </si>
  <si>
    <t>Bielsko-Biała</t>
  </si>
  <si>
    <t>https://registry.gdi-de.org/id/de.he.0945.de7.pf.eu_industrie/50001960</t>
  </si>
  <si>
    <t>Papierfabrik A. Jass GmbH &amp; Co.KG</t>
  </si>
  <si>
    <t>Fulda</t>
  </si>
  <si>
    <t>FR.CAED/30364.FACILITY</t>
  </si>
  <si>
    <t>LYONDELL BASELL SERVICES FRANCE SAS</t>
  </si>
  <si>
    <t>HU.OKIR/100284965.FACILITY</t>
  </si>
  <si>
    <t>Pannongreen Kft.</t>
  </si>
  <si>
    <t>Debrecen</t>
  </si>
  <si>
    <t>https://data.ied_registry.omgeving.vlaanderen.be/id/productionfacility//BE.VL.000000169.FACILITY</t>
  </si>
  <si>
    <t>TotalEnergies Refinery Antwerp</t>
  </si>
  <si>
    <t>CH.CAED/000000179.Facility</t>
  </si>
  <si>
    <t>Vigier Cement AG</t>
  </si>
  <si>
    <t>Péry</t>
  </si>
  <si>
    <t>AT.CAED/9008391215622.FACILITY</t>
  </si>
  <si>
    <t>Cogeneration-Kraftwerke Management Oberösterreich GmbH</t>
  </si>
  <si>
    <t>Laakirchen</t>
  </si>
  <si>
    <t>ES.CAED/002580000.FACILITY</t>
  </si>
  <si>
    <t>CIMSA CEMENTOS ESPAÑA, SAU</t>
  </si>
  <si>
    <t>Buñol</t>
  </si>
  <si>
    <t>FR.CAED/10757.FACILITY</t>
  </si>
  <si>
    <t>FERROGLOBE MANGANÈSE FRANCE SAS</t>
  </si>
  <si>
    <t>GRANDE SYNTHE</t>
  </si>
  <si>
    <t>HU.OKIR/101281761.FACILITY</t>
  </si>
  <si>
    <t>Tatabánya Erőmű Kft.</t>
  </si>
  <si>
    <t>Tatabánya</t>
  </si>
  <si>
    <t>IT.CAED/060242002.FACILITY</t>
  </si>
  <si>
    <t>COLACEM S.P.A. - CEMENTERIA DI GHIGIANO</t>
  </si>
  <si>
    <t>PL.MŚ/000000127.FACILITY</t>
  </si>
  <si>
    <t>Zakład Wytwarzania Blachownia</t>
  </si>
  <si>
    <t>Kędzierzyn-Koźle</t>
  </si>
  <si>
    <t>ES.CAED/005514000.FACILITY</t>
  </si>
  <si>
    <t>CENTRAL TÉRMICA CICLO COMBINADO SAN ROQUE GRUPO 2</t>
  </si>
  <si>
    <t>SAN ROQUE</t>
  </si>
  <si>
    <t>AT.CAED/9008391215585.FACILITY</t>
  </si>
  <si>
    <t>WIEN ENERGIE Bundesforste Biomasse Kraftwerk GmbH &amp; Co KG</t>
  </si>
  <si>
    <t>PL.MŚ/000000454.FACILITY</t>
  </si>
  <si>
    <t>MICHELIN POLSKA  SPÓŁKA  AKCYJNA</t>
  </si>
  <si>
    <t>Olsztyn</t>
  </si>
  <si>
    <t>https://data.gov.sk/set/data/so/47050608_minzp/pf:ProductionFacility/47050608.NRZ.FACILITY</t>
  </si>
  <si>
    <t>SMZ, a.s. Jelšava - Výroba magnezitového slinku v rotačných šachtových peciach</t>
  </si>
  <si>
    <t>Jelšava</t>
  </si>
  <si>
    <t>PL.MŚ/000000088.FACILITY</t>
  </si>
  <si>
    <t>Ciepłownia centralna K-173 w Opolu</t>
  </si>
  <si>
    <t>FR.CAED/8791.FACILITY</t>
  </si>
  <si>
    <t>EDF TAC</t>
  </si>
  <si>
    <t>VERNOU LA CELLE SUR SEINE</t>
  </si>
  <si>
    <t>FR.CAED/13934.FACILITY</t>
  </si>
  <si>
    <t>ELECTRICITÉ DE MAYOTTE - EDM</t>
  </si>
  <si>
    <t>KOUNGOU</t>
  </si>
  <si>
    <t>https://data.ied_registry.omgeving.vlaanderen.be/id/productionfacility//BE.VL.000000172.FACILITY</t>
  </si>
  <si>
    <t>UMICORE - HOBOKEN</t>
  </si>
  <si>
    <t>FR.CAED/5503.FACILITY</t>
  </si>
  <si>
    <t>FERROPEM GROUPE FERROATLANTICA</t>
  </si>
  <si>
    <t>ST JULIEN MONT DENIS</t>
  </si>
  <si>
    <t>NO.EEA/192390.FACILITY</t>
  </si>
  <si>
    <t>Norcem Kjøpsvik</t>
  </si>
  <si>
    <t>Kjøpsvik</t>
  </si>
  <si>
    <t>IT.CAED/941002002.FACILITY</t>
  </si>
  <si>
    <t>SPER S.p.a. Enna</t>
  </si>
  <si>
    <t>Enna</t>
  </si>
  <si>
    <t>IT.CAED/900402001.FACILITY</t>
  </si>
  <si>
    <t>Italcementi di Isola delle Femmine</t>
  </si>
  <si>
    <t>ISOLA DELLE FEMMINE</t>
  </si>
  <si>
    <t>HR.CAED/000000050.FACILITY</t>
  </si>
  <si>
    <t>Proizvodnja cementa Koromačno</t>
  </si>
  <si>
    <t>Koromačno</t>
  </si>
  <si>
    <t>FR.CAED/12874.FACILITY</t>
  </si>
  <si>
    <t>CIMENTS CALCIA-EPC FRANCE</t>
  </si>
  <si>
    <t>BEFFES</t>
  </si>
  <si>
    <t>https://data.ied_registry.omgeving.vlaanderen.be/id/productionfacility//BE.VL.000000874.FACILITY</t>
  </si>
  <si>
    <t>ELECTRABEL CENTRALE VILVOORDE</t>
  </si>
  <si>
    <t>Vilvoorde</t>
  </si>
  <si>
    <t>FR.CAED/10553.FACILITY</t>
  </si>
  <si>
    <t>EDF SEI</t>
  </si>
  <si>
    <t>REMIRE MONTJOLY</t>
  </si>
  <si>
    <t>https://data.gov.sk/set/data/so/37641103_minzp/pf:ProductionFacility/37641103.NRZ.FACILITY</t>
  </si>
  <si>
    <t>PPC Energy a.s. - 58 MW zdroj pre PPC Energy, a.s.</t>
  </si>
  <si>
    <t>Bratislava - Nové Mesto</t>
  </si>
  <si>
    <t>IT.CAED/761212002.FACILITY</t>
  </si>
  <si>
    <t>CEMENTERIA DI BARLETTA</t>
  </si>
  <si>
    <t>Barletta</t>
  </si>
  <si>
    <t>IT.CAED/380662001.FACILITY</t>
  </si>
  <si>
    <t>ALTO GARDA POWER S.R.L.</t>
  </si>
  <si>
    <t>Riva Del Garda</t>
  </si>
  <si>
    <t>FR.CAED/3810.FACILITY</t>
  </si>
  <si>
    <t>CABOT CARBONE SAS</t>
  </si>
  <si>
    <t>LILLEBONNE</t>
  </si>
  <si>
    <t>PT.CAED/100009180.FACILITY</t>
  </si>
  <si>
    <t>Central Termoelétrica do Caldeirão</t>
  </si>
  <si>
    <t>Ribeira Grande</t>
  </si>
  <si>
    <t>IT.CAED/730132001.FACILITY</t>
  </si>
  <si>
    <t>COLACEM S.P.A. - CEMENTERIA DI GALATINA</t>
  </si>
  <si>
    <t>GALATINA</t>
  </si>
  <si>
    <t>ES.CAED/000145000.FACILITY</t>
  </si>
  <si>
    <t>FÁBRICA DE NIEBLA (SOCIEDAD DE CEMENTOS Y MATERIALES DE CONSTRUCCIÓN DE ANDALUCÍA, S.A.)</t>
  </si>
  <si>
    <t>Niebla</t>
  </si>
  <si>
    <t>ES.CAED/001760000.FACILITY</t>
  </si>
  <si>
    <t>CEMENTOS PORTLAND VALDERRIVAS, S.A.-FABRICA CEMENTO</t>
  </si>
  <si>
    <t>OLAZTI/OLAZAGUTIA</t>
  </si>
  <si>
    <t>LV.LVGMC.PRTR/310001.Facility</t>
  </si>
  <si>
    <t>AS "Latvenergo", Rīgas TEC-1</t>
  </si>
  <si>
    <t>Rīga</t>
  </si>
  <si>
    <t>UK.CAED/NRW170258.FACILITY</t>
  </si>
  <si>
    <t>Padeswood Cement Works</t>
  </si>
  <si>
    <t>Mold</t>
  </si>
  <si>
    <t>FR.CAED/5335.FACILITY</t>
  </si>
  <si>
    <t>LOZANNE</t>
  </si>
  <si>
    <t>CZ.MZP.U425/CZ88860818.FACILITY</t>
  </si>
  <si>
    <t>Teplárna Komořany</t>
  </si>
  <si>
    <t>Most</t>
  </si>
  <si>
    <t>FR.CAED/7634.FACILITY</t>
  </si>
  <si>
    <t>FIGENAL</t>
  </si>
  <si>
    <t>IT.CAED/850222001.FACILITY</t>
  </si>
  <si>
    <t>Cementeria Costantinopoli srl</t>
  </si>
  <si>
    <t>Barile</t>
  </si>
  <si>
    <t>ES.CAED/005513000.FACILITY</t>
  </si>
  <si>
    <t>ENERGÍA DE LA LOMA, S.A.</t>
  </si>
  <si>
    <t>VILLANUEVA DEL ARZOBISPO</t>
  </si>
  <si>
    <t>IT.CAED/341702001.FACILITY</t>
  </si>
  <si>
    <t>ENERGIA PULITA SPA</t>
  </si>
  <si>
    <t>GORIZIA</t>
  </si>
  <si>
    <t>FR.CAED/2853.FACILITY</t>
  </si>
  <si>
    <t>CRECHY</t>
  </si>
  <si>
    <t>FR.CAED/5200.FACILITY</t>
  </si>
  <si>
    <t>LIVET ET GAVET</t>
  </si>
  <si>
    <t>ES.CAED/001982000.FACILITY</t>
  </si>
  <si>
    <t>CENTRAL DIESEL LOS GUINCHOS</t>
  </si>
  <si>
    <t>BREÑA</t>
  </si>
  <si>
    <t>IT.CAED/481232012.FACILITY</t>
  </si>
  <si>
    <t>CABOT ITALIANA S.P.A.</t>
  </si>
  <si>
    <t>FR.CAED/573.FACILITY</t>
  </si>
  <si>
    <t>KOGEBAN</t>
  </si>
  <si>
    <t>NESLE</t>
  </si>
  <si>
    <t>https://data.gov.sk/set/data/so/77010309_minzp/pf:ProductionFacility/77010309.NRZ.FACILITY</t>
  </si>
  <si>
    <t>Cemmac a.s. - Výroba cementu</t>
  </si>
  <si>
    <t>Horné Srnie</t>
  </si>
  <si>
    <t>ES.CAED/006531000.FACILITY</t>
  </si>
  <si>
    <t>ENERGYWORKS VITORIA</t>
  </si>
  <si>
    <t>VITORIA-GASTEIZ</t>
  </si>
  <si>
    <t>AT.CAED/9008390940686.FACILITY</t>
  </si>
  <si>
    <t>Energie Steiermark Wärme GmbH</t>
  </si>
  <si>
    <t>Graz,05.Bez.:Gries</t>
  </si>
  <si>
    <t>EL.CAED/100093.FACILITY</t>
  </si>
  <si>
    <t>PPC S.A. AES LESVOS</t>
  </si>
  <si>
    <t>NORTH AEGEAN, LESVOS</t>
  </si>
  <si>
    <t>PL.MŚ/000000508.FACILITY</t>
  </si>
  <si>
    <t>Zakłady Górniczo-Hutnicze "Bolesław" S.A.</t>
  </si>
  <si>
    <t>Bukowno</t>
  </si>
  <si>
    <t>FR.CAED/1422.FACILITY</t>
  </si>
  <si>
    <t>RANVILLE</t>
  </si>
  <si>
    <t>FR.CAED/1287.FACILITY</t>
  </si>
  <si>
    <t>BIOLACQ ENERGIES</t>
  </si>
  <si>
    <t>LACQ</t>
  </si>
  <si>
    <t>ES.CAED/001986000.FACILITY</t>
  </si>
  <si>
    <t>CENTRAL TÉRMICA JINÁMAR</t>
  </si>
  <si>
    <t>JINAMAR</t>
  </si>
  <si>
    <t>ES.CAED/003970000.FACILITY</t>
  </si>
  <si>
    <t>SOLVAY QUÍMICA, S.L. (FÁBRICA DE TORRELAVEGA)</t>
  </si>
  <si>
    <t>ES.CAED/008329000.FACILITY</t>
  </si>
  <si>
    <t>COGENERACIÓN DE LUBRISUR (DETISA)</t>
  </si>
  <si>
    <t>IT.CAED/240602021.FACILITY</t>
  </si>
  <si>
    <t>Stabilimento di Tavernola Bergamasca</t>
  </si>
  <si>
    <t>TAVERNOLA BERGAMASCA</t>
  </si>
  <si>
    <t>HU.OKIR/100430355.FACILITY</t>
  </si>
  <si>
    <t>Birla Carbon Hungary Kft.</t>
  </si>
  <si>
    <t>IT.CAED/121002002.FACILITY</t>
  </si>
  <si>
    <t>ENGIE SERVIZI S.p.A</t>
  </si>
  <si>
    <t>Cuneo</t>
  </si>
  <si>
    <t>FR.CAED/6066.FACILITY</t>
  </si>
  <si>
    <t>UEM</t>
  </si>
  <si>
    <t>METZ</t>
  </si>
  <si>
    <t>FR.CAED/4291.FACILITY</t>
  </si>
  <si>
    <t>EQIOM (CIMENTERIE)</t>
  </si>
  <si>
    <t>ROCHEFORT SUR NENON</t>
  </si>
  <si>
    <t>ES.CAED/005509000.FACILITY</t>
  </si>
  <si>
    <t>SAN ROQUE GRUPO 1</t>
  </si>
  <si>
    <t>San Roque</t>
  </si>
  <si>
    <t>ES.CAED/002585000.FACILITY</t>
  </si>
  <si>
    <t>CEMEX ESPAÑA OPERACIONES, S.L.U. - PLANTA DE MORATA</t>
  </si>
  <si>
    <t>MORATA DE JALON</t>
  </si>
  <si>
    <t>ES.CAED/002583000.FACILITY</t>
  </si>
  <si>
    <t>CEMEX ESPAÑA OPERACIONES, S.L.U.</t>
  </si>
  <si>
    <t>YEPES</t>
  </si>
  <si>
    <t>IT.CAED/710282001.FACILITY</t>
  </si>
  <si>
    <t>IMPIANTO A BIOMASSE AGRITRE</t>
  </si>
  <si>
    <t>SANT'AGATA DI PUGLIA</t>
  </si>
  <si>
    <t>BE.WA/030010000.FACILITY</t>
  </si>
  <si>
    <t>CARMEUSE - Site de Moha</t>
  </si>
  <si>
    <t>Moha</t>
  </si>
  <si>
    <t>PL.MŚ/000000365.FACILITY</t>
  </si>
  <si>
    <t>Energetyka sp. z o.o., Elektrociepłownia E-2 Polkowice</t>
  </si>
  <si>
    <t>Polkowice</t>
  </si>
  <si>
    <t>PL.MŚ/000005296.FACILITY</t>
  </si>
  <si>
    <t>Tartak "OLCZYK" Spółka z ograniczoną odpowiedzialnośćią</t>
  </si>
  <si>
    <t>Świdno</t>
  </si>
  <si>
    <t>IT.CAED/240122001.FACILITY</t>
  </si>
  <si>
    <t>UNICALCE S.P.A. - STABILIMENTO DI VAL BREMBILLA</t>
  </si>
  <si>
    <t>VAL BREMBILLA</t>
  </si>
  <si>
    <t>ES.CAED/003526000.FACILITY</t>
  </si>
  <si>
    <t>ENERGYWORKS VITVALL S.L.</t>
  </si>
  <si>
    <t>VALLADOLID</t>
  </si>
  <si>
    <t>ES.CAED/001563000.FACILITY</t>
  </si>
  <si>
    <t>COGENERACIÓN REPSOL QUÍMICA</t>
  </si>
  <si>
    <t>GAJANO</t>
  </si>
  <si>
    <t>ES.CAED/007193000.FACILITY</t>
  </si>
  <si>
    <t>CTCC SOTO DE RIBERA</t>
  </si>
  <si>
    <t>IT.CAED/421242002.FACILITY</t>
  </si>
  <si>
    <t>IREN ENERGIA SpA - Polo Energetico Hiroshima</t>
  </si>
  <si>
    <t>REGGIO NELL'EMILIA</t>
  </si>
  <si>
    <t>FR.CAED/9545.FACILITY</t>
  </si>
  <si>
    <t>HOLCIM HAUT-RHIN</t>
  </si>
  <si>
    <t>ALTKIRCH</t>
  </si>
  <si>
    <t>ES.CAED/001529000.FACILITY</t>
  </si>
  <si>
    <t>REPSOL PETRÓLEO, S.A. - C.I. CARTAGENA</t>
  </si>
  <si>
    <t>CARTAGENA</t>
  </si>
  <si>
    <t>PL.MŚ/000000282.FACILITY</t>
  </si>
  <si>
    <t>Elektrociepłownia Łąkowa</t>
  </si>
  <si>
    <t>Grudziądz</t>
  </si>
  <si>
    <t>PT.CAED/PT.APA05768902.CI</t>
  </si>
  <si>
    <t>Atlantic Islands Electricity  (Madeira) S.A. (CI)</t>
  </si>
  <si>
    <t>CANIÇAL</t>
  </si>
  <si>
    <t>https://data.gov.sk/set/data/so/77066306_minzp/pf:ProductionFacility/77066306.NRZ.FACILITY</t>
  </si>
  <si>
    <t>TEPLÁREŇ Považská Bystrica, s.r.o.</t>
  </si>
  <si>
    <t>Považská Bystrica</t>
  </si>
  <si>
    <t>PT.CAED/PT.APA05764962.CI</t>
  </si>
  <si>
    <t>Centro de Produção de Loulé (CI)</t>
  </si>
  <si>
    <t>LOULÉ</t>
  </si>
  <si>
    <t>AT.CAED/9008391215639.FACILITY</t>
  </si>
  <si>
    <t>Kirchdorfer Zementwerk Hofmann Gesellschaft m.b.H.</t>
  </si>
  <si>
    <t>Kirchdorf an der Krems</t>
  </si>
  <si>
    <t>PT.CAED/PT.APA05769662.CI</t>
  </si>
  <si>
    <t>Refinaria de Sines (CI)</t>
  </si>
  <si>
    <t>SINES</t>
  </si>
  <si>
    <t>SE.CAED/10019434.Facility</t>
  </si>
  <si>
    <t>Preem  AB Preemraff Göteborg</t>
  </si>
  <si>
    <t>SE.CAED/10021292.Facility</t>
  </si>
  <si>
    <t>Nordkalk / Köping</t>
  </si>
  <si>
    <t>KÖPING</t>
  </si>
  <si>
    <t>IT.CAED/251342001.FACILITY</t>
  </si>
  <si>
    <t>ALFA ACCIAI SPA</t>
  </si>
  <si>
    <t>BRESCIA</t>
  </si>
  <si>
    <t>FR.CAED/584.FACILITY</t>
  </si>
  <si>
    <t>COGENERATION BIOMASSE ESTREES - CBEM</t>
  </si>
  <si>
    <t>ESTREES MONS</t>
  </si>
  <si>
    <t>IT.CAED/250182006.FACILITY</t>
  </si>
  <si>
    <t>UNITA' PRODUTTIVA DI MONTICHIARI</t>
  </si>
  <si>
    <t>MONTICHIARI</t>
  </si>
  <si>
    <t>https://data.ied_registry.omgeving.vlaanderen.be/id/productionfacility//BE.VL.000000111.FACILITY</t>
  </si>
  <si>
    <t>ELECTRABEL WKK COVESTRO</t>
  </si>
  <si>
    <t>PL.MŚ/000000109.FACILITY</t>
  </si>
  <si>
    <t>Trzuskawica Spółka Akcyjna Zakład Kujawy</t>
  </si>
  <si>
    <t>Piechcin</t>
  </si>
  <si>
    <t>ES.CAED/006236000.FACILITY</t>
  </si>
  <si>
    <t>CENTRAL DIESEL CEUTA</t>
  </si>
  <si>
    <t>CEUTA</t>
  </si>
  <si>
    <t>ES.CAED/001946000.FACILITY</t>
  </si>
  <si>
    <t>PLANTA DE GENERACIÓN DE ENERGÍA ELÉCTRICA, AGUA CALIENTE Y VAPOR</t>
  </si>
  <si>
    <t>ES.CAED/006240000.FACILITY</t>
  </si>
  <si>
    <t>CENTRAL DIESEL DE MELILLA</t>
  </si>
  <si>
    <t>MELILLA</t>
  </si>
  <si>
    <t>IT.CAED/981491001.FACILITY</t>
  </si>
  <si>
    <t>Centrale compressione gas di Messina</t>
  </si>
  <si>
    <t>MESSINA</t>
  </si>
  <si>
    <t>ES.CAED/001758000.FACILITY</t>
  </si>
  <si>
    <t>CEMENTOS PORTLAND VALDERRIVAS</t>
  </si>
  <si>
    <t>VENTA DE BAÑOS</t>
  </si>
  <si>
    <t>IT.CAED/090203012.FACILITY</t>
  </si>
  <si>
    <t>Italcementi di Samatzai</t>
  </si>
  <si>
    <t>Samatzai</t>
  </si>
  <si>
    <t>ES.CAED/000538000.FACILITY</t>
  </si>
  <si>
    <t>COGENERACIÓN GETESA (FÁBRICA DE GUADARRANQUE)</t>
  </si>
  <si>
    <t>AT.CAED/9008391215806.FACILITY</t>
  </si>
  <si>
    <t>Schretter &amp; Cie GmbH &amp; Co KG</t>
  </si>
  <si>
    <t>Vils</t>
  </si>
  <si>
    <t>FR.CAED/12539.FACILITY</t>
  </si>
  <si>
    <t>CALCIA (CIMENTS) (USINE)</t>
  </si>
  <si>
    <t>VILLIERS AU BOUIN</t>
  </si>
  <si>
    <t>ES.CAED/003686000.FACILITY</t>
  </si>
  <si>
    <t>SOCIEDAD FINANCIERA Y MINERA, S.A. (CEMENTOS REZOLA ARRIGORRIAGA)</t>
  </si>
  <si>
    <t>Arrigorriaga</t>
  </si>
  <si>
    <t>IT.CAED/151222008.FACILITY</t>
  </si>
  <si>
    <t>Solvay Specialty Polymers Italy S.p.A. - Stabilimento di Spinetta Marengo</t>
  </si>
  <si>
    <t>Alessandria</t>
  </si>
  <si>
    <t>IT.CAED/750102001.FACILITY</t>
  </si>
  <si>
    <t>TECNOPARCO VALBASENTO S.P.A.</t>
  </si>
  <si>
    <t>LT.CAED/147248313.FACILITY2</t>
  </si>
  <si>
    <t>AB "Panevėžio energija", Panevėžio RK-1 (Pušaloto rajoninė katilinė)</t>
  </si>
  <si>
    <t>Panevėžys</t>
  </si>
  <si>
    <t>LT.CAED/303332338.FACILITY2</t>
  </si>
  <si>
    <t>UAB "Idex Paneriškės"</t>
  </si>
  <si>
    <t>https://data.gov.sk/set/data/so/37086402_minzp/pf:ProductionFacility/37086402.NRZ.FACILITY</t>
  </si>
  <si>
    <t>SLOVINTEGRA ENERGY, a.s. - PPC 80 Mwe</t>
  </si>
  <si>
    <t>Levice</t>
  </si>
  <si>
    <t>FR.CAED/12922.FACILITY</t>
  </si>
  <si>
    <t>SWISS KRONO</t>
  </si>
  <si>
    <t>SULLY SUR LOIRE</t>
  </si>
  <si>
    <t>ES.CAED/000534000.FACILITY</t>
  </si>
  <si>
    <t>GEPESA (GEGSA I Y II)</t>
  </si>
  <si>
    <t>ES.CAED/006329000.FACILITY</t>
  </si>
  <si>
    <t>BIOENERGÉTICA EGABRENSE, S.A.</t>
  </si>
  <si>
    <t>Cabra</t>
  </si>
  <si>
    <t>BE.WA/117010000.FACILITY</t>
  </si>
  <si>
    <t>LUMINUS - Centrale d'Angleur</t>
  </si>
  <si>
    <t>ES.CAED/007252000.FACILITY</t>
  </si>
  <si>
    <t>ENERGÍAS DE LA MANCHA S.A. (ENEMANSA)</t>
  </si>
  <si>
    <t>VILLARTA DE SAN JUAN</t>
  </si>
  <si>
    <t>ES.CAED/002344000.FACILITY</t>
  </si>
  <si>
    <t>ANDALUZA DE CALES, S.A.</t>
  </si>
  <si>
    <t>Morón de la Frontera</t>
  </si>
  <si>
    <t>ES.CAED/003199000.FACILITY</t>
  </si>
  <si>
    <t>TIOXIDE EUROPE, S.L.</t>
  </si>
  <si>
    <t>PL.MŚ/000000466.FACILITY</t>
  </si>
  <si>
    <t>Ciepłownia Południe</t>
  </si>
  <si>
    <t>Radom</t>
  </si>
  <si>
    <t>ES.CAED/005203000.FACILITY</t>
  </si>
  <si>
    <t>COMPLEJO DE PALENCIANA (OLEÍCOLA EL TEJAR NUESTRA SEÑORA DE ARACELI, S.C.A.)</t>
  </si>
  <si>
    <t>Palenciana</t>
  </si>
  <si>
    <t>IT.CAED/960101004.FACILITY</t>
  </si>
  <si>
    <t>Air Liquide Italia Produzione - Impianto Produzione Idrogeno Melilli</t>
  </si>
  <si>
    <t>MELILLI</t>
  </si>
  <si>
    <t>FR.CAED/13737.FACILITY</t>
  </si>
  <si>
    <t>ELECTRICITE DE FRANCE ST MARTIN</t>
  </si>
  <si>
    <t>ST MARTIN</t>
  </si>
  <si>
    <t>FR.CAED/8760.FACILITY</t>
  </si>
  <si>
    <t>VAIRES SUR MARNE</t>
  </si>
  <si>
    <t>https://data.gov.sk/set/data/so/77039506_minzp/pf:ProductionFacility/77039506.NRZ.FACILITY</t>
  </si>
  <si>
    <t>Martinská teplárenská, a.s.</t>
  </si>
  <si>
    <t>Martin</t>
  </si>
  <si>
    <t>ES.CAED/005966000.FACILITY</t>
  </si>
  <si>
    <t>ENGIE CASTELNOU, S.L.U.</t>
  </si>
  <si>
    <t>CASTELNOU</t>
  </si>
  <si>
    <t>IT.CAED/200972003.FACILITY</t>
  </si>
  <si>
    <t>Centrale di Cogenerazione</t>
  </si>
  <si>
    <t>SAN DONATO MILANESE</t>
  </si>
  <si>
    <t>ES.CAED/003687000.FACILITY</t>
  </si>
  <si>
    <t>CEMENTOS REZOLA AÑORGA</t>
  </si>
  <si>
    <t>Donostia-San Sebastián</t>
  </si>
  <si>
    <t>FR.CAED/7642.FACILITY</t>
  </si>
  <si>
    <t>CIFC</t>
  </si>
  <si>
    <t>EL.CAED/100066.FACILITY</t>
  </si>
  <si>
    <t>MOTOR OIL (HELLAS) - CORINTHOS REFINERIES S.A.</t>
  </si>
  <si>
    <t>FR.CAED/6752.FACILITY</t>
  </si>
  <si>
    <t>LHOIST FRANCE OUEST</t>
  </si>
  <si>
    <t>NEAU</t>
  </si>
  <si>
    <t>IT.CAED/310583183.FACILITY</t>
  </si>
  <si>
    <t>STABILIMENTO DI PONTE DELLA PRIULA</t>
  </si>
  <si>
    <t>SUSEGANA</t>
  </si>
  <si>
    <t>AT.CAED/9008390661741.FACILITY</t>
  </si>
  <si>
    <t>OMV Downstream GmbH</t>
  </si>
  <si>
    <t>Schwechat</t>
  </si>
  <si>
    <t>ES.CAED/004774000.FACILITY</t>
  </si>
  <si>
    <t>MOSTOS VINOS Y ALCOHOLES S.A. (MOVIALSA)</t>
  </si>
  <si>
    <t>CAMPO DE CRIPTANA</t>
  </si>
  <si>
    <t>EL.CAED/100074.FACILITY</t>
  </si>
  <si>
    <t>HALYPS BUILDING MATERIALS S.A.</t>
  </si>
  <si>
    <t>ASPROPYRGOS</t>
  </si>
  <si>
    <t>ES.CAED/002377000.FACILITY</t>
  </si>
  <si>
    <t>COGENERACIÓN MOTRIL, S.A.</t>
  </si>
  <si>
    <t>Motril</t>
  </si>
  <si>
    <t>FR.CAED/5760.FACILITY</t>
  </si>
  <si>
    <t>DROME ENERGIE SERVICES</t>
  </si>
  <si>
    <t>PIERRELATTE</t>
  </si>
  <si>
    <t>https://data.gov.sk/set/data/so/37012102_minzp/pf:ProductionFacility/37012102.NRZ.FACILITY</t>
  </si>
  <si>
    <t>SLOVNAFT, a.s.</t>
  </si>
  <si>
    <t>Bratislava - Ružinov</t>
  </si>
  <si>
    <t>PL.MŚ/000000165.FACILITY</t>
  </si>
  <si>
    <t>Ciepłownia Kawęczyn</t>
  </si>
  <si>
    <t>IT.CAED/980571001.FACILITY</t>
  </si>
  <si>
    <t>Raffineria di Milazzo S.C.p.A.</t>
  </si>
  <si>
    <t>IT.CAED/280692006.FACILITY</t>
  </si>
  <si>
    <t>Columbian Carbon Europa S.r.l.</t>
  </si>
  <si>
    <t>TRECATE</t>
  </si>
  <si>
    <t>IT.CAED/210102002.FACILITY</t>
  </si>
  <si>
    <t>Centrale di Cogenerazione di Malpensa</t>
  </si>
  <si>
    <t>FERNO</t>
  </si>
  <si>
    <t>FR.CAED/5913.FACILITY</t>
  </si>
  <si>
    <t>NOVACARB-NOVACOGE</t>
  </si>
  <si>
    <t>ES.CAED/003527000.FACILITY</t>
  </si>
  <si>
    <t>ENERGYWORKS ARANDA, S.L.</t>
  </si>
  <si>
    <t>ARANDA DE DUERO</t>
  </si>
  <si>
    <t>UK.CAED/EW_EA-16635.FACILITY</t>
  </si>
  <si>
    <t>Melton Ross Lime Works EPR/BL8805IZ</t>
  </si>
  <si>
    <t>Barnetby</t>
  </si>
  <si>
    <t>PL.MŚ/000000718.FACILITY</t>
  </si>
  <si>
    <t>Ciepłownia MPEC</t>
  </si>
  <si>
    <t>AT.CAED/9008391215646.FACILITY</t>
  </si>
  <si>
    <t>FR.CAED/2750.FACILITY</t>
  </si>
  <si>
    <t>DALKIA BIOMASSE RENNES</t>
  </si>
  <si>
    <t>RENNES</t>
  </si>
  <si>
    <t>PL.MŚ/000000164.FACILITY</t>
  </si>
  <si>
    <t>Elektrociepłownia Pruszków</t>
  </si>
  <si>
    <t>Pruszków</t>
  </si>
  <si>
    <t>HU.OKIR/101722426.FACILITY</t>
  </si>
  <si>
    <t>MVM Balance Zrt.</t>
  </si>
  <si>
    <t>Budapest 03. ker.</t>
  </si>
  <si>
    <t>2(e)(ii)</t>
  </si>
  <si>
    <t>Installation for the smelting, including the alloying, of non-ferrous metals, including recovered products (refining, foundry casting, etc.)</t>
  </si>
  <si>
    <t>EL.CAED/100129.FACILITY</t>
  </si>
  <si>
    <t>ELVALHALCOR S.A. - ALUMINIUM ROLLING DIVISION</t>
  </si>
  <si>
    <t>OINOFYTA</t>
  </si>
  <si>
    <t>IT.CAED/840331001.FACILITY</t>
  </si>
  <si>
    <t>Centrale compressione gas di Montesano sulla Marcellana</t>
  </si>
  <si>
    <t>MONTESANO SULLA MARCELLANA</t>
  </si>
  <si>
    <t>ES.CAED/003701000.FACILITY</t>
  </si>
  <si>
    <t>PETROLEOS DEL NORTE, PETRONOR, S.A. (PETRONOR)</t>
  </si>
  <si>
    <t>Muskiz</t>
  </si>
  <si>
    <t>FR.CAED/9450.FACILITY</t>
  </si>
  <si>
    <t>CONSTELLIUM NEUF BRISACH</t>
  </si>
  <si>
    <t>BIESHEIM</t>
  </si>
  <si>
    <t>PL.MŚ/000000643.FACILITY</t>
  </si>
  <si>
    <t>Miejskie Przedsiębiorstwo Energetyki Cieplnej Spółka z o.o.</t>
  </si>
  <si>
    <t>ES.CAED/004030000.FACILITY</t>
  </si>
  <si>
    <t>IBERDROLA GENERACION TERMICA, S.L.</t>
  </si>
  <si>
    <t>PL.MŚ/000000023.FACILITY</t>
  </si>
  <si>
    <t>LOTOS ASfalt Sp. z o.o.</t>
  </si>
  <si>
    <t>IT.CAED/400262016.FACILITY</t>
  </si>
  <si>
    <t>Hera S.p.A. - Centrale di cogenerazione a ciclo combinato da 80 MW</t>
  </si>
  <si>
    <t>IMOLA</t>
  </si>
  <si>
    <t>ES.CAED/004264000.FACILITY</t>
  </si>
  <si>
    <t>DOLOMITAS DEL NORTE,S.A</t>
  </si>
  <si>
    <t>BUERAS</t>
  </si>
  <si>
    <t>IT.CAED/960111001.FACILITY</t>
  </si>
  <si>
    <t>Sonatrach Raffineria Italiana-Raffineria di Augusta</t>
  </si>
  <si>
    <t>FR.CAED/5624.FACILITY</t>
  </si>
  <si>
    <t>OSIRIS GIE</t>
  </si>
  <si>
    <t>ROUSSILLON</t>
  </si>
  <si>
    <t>EL.CAED/100046.FACILITY</t>
  </si>
  <si>
    <t>PPC S.A. AES CHIOS</t>
  </si>
  <si>
    <t>NORTH AEGEAN, CHIOS</t>
  </si>
  <si>
    <t>LT.CAED/118188317.FACILITY1</t>
  </si>
  <si>
    <t>UAB ,,Litesko“ filialo „Alytaus energija“, Alytus district boiler</t>
  </si>
  <si>
    <t>Alytus</t>
  </si>
  <si>
    <t>PL.MŚ/000000368.FACILITY</t>
  </si>
  <si>
    <t>Energetyka sp. z o.o. w Lubinie, Elektrociepłownia E-1 Lubin</t>
  </si>
  <si>
    <t>Lubin</t>
  </si>
  <si>
    <t>ES.CAED/010549000.FACILITY</t>
  </si>
  <si>
    <t>PLANTA DE DESTILACIÓN DE ALCOHOL</t>
  </si>
  <si>
    <t>Daimiel</t>
  </si>
  <si>
    <t>IT.CAED/050352007.FACILITY</t>
  </si>
  <si>
    <t>STABILIMENTO DI SAN PELLEGRINO</t>
  </si>
  <si>
    <t>NARNI</t>
  </si>
  <si>
    <t>PL.MŚ/000002308.FACILITY</t>
  </si>
  <si>
    <t>Zakłady Wapiennicze Lhoist S.A. Jednostka Produkcyjna w Górażdżach-Zakład Nowy</t>
  </si>
  <si>
    <t>Górażdże</t>
  </si>
  <si>
    <t>ES.CAED/000151000.FACILITY</t>
  </si>
  <si>
    <t>NESTLE ESPAÑA (FÀBRICA DE GIRONA)</t>
  </si>
  <si>
    <t>Girona</t>
  </si>
  <si>
    <t>https://data.ied_registry.omgeving.vlaanderen.be/id/productionfacility//BE.VL.000000667.FACILITY</t>
  </si>
  <si>
    <t>KRONOS EUROPE</t>
  </si>
  <si>
    <t>IT.CAED/670123158.FACILITY</t>
  </si>
  <si>
    <t>ITALSACCI S.p.A.</t>
  </si>
  <si>
    <t>Cagnano Amiterno</t>
  </si>
  <si>
    <t>https://data.ied_registry.omgeving.vlaanderen.be/id/productionfacility//BE.VL.000000118.FACILITY</t>
  </si>
  <si>
    <t>EXXONMOBIL PETROLEUM &amp; CHEMICAL - ESSO RAFFINADERIJ</t>
  </si>
  <si>
    <t>IT.CAED/880442001.FACILITY</t>
  </si>
  <si>
    <t>CAL.ME. Spa</t>
  </si>
  <si>
    <t>Marcellinara</t>
  </si>
  <si>
    <t>ES.CAED/003483000.FACILITY</t>
  </si>
  <si>
    <t>BIRLA CARBON SPAIN SL</t>
  </si>
  <si>
    <t>FR.CAED/7652.FACILITY</t>
  </si>
  <si>
    <t>IMERYS ALUMINATES SA</t>
  </si>
  <si>
    <t>FR.CAED/5217.FACILITY</t>
  </si>
  <si>
    <t>ST EGREVE</t>
  </si>
  <si>
    <t>ES.CAED/003564000.FACILITY</t>
  </si>
  <si>
    <t>CALGOV, S.A.</t>
  </si>
  <si>
    <t>Estepa</t>
  </si>
  <si>
    <t>ES.CAED/003462000.FACILITY</t>
  </si>
  <si>
    <t>XALLAS ELECTRICIDAD Y ALEACIONES, SAU-DUMBRIA</t>
  </si>
  <si>
    <t>DUMBRIA</t>
  </si>
  <si>
    <t>FR.CAED/3814.FACILITY</t>
  </si>
  <si>
    <t>TOTALENERGIES RAFFINAGE FRANCE</t>
  </si>
  <si>
    <t>GONFREVILLE L ORCHER</t>
  </si>
  <si>
    <t>IT.CAED/370202003.FACILITY</t>
  </si>
  <si>
    <t>STABILIMENTO DI CERAINO DI DOLCE'</t>
  </si>
  <si>
    <t>DOLCE'</t>
  </si>
  <si>
    <t>IT.CAED/080292001.FACILITY</t>
  </si>
  <si>
    <t>CEMENTERIA DI SINISCOLA</t>
  </si>
  <si>
    <t>SINISCOLA</t>
  </si>
  <si>
    <t>FR.CAED/10849.FACILITY</t>
  </si>
  <si>
    <t>IMERYS (EX KERNEOS)</t>
  </si>
  <si>
    <t>EL.CAED/100058.FACILITY</t>
  </si>
  <si>
    <t>HELLENIC PETROLEUM S.A. –SOUTH REFINERIES COMPLEX – ELEFSIS INDUSTRIAL FACILITIES</t>
  </si>
  <si>
    <t>ELEFSIS</t>
  </si>
  <si>
    <t>FR.CAED/3834.FACILITY</t>
  </si>
  <si>
    <t>ESSO RAFFINAGE</t>
  </si>
  <si>
    <t>NOTRE DAME DE GRAVENCHON</t>
  </si>
  <si>
    <t>PL.MŚ/000000629.FACILITY</t>
  </si>
  <si>
    <t>Zaklady Wapiennicze Lhoist S.A. Jednostka Produkcyjna w Częstochowie</t>
  </si>
  <si>
    <t>CH.CAED/000000178.Facility</t>
  </si>
  <si>
    <t>Juracime SA</t>
  </si>
  <si>
    <t>Cornaux</t>
  </si>
  <si>
    <t>IT.CAED/270391001.FACILITY</t>
  </si>
  <si>
    <t>RAFFINERIA DI SANNAZZARO DE' BURGONDI</t>
  </si>
  <si>
    <t>SANNAZZARO DE' BURGONDI</t>
  </si>
  <si>
    <t>HR.CAED/000000210.FACILITY</t>
  </si>
  <si>
    <t>Proizvodnja aluminatnog cementa</t>
  </si>
  <si>
    <t>Pula (Pola)</t>
  </si>
  <si>
    <t>https://registry.gdi-de.org/id/de.he.0945.de7.pf.eu_industrie/80000011</t>
  </si>
  <si>
    <t>Dyckerhoff GmbH Werk Amöneburg</t>
  </si>
  <si>
    <t>Wiesbaden, Stadt</t>
  </si>
  <si>
    <t>UK.CAED/NRW170005.FACILITY</t>
  </si>
  <si>
    <t>Aberthaw Works</t>
  </si>
  <si>
    <t>Barry</t>
  </si>
  <si>
    <t>IT.CAED/120102003.FACILITY</t>
  </si>
  <si>
    <t>UNICALCE S.P.A. - STABILIMENTO DI BERNEZZO</t>
  </si>
  <si>
    <t>Bernezzo</t>
  </si>
  <si>
    <t>ES.CAED/003463000.FACILITY</t>
  </si>
  <si>
    <t>GRUPO FERROATLÁNTICA, SAU</t>
  </si>
  <si>
    <t>EL.CAED/100053.FACILITY</t>
  </si>
  <si>
    <t>HELLENIC PETROLEUM S.A. - INDUSTRIAL DIVISION OF ASPROPYRGOS</t>
  </si>
  <si>
    <t>ES.CAED/001479000.FACILITY</t>
  </si>
  <si>
    <t>REFINERÍA GIBRALTAR</t>
  </si>
  <si>
    <t>CZ.MZP.T803/CZ31406387.FACILITY</t>
  </si>
  <si>
    <t>Teplárna Československé armády</t>
  </si>
  <si>
    <t>Karviná</t>
  </si>
  <si>
    <t>CZ.MZP.T803/CZ99166596.FACILITY</t>
  </si>
  <si>
    <t>Teplárna Karviná</t>
  </si>
  <si>
    <t>LT.CAED/166451720.FACILITY</t>
  </si>
  <si>
    <t>AB "ORLEN Lietuva"</t>
  </si>
  <si>
    <t>Juodeikiai</t>
  </si>
  <si>
    <t>HU.OKIR/100368313.FACILITY</t>
  </si>
  <si>
    <t>MOL Nyrt.</t>
  </si>
  <si>
    <t>CZ.MZP.Z724/CZ14837619.FACILITY</t>
  </si>
  <si>
    <t>Teplárna Otrokovice</t>
  </si>
  <si>
    <t>Otrokovice</t>
  </si>
  <si>
    <t>ES.CAED/001482000.FACILITY</t>
  </si>
  <si>
    <t>REFINERÍA LA RÁBIDA</t>
  </si>
  <si>
    <t>IT.CAED/961003163.FACILITY</t>
  </si>
  <si>
    <t>Raffineria ISAB Impianti SUD</t>
  </si>
  <si>
    <t>IT.CAED/239002006.FACILITY</t>
  </si>
  <si>
    <t>LECCO</t>
  </si>
  <si>
    <t>ES.CAED/001528000.FACILITY</t>
  </si>
  <si>
    <t>REPSOL PETROLEO S.A.</t>
  </si>
  <si>
    <t>https://data.gov.sk/set/data/so/57087808_minzp/pf:ProductionFacility/57087808.NRZ.FACILITY</t>
  </si>
  <si>
    <t>Carmeuse Slovakia, s.r.o. - Závod Vápenka Slavec, lom Gombasek (Slavec)</t>
  </si>
  <si>
    <t>Slavec</t>
  </si>
  <si>
    <t>FR.CAED/10723.FACILITY</t>
  </si>
  <si>
    <t>ETABLISSEMENTS BOCAHUT SAS.</t>
  </si>
  <si>
    <t>HAUT LIEU</t>
  </si>
  <si>
    <t>FR.CAED/7598.FACILITY</t>
  </si>
  <si>
    <t>CHAUX DE PROVENCE SACAM</t>
  </si>
  <si>
    <t>CHATEAUNEUF LES MARTIGUES</t>
  </si>
  <si>
    <t>https://data.gov.sk/set/data/so/77050511_minzp/pf:ProductionFacility/77050511.NRZ.FACILITY</t>
  </si>
  <si>
    <t>DOLVAP s.r.o. - Výroba vápna</t>
  </si>
  <si>
    <t>Varín</t>
  </si>
  <si>
    <t>CH.CAED/000000121.Facility</t>
  </si>
  <si>
    <t>Kimberly Clark GmbH</t>
  </si>
  <si>
    <t>Niederbipp</t>
  </si>
  <si>
    <t>ES.CAED/000704000.FACILITY</t>
  </si>
  <si>
    <t>BP ENERGÍA ESPAÑA, S.A.</t>
  </si>
  <si>
    <t>GRAO</t>
  </si>
  <si>
    <t>CH.CAED/000000306.Facility</t>
  </si>
  <si>
    <t>ProRheno AG</t>
  </si>
  <si>
    <t>CZ.MZP.B643/CZ49244053.FACILITY</t>
  </si>
  <si>
    <t>FR.CAED/7874.FACILITY</t>
  </si>
  <si>
    <t>PETROINEOS MANUFACTURING FRANCE SAS</t>
  </si>
  <si>
    <t>SE.CAED/10023940.Facility</t>
  </si>
  <si>
    <t>Rönnskärsverken</t>
  </si>
  <si>
    <t>SKELLEFTEHAMN</t>
  </si>
  <si>
    <t>https://registry.gdi-de.org/id/de.by.inspire.pf.ied/S00860</t>
  </si>
  <si>
    <t>DS Smith Paper Deutschland GmbH, Werk Aschaffenburg</t>
  </si>
  <si>
    <t>Aschaffenburg</t>
  </si>
  <si>
    <t>IT.CAED/280691001.FACILITY</t>
  </si>
  <si>
    <t>RAFFINERIA SARPOM DI TRECATE</t>
  </si>
  <si>
    <t>ES.CAED/001526000.FACILITY</t>
  </si>
  <si>
    <t>REPSOL COMPLEJO INDUSTRIAL A CORUÑA</t>
  </si>
  <si>
    <t>GRELA (LA)</t>
  </si>
  <si>
    <t>IT.CAED/741231002.FACILITY</t>
  </si>
  <si>
    <t>RAFFINERIA DI TARANTO</t>
  </si>
  <si>
    <t>FR.CAED/5422.FACILITY</t>
  </si>
  <si>
    <t>FEYZIN</t>
  </si>
  <si>
    <t>4(d)</t>
  </si>
  <si>
    <t>Chemical installations for the production on an industrial scale of basic plant health products and of biocides</t>
  </si>
  <si>
    <t>PL.MŚ/000003674.FACILITY</t>
  </si>
  <si>
    <t>PCC Rokita S.A.</t>
  </si>
  <si>
    <t>Brzeg Dolny</t>
  </si>
  <si>
    <t>DK.CAED/000104657.FACILITY</t>
  </si>
  <si>
    <t>Herningværket</t>
  </si>
  <si>
    <t>Herning</t>
  </si>
  <si>
    <t>HR.CAED/000000067.FACILITY</t>
  </si>
  <si>
    <t>Rafinerija nafte Rijeka</t>
  </si>
  <si>
    <t>Kostrena</t>
  </si>
  <si>
    <t>FR.CAED/6705.FACILITY</t>
  </si>
  <si>
    <t>DONGES</t>
  </si>
  <si>
    <t>FR.CAED/7646.FACILITY</t>
  </si>
  <si>
    <t>ESSO RAFFINAGE SAS</t>
  </si>
  <si>
    <t>IT.CAED/960101005.FACILITY</t>
  </si>
  <si>
    <t>Raffineria ISAB Impianti NORD</t>
  </si>
  <si>
    <t>2(b)</t>
  </si>
  <si>
    <t>Installations for the production of pig iron or steel (primary or secondary melting) including continuous casting</t>
  </si>
  <si>
    <t>FR.CAED/7656.FACILITY</t>
  </si>
  <si>
    <t>ARCELORMITTAL MÉDITERRANÉE</t>
  </si>
  <si>
    <t>Pig iron or steel production</t>
  </si>
  <si>
    <t>https://data.gov.sk/set/data/so/57002803_minzp/pf:ProductionFacility/57002803.NRZ.FACILITY</t>
  </si>
  <si>
    <t>U.S.Steel s.r.o.</t>
  </si>
  <si>
    <t>CZ.MZP.M714/CZ24145642.FACILITY</t>
  </si>
  <si>
    <t>Teplárna Přerov</t>
  </si>
  <si>
    <t>Přerov</t>
  </si>
  <si>
    <t>IT.CAED/570171001.FACILITY</t>
  </si>
  <si>
    <t>Eni S.p.A. Raffineria di Livorno</t>
  </si>
  <si>
    <t>LIVORNO</t>
  </si>
  <si>
    <t>ES.CAED/003486000.FACILITY</t>
  </si>
  <si>
    <t>ARCELORMITTAL ESPAÑA - PLANTA SIDERÚRGICA DE AVILÉS Y GIJÓN</t>
  </si>
  <si>
    <t>GRANDA (LA)</t>
  </si>
  <si>
    <t>IT.CAED/741231004.FACILITY</t>
  </si>
  <si>
    <t>STABILIMENTO DI TARANTO</t>
  </si>
  <si>
    <t>IT.CAED/301751001.FACILITY</t>
  </si>
  <si>
    <t>Raffineria di Venezia</t>
  </si>
  <si>
    <t>HR.CAED/000000199.FACILITY</t>
  </si>
  <si>
    <t>Objekti prerade plina Molve</t>
  </si>
  <si>
    <t>Virje</t>
  </si>
  <si>
    <t>LT.CAED/302648707.FACILITY2</t>
  </si>
  <si>
    <t xml:space="preserve"> ,,Lietuvos energijos gamyba“ AB, Elektrėnų elektrinė</t>
  </si>
  <si>
    <t>Elektrėnai</t>
  </si>
  <si>
    <t>CH.CAED/000000011.Facility</t>
  </si>
  <si>
    <t>Varo Refining Cressier SA / Raffinerie de Cressier</t>
  </si>
  <si>
    <t>Cressier</t>
  </si>
  <si>
    <t>EL.CAED/100062.FACILITY</t>
  </si>
  <si>
    <t>HELLENIC PETROLEUM S.A. - THESSALONIKI INDUSTRIAL COMPLEX</t>
  </si>
  <si>
    <t>ECHEDOROS</t>
  </si>
  <si>
    <t>IT.CAED/160121001.FACILITY</t>
  </si>
  <si>
    <t>Iplom S.p.A - Raffineria di Busalla</t>
  </si>
  <si>
    <t>BUSALLA</t>
  </si>
  <si>
    <t>https://data.ied_registry.omgeving.vlaanderen.be/id/productionfacility//BE.VL.000000605.FACILITY</t>
  </si>
  <si>
    <t>ARCELORMITTAL BELGIUM - GENT</t>
  </si>
  <si>
    <t>SE.CAED/10024886.Facility</t>
  </si>
  <si>
    <t>LKAB - Svappavaaragruvan Leveäniemi</t>
  </si>
  <si>
    <t>Svappavaara</t>
  </si>
  <si>
    <t>SE.CAED/10017901.Facility</t>
  </si>
  <si>
    <t>Höganäs Sweden AB</t>
  </si>
  <si>
    <t>HÖGANÄS</t>
  </si>
  <si>
    <t>UK.CAED/NRW170003.FACILITY</t>
  </si>
  <si>
    <t>Aberthaw Power Station</t>
  </si>
  <si>
    <t>Aberthaw</t>
  </si>
  <si>
    <t>8(c)</t>
  </si>
  <si>
    <t>Treatment and processing of milk</t>
  </si>
  <si>
    <t>CH.CAED/000000372.Facility</t>
  </si>
  <si>
    <t>Cremo SA</t>
  </si>
  <si>
    <t>Villars-sur-Glâne</t>
  </si>
  <si>
    <t>Milk products</t>
  </si>
  <si>
    <t>CH.CAED/000000195.Facility</t>
  </si>
  <si>
    <t>Constellium Valais SA</t>
  </si>
  <si>
    <t>Steg</t>
  </si>
  <si>
    <t>AT.CAED/9008390975701.FACILITY</t>
  </si>
  <si>
    <t>voestalpine Stahl Donawitz GmbH</t>
  </si>
  <si>
    <t>Donawitz</t>
  </si>
  <si>
    <t>FR.CAED/7658.FACILITY</t>
  </si>
  <si>
    <t>CH.CAED/000000122.Facility</t>
  </si>
  <si>
    <t>Estavayer Lait SA</t>
  </si>
  <si>
    <t>Estavayer-le-Lac</t>
  </si>
  <si>
    <t>IT.CAED/930121001.FACILITY</t>
  </si>
  <si>
    <t>RAFFINERIA DI GELA SPA</t>
  </si>
  <si>
    <t>GELA</t>
  </si>
  <si>
    <t>HR.CAED/000000223.FACILITY</t>
  </si>
  <si>
    <t>INA d.d. Istr. i proizv. NiP, Proizvodna jedinica-procesi, Objekti frakcionacije Ivanić Grad</t>
  </si>
  <si>
    <t>Ivanić-Grad</t>
  </si>
  <si>
    <t>AT.CAED/9008390481905.FACILITY</t>
  </si>
  <si>
    <t>OMV Austria Exploration &amp; Production GmbH</t>
  </si>
  <si>
    <t>Aderklaa</t>
  </si>
  <si>
    <t>FR.CAED/13783.FACILITY</t>
  </si>
  <si>
    <t>SARA RAFFINERIE</t>
  </si>
  <si>
    <t>LE LAMENTIN</t>
  </si>
  <si>
    <t>CH.CAED/000000375.Facility</t>
  </si>
  <si>
    <t>Cremo SA / Werk Thun</t>
  </si>
  <si>
    <t>IS.CAED/600407-0580</t>
  </si>
  <si>
    <t>Molta ehf.</t>
  </si>
  <si>
    <t>Eyjafjarðarsveit</t>
  </si>
  <si>
    <t>CH.CAED/000000374.Facility</t>
  </si>
  <si>
    <t>Cremo SA / Usine de Lucens</t>
  </si>
  <si>
    <t>Lucens</t>
  </si>
  <si>
    <t>CH.CAED/000000190.Facility</t>
  </si>
  <si>
    <t>Sierre</t>
  </si>
  <si>
    <t>CH.CAED/000000373.Facility</t>
  </si>
  <si>
    <t>Le Mont-sur-Lausanne</t>
  </si>
  <si>
    <t>CH.CAED/000000148.Facility</t>
  </si>
  <si>
    <t>vonRoll casting (rondez) sa</t>
  </si>
  <si>
    <t>Delémont</t>
  </si>
  <si>
    <t>FR.CAED/5938.FACILITY</t>
  </si>
  <si>
    <t>SAINT GOBAIN PAM</t>
  </si>
  <si>
    <t>PONT A MOUSSON</t>
  </si>
  <si>
    <t>IT.CAED/240442002.FACILITY</t>
  </si>
  <si>
    <t>Tenaris Dalmine - Stabilimento di Dalmine</t>
  </si>
  <si>
    <t>IT.CAED/051002002.FACILITY</t>
  </si>
  <si>
    <t>ACCIAI SPECIALI TERNI S.P.A. - stabilimento di TERNI</t>
  </si>
  <si>
    <t>PL.MŚ/000000606.FACILITY</t>
  </si>
  <si>
    <t>Huta Łaziska S.A. w upadłości układowej</t>
  </si>
  <si>
    <t>Łaziska Górne</t>
  </si>
  <si>
    <t>IT.CAED/330502002.FACILITY</t>
  </si>
  <si>
    <t>ACCIAIERIE BERTOLI SAFAU SPA</t>
  </si>
  <si>
    <t>Pozzuolo Del Friuli</t>
  </si>
  <si>
    <t>FR.CAED/6045.FACILITY</t>
  </si>
  <si>
    <t>ARCELORMITTAL ATLANTIQUE ET LORRAINE</t>
  </si>
  <si>
    <t>HAYANGE</t>
  </si>
  <si>
    <t>LU.CAED/000003000.FACILITY</t>
  </si>
  <si>
    <t>ArcelorMittal Belval &amp; Differdange S.A.</t>
  </si>
  <si>
    <t>Esch-sur-Alzette</t>
  </si>
  <si>
    <t>ES.CAED/001606000.FACILITY</t>
  </si>
  <si>
    <t>ACERINOX EUROPA S.A.U.</t>
  </si>
  <si>
    <t>IT.CAED/330102002.FACILITY</t>
  </si>
  <si>
    <t>FERRIERE NORD STABILIMENTO DI OSOPPO</t>
  </si>
  <si>
    <t>OSOPPO</t>
  </si>
  <si>
    <t>LU.CAED/000002000.FACILITY</t>
  </si>
  <si>
    <t>PL.MŚ/000001740.FACILITY</t>
  </si>
  <si>
    <t>TAMEH POLSKA sp. z o. o. - Zakład Wytwarzania Kraków (Elektrociepłownia)</t>
  </si>
  <si>
    <t>BE.WA/146010000.FACILITY</t>
  </si>
  <si>
    <t>APERAM STAINLESS BELGIUM</t>
  </si>
  <si>
    <t>Châtelet</t>
  </si>
  <si>
    <t>https://data.ied_registry.omgeving.vlaanderen.be/id/productionfacility//BE.VL.000000424.FACILITY</t>
  </si>
  <si>
    <t>APERAM GENK</t>
  </si>
  <si>
    <t>Genk</t>
  </si>
  <si>
    <t>ES.CAED/003100000.FACILITY</t>
  </si>
  <si>
    <t>COMPAÑIA ESPAÑOLA DE LAMINACION (CELSA 1-4)</t>
  </si>
  <si>
    <t>Castellbisbal</t>
  </si>
  <si>
    <t>IS.CAED/520303-4210</t>
  </si>
  <si>
    <t>Alcoa Fjarðaál</t>
  </si>
  <si>
    <t>Fjarðabyggð</t>
  </si>
  <si>
    <t>PT.CAED/PT.APA05770882.CI</t>
  </si>
  <si>
    <t>SN Seixal - Siderurgia Nacional SA (CI)</t>
  </si>
  <si>
    <t>Seixal</t>
  </si>
  <si>
    <t>IS.CAED/640675-0209</t>
  </si>
  <si>
    <t>Elkem Ísland ehf.</t>
  </si>
  <si>
    <t>CZ.MZP.T805/CZ93379263.FACILITY</t>
  </si>
  <si>
    <t>Moravskoslezské cukrovary s.r.o., o.z. Opava</t>
  </si>
  <si>
    <t>Vávrovice</t>
  </si>
  <si>
    <t>4(a)(xi)</t>
  </si>
  <si>
    <t>Chemical installations for the production on an industrial scale of basic organic chemicals: Surface-active agents and surfactants</t>
  </si>
  <si>
    <t>CH.CAED/000000055.Facility</t>
  </si>
  <si>
    <t>Chemische Fabrik Schärer &amp; Schläpfer AG</t>
  </si>
  <si>
    <t>Rothrist</t>
  </si>
  <si>
    <t>Surface-active agents and surfactants</t>
  </si>
  <si>
    <t>CH.CAED/000000149.Facility</t>
  </si>
  <si>
    <t>DGS Druckguss Systeme AG</t>
  </si>
  <si>
    <t>St. Gallen</t>
  </si>
  <si>
    <t>4(a)(viii)</t>
  </si>
  <si>
    <t>Chemical installations for the production on an industrial scale of basic organic chemicals: Basic plastic materials (polymers, synthetic fibres and cellulose-based fibres)</t>
  </si>
  <si>
    <t>https://data.ied_registry.omgeving.vlaanderen.be/id/productionfacility//BE.VL.000000132.FACILITY</t>
  </si>
  <si>
    <t>BAYER AGRICULTURE</t>
  </si>
  <si>
    <t>Basic plastic materials</t>
  </si>
  <si>
    <t>https://data.ied_registry.omgeving.vlaanderen.be/id/productionfacility//BE.VL.000000618.FACILITY</t>
  </si>
  <si>
    <t>BOREALIS KALLO</t>
  </si>
  <si>
    <t>Beveren</t>
  </si>
  <si>
    <t>BE.WA/047010000.FACILITY</t>
  </si>
  <si>
    <t>TotalEnergies Petrochemicals Feluy SA</t>
  </si>
  <si>
    <t>Feluy</t>
  </si>
  <si>
    <t>BG.CAED/014000002.FACILITY</t>
  </si>
  <si>
    <t>Neochim Company for Production of 
    Inorganic and organic chemicals</t>
  </si>
  <si>
    <t>Димитровград</t>
  </si>
  <si>
    <t>Carbon dioxide (CO2) excluding biomass</t>
  </si>
  <si>
    <t>FR.CAED/6359.FACILITY</t>
  </si>
  <si>
    <t>INEOS POLYMERS SARRALBE SAS</t>
  </si>
  <si>
    <t>SARRALBE</t>
  </si>
  <si>
    <t>https://registry.gdi-de.org/id/de.ni.mu/09281734280</t>
  </si>
  <si>
    <t>VYNOVA Wilhelmshaven GmbH</t>
  </si>
  <si>
    <t>Wilhelmshaven</t>
  </si>
  <si>
    <t>https://registry.gdi-de.org/id/de.by.inspire.pf.ied/S00334</t>
  </si>
  <si>
    <t>Kelheim Fibres GmbH</t>
  </si>
  <si>
    <t>Kelheim</t>
  </si>
  <si>
    <t>ES.CAED/002716000.FACILITY</t>
  </si>
  <si>
    <t>DOW CHEMICAL IBERICA (DOW NORD)</t>
  </si>
  <si>
    <t>Pobla de Mafumet, La</t>
  </si>
  <si>
    <t>UK.CAED/P0129_06A.FACILITY</t>
  </si>
  <si>
    <t>The Lycra Company</t>
  </si>
  <si>
    <t>Londonderry</t>
  </si>
  <si>
    <t>BG.CAED/003000005.FACILITY</t>
  </si>
  <si>
    <t>Cement company Devnia cement</t>
  </si>
  <si>
    <t>Девня</t>
  </si>
  <si>
    <t>DK.CAED/000105786.FACILITY</t>
  </si>
  <si>
    <t>Aalborg Portland A/S</t>
  </si>
  <si>
    <t>Aalborg Øst</t>
  </si>
  <si>
    <t>http://paikkatiedot.fi/so/1002031/pf/ProductionFacility/0000002779.ProductionFacility</t>
  </si>
  <si>
    <t>Finnsementti Oy, Parainen / Sementtitehdas</t>
  </si>
  <si>
    <t>Parainen</t>
  </si>
  <si>
    <t>http://paikkatiedot.fi/so/1002031/pf/ProductionFacility/0000002577.ProductionFacility</t>
  </si>
  <si>
    <t>Finnsementti Oy, Lappeenrannan sementtitehdas</t>
  </si>
  <si>
    <t>https://registry.gdi-de.org/id/de.bb.inspire.pf.eureg/23020947</t>
  </si>
  <si>
    <t>CEMEX Zement GmbH</t>
  </si>
  <si>
    <t>Rüdersdorf bei Berlin</t>
  </si>
  <si>
    <t>https://registry.gdi-de.org/id/de.sh//10038078</t>
  </si>
  <si>
    <t>Holcim (Deutschland) GmbH</t>
  </si>
  <si>
    <t>Lägerdorf</t>
  </si>
  <si>
    <t>https://registry.gdi-de.org/id/de.by.inspire.pf.ied/S00600</t>
  </si>
  <si>
    <t>HeidelbergCement AG, Zementwerk Burglengenfeld</t>
  </si>
  <si>
    <t>Burglengenfeld</t>
  </si>
  <si>
    <t>https://registry.gdi-de.org/id/de.nw.inspire.pf.bube-eureg/arb-2017-974016-900-0255642</t>
  </si>
  <si>
    <t>Spenner GmbH &amp; Co. KG</t>
  </si>
  <si>
    <t>https://registry.gdi-de.org/id/de.by.inspire.pf.ied/S00941</t>
  </si>
  <si>
    <t>SCHWENK Zement GmbH &amp; Co. KG, Werk Karlstadt</t>
  </si>
  <si>
    <t>Karlstadt</t>
  </si>
  <si>
    <t>https://registry.gdi-de.org/id/de.by.inspire.pf.ied/S00935</t>
  </si>
  <si>
    <t>HeidelbergCement AG, Zementwerk Lengfurt</t>
  </si>
  <si>
    <t>Triefenstein</t>
  </si>
  <si>
    <t>https://registry.gdi-de.org/id/de.by.inspire.pf.ied/S00242</t>
  </si>
  <si>
    <t>Zementwerk Rohrdorf</t>
  </si>
  <si>
    <t>Rohrdorf</t>
  </si>
  <si>
    <t>https://registry.gdi-de.org/id/de.nw.inspire.pf.bube-eureg/arb-2017-974020-900-0009824</t>
  </si>
  <si>
    <t>HeidelbergCement AG Zementwerk Geseke (Milke)</t>
  </si>
  <si>
    <t>https://registry.gdi-de.org/id/de.ni.mu/06221720040</t>
  </si>
  <si>
    <t>Holcim (Deutschland) GmbH Werk Höver</t>
  </si>
  <si>
    <t>Sehnde</t>
  </si>
  <si>
    <t>https://registry.gdi-de.org/id/de.by.inspire.pf.ied/S01167</t>
  </si>
  <si>
    <t>Märker Zement GmbH</t>
  </si>
  <si>
    <t>Harburg (Schwaben)</t>
  </si>
  <si>
    <t>https://registry.gdi-de.org/id/de.nw.inspire.pf.bube-eureg/arb-2017-570020-500-0055819</t>
  </si>
  <si>
    <t>HeidelbergCement AG Zementwerk Ennigerloh</t>
  </si>
  <si>
    <t>Ennigerloh</t>
  </si>
  <si>
    <t>https://registry.gdi-de.org/id/de.nw.inspire.pf.bube-eureg/arb-2017-570008-500-0053376</t>
  </si>
  <si>
    <t>Holcim WestZement GmbH Werk: Kollenbach</t>
  </si>
  <si>
    <t>Beckum</t>
  </si>
  <si>
    <t>https://registry.gdi-de.org/id/de.ni.mu/06291730660</t>
  </si>
  <si>
    <t>HeidelbergCement AG Zementwerke Hannover</t>
  </si>
  <si>
    <t>Hannover</t>
  </si>
  <si>
    <t>https://registry.gdi-de.org/id/de.nw.inspire.pf.bube-eureg/arb-2017-974016-900-0014514</t>
  </si>
  <si>
    <t>thomas zement GmbH &amp; Co. KG Werk Erwitte</t>
  </si>
  <si>
    <t>https://registry.gdi-de.org/id/de.by.inspire.pf.ied/S00839</t>
  </si>
  <si>
    <t>Solnhofer Portland-Zementwerke GmbH &amp; Co. KG</t>
  </si>
  <si>
    <t>Solnhofen</t>
  </si>
  <si>
    <t>https://registry.gdi-de.org/id/de.nw.inspire.pf.bube-eureg/arb-2017-570008-500-0050929</t>
  </si>
  <si>
    <t>Phoenix Zementwerke Krogbeumker GmbH &amp; Co. KG</t>
  </si>
  <si>
    <t>https://registry.gdi-de.org/id/de.nw.inspire.pf.bube-eureg/arb-2017-774032-700-0038968</t>
  </si>
  <si>
    <t>Heidelberg Cement AG - Zementwerk Paderborn</t>
  </si>
  <si>
    <t>Paderborn</t>
  </si>
  <si>
    <t>https://registry.gdi-de.org/id/de.he.0945.de7.pf.eu_industrie/50002043</t>
  </si>
  <si>
    <t>ZKW Otterbein Zementwerk</t>
  </si>
  <si>
    <t>Großenlüder</t>
  </si>
  <si>
    <t>https://registry.gdi-de.org/id/de.rp.inspire.pf.bube-eureg/3000130</t>
  </si>
  <si>
    <t>Portlandzementwerk Wotan H. Schneider KG</t>
  </si>
  <si>
    <t>Üxheim</t>
  </si>
  <si>
    <t>IE.CAED/P0030.FACILITY</t>
  </si>
  <si>
    <t>Irish Cement Limited (Platin)</t>
  </si>
  <si>
    <t>Meath</t>
  </si>
  <si>
    <t>IE.CAED/P0029.FACILITY</t>
  </si>
  <si>
    <t>Irish Cement Limited (Limerick)</t>
  </si>
  <si>
    <t>Limerick</t>
  </si>
  <si>
    <t>IE.CAED/P0487.FACILITY</t>
  </si>
  <si>
    <t>Breedon Cement Ireland Limited</t>
  </si>
  <si>
    <t>RO.CAED/106BH0001.FACILITY</t>
  </si>
  <si>
    <t>HOLCIM  (Romania) SA - Ciment Alesd</t>
  </si>
  <si>
    <t>CHISTAG</t>
  </si>
  <si>
    <t>RO.CAED/105CT0001.FACILITY</t>
  </si>
  <si>
    <t>ROMCIM SA - PUNCT DE LUCRU MEDGIDIA</t>
  </si>
  <si>
    <t>MEDGIDIA</t>
  </si>
  <si>
    <t>RO.CAED/108BV0001.FACILITY</t>
  </si>
  <si>
    <t>SC CRH CIMENT (ROMANIA) SA.</t>
  </si>
  <si>
    <t>Hoghiz</t>
  </si>
  <si>
    <t>RO.CAED/108DB0001.FACILITY</t>
  </si>
  <si>
    <t>HEIDELBERGCEMENT ROMANIA SA -Sucursala Fieni</t>
  </si>
  <si>
    <t>FIENI</t>
  </si>
  <si>
    <t>RO.CAED/102NT0001.FACILITY</t>
  </si>
  <si>
    <t>HEIDELBERGCEMENT ROMANIA SA</t>
  </si>
  <si>
    <t>Tasca</t>
  </si>
  <si>
    <t>RO.CAED/108HD0001.FACILITY</t>
  </si>
  <si>
    <t>HEIDELBERGCEMENT ROMANIA SA - FABRICA DE CIMENT CHISCADAGA</t>
  </si>
  <si>
    <t>CHISCADAGA</t>
  </si>
  <si>
    <t>UK.SEPA/200000008.Facility</t>
  </si>
  <si>
    <t>Dunbar Works, East Lothian</t>
  </si>
  <si>
    <t>Dunbar</t>
  </si>
  <si>
    <t>UK.CAED/P0052_04A.FACILITY</t>
  </si>
  <si>
    <t>Lafarge Tarmac Cement &amp; Lime Ltd</t>
  </si>
  <si>
    <t>Cookstown</t>
  </si>
  <si>
    <t>3(g)</t>
  </si>
  <si>
    <t>Installations for the manufacture of ceramic products by firing, in particular roofing tiles, bricks, refractory bricks, tiles, stoneware or porcelain</t>
  </si>
  <si>
    <t>DK.CAED/000084482.FACILITY</t>
  </si>
  <si>
    <t>Leca Danmark A/S</t>
  </si>
  <si>
    <t>Randers SV</t>
  </si>
  <si>
    <t>Ceramics</t>
  </si>
  <si>
    <t>PL.MŚ/000000065.FACILITY</t>
  </si>
  <si>
    <t>ArcelorMittal Poland S.A. - Oddział Kraków</t>
  </si>
  <si>
    <t>ES.CAED/000687000.FACILITY</t>
  </si>
  <si>
    <t>AZULMED, S.L.U.</t>
  </si>
  <si>
    <t>Chilches/Xilxes</t>
  </si>
  <si>
    <t>ES.CAED/000584000.FACILITY</t>
  </si>
  <si>
    <t>TAU PORCELANICO, S.L.</t>
  </si>
  <si>
    <t>ES.CAED/000602000.FACILITY</t>
  </si>
  <si>
    <t>CERÁMICA NULENSE, S.A.</t>
  </si>
  <si>
    <t>Nules</t>
  </si>
  <si>
    <t>ES.CAED/004812000.FACILITY</t>
  </si>
  <si>
    <t>ARCILLAS ATOMIZADAS</t>
  </si>
  <si>
    <t>RATILS</t>
  </si>
  <si>
    <t>CH.CAED/000000013.Facility</t>
  </si>
  <si>
    <t>Keller AG Ziegeleien / Werk Paradies</t>
  </si>
  <si>
    <t>Schlatt-Paradies</t>
  </si>
  <si>
    <t>CH.CAED/000000292.Facility</t>
  </si>
  <si>
    <t>Tonwerke Keller AG / Werk Frick</t>
  </si>
  <si>
    <t>Frick</t>
  </si>
  <si>
    <t>1(e)</t>
  </si>
  <si>
    <t>Coal rolling mills with a capacity of 1 tonne per hour</t>
  </si>
  <si>
    <t>https://registry.gdi-de.org/id/de.nw.inspire.pf.bube-eureg/arb-2017-362008-800-0197043</t>
  </si>
  <si>
    <t>RWE Power AG-Fabrik Fortuna Nord</t>
  </si>
  <si>
    <t>Bergheim</t>
  </si>
  <si>
    <t>PL.MŚ/000000352.FACILITY</t>
  </si>
  <si>
    <t>PGE Górnictwo i Energetyka Konwencjonalna S.A. - Oddział Elektrowni Dolna Odra - Elektrownia Dolna Odra</t>
  </si>
  <si>
    <t>Nowe Czarnowo</t>
  </si>
  <si>
    <t>PL.MŚ/000000268.FACILITY</t>
  </si>
  <si>
    <t>Veolia Energia Poznań ZEC  Spółka Akcyjna EC II Karolin</t>
  </si>
  <si>
    <t>PL.MŚ/000000384.FACILITY</t>
  </si>
  <si>
    <t>TRZUSKAWICA S.A.</t>
  </si>
  <si>
    <t>Nowiny</t>
  </si>
  <si>
    <t>PL.MŚ/000000361.FACILITY</t>
  </si>
  <si>
    <t>PGE Górnictwo i Energetyka Konwencjonalna S.A. - Oddział Zespół Elektrowni Dolna Odra -  Ektrownia Szczecin</t>
  </si>
  <si>
    <t>1(d)</t>
  </si>
  <si>
    <t>Coke ovens</t>
  </si>
  <si>
    <t>CZ.MZP.T806/CZ78824241.FACILITY</t>
  </si>
  <si>
    <t>Koksovna Svoboda</t>
  </si>
  <si>
    <t>Moravská Ostrava a Přívoz</t>
  </si>
  <si>
    <t>https://registry.gdi-de.org/id/de.nw.inspire.pf.bube-eureg/arb-2017-112000-100-0990890</t>
  </si>
  <si>
    <t>thyssenkrupp Steel Europe AG Werk Kokerei Schwelgern</t>
  </si>
  <si>
    <t>Duisburg</t>
  </si>
  <si>
    <t>https://registry.gdi-de.org/id/de.sl.inspire.pf//0078668-G</t>
  </si>
  <si>
    <t>ZKS - Zentralkokerei Saar GmbH</t>
  </si>
  <si>
    <t>Dillingen/Saar</t>
  </si>
  <si>
    <t>https://registry.gdi-de.org/id/de.nw.inspire.pf.bube-eureg/arb-2017-512000-500-1185268</t>
  </si>
  <si>
    <t>ArcelorMittal Bremen GmbH Kokerei Prosper</t>
  </si>
  <si>
    <t>Bottrop</t>
  </si>
  <si>
    <t>HU.OKIR/100500821.FACILITY</t>
  </si>
  <si>
    <t>ISD Kokszoló Kft.</t>
  </si>
  <si>
    <t>IT.CAED/170142003.FACILITY</t>
  </si>
  <si>
    <t>ITALIANA COKE SRL</t>
  </si>
  <si>
    <t>CAIRO MONTENOTTE</t>
  </si>
  <si>
    <t>PL.MŚ/000000626.FACILITY</t>
  </si>
  <si>
    <t>KOKSOWNIA PRZYJAŹŃ</t>
  </si>
  <si>
    <t>PL.MŚ/000000554.FACILITY</t>
  </si>
  <si>
    <t>ARCELORMITTAL POLAND SPÓŁKA AKCYJNA ODDZIAŁ W ZDZIESZOWICACH</t>
  </si>
  <si>
    <t>Zdzieszowice</t>
  </si>
  <si>
    <t>PL.MŚ/000000021.FACILITY</t>
  </si>
  <si>
    <t>KOKSOWNIA RADLIN</t>
  </si>
  <si>
    <t>Radlin</t>
  </si>
  <si>
    <t>4(a)(x)</t>
  </si>
  <si>
    <t>Chemical installations for the production on an industrial scale of basic organic chemicals: Dyes and pigments</t>
  </si>
  <si>
    <t>CZ.MZP.E532/CZ53884341.FACILITY</t>
  </si>
  <si>
    <t>Synthesia a. s.</t>
  </si>
  <si>
    <t>Pardubice VII</t>
  </si>
  <si>
    <t>Dyes and pigments</t>
  </si>
  <si>
    <t>2(c)(i)</t>
  </si>
  <si>
    <t>Installations for the processing of ferrous metals, Hot-rolling mills</t>
  </si>
  <si>
    <t>DK.CAED/000105331.FACILITY</t>
  </si>
  <si>
    <t>NLMK DanSteel A/S</t>
  </si>
  <si>
    <t>Frederiksværk</t>
  </si>
  <si>
    <t>Ferrous metals</t>
  </si>
  <si>
    <t>FR.CAED/10845.FACILITY</t>
  </si>
  <si>
    <t>ARCELORMITTAL FRANCE DUNKERQUE</t>
  </si>
  <si>
    <t>2(d)</t>
  </si>
  <si>
    <t>Ferrous metal foundries with a production capacity of 20 tonnes per day</t>
  </si>
  <si>
    <t>FR.CAED/8983.FACILITY</t>
  </si>
  <si>
    <t>LAUDUN L ARDOISE</t>
  </si>
  <si>
    <t>2(c)(iii)</t>
  </si>
  <si>
    <t>Installations for the processing of ferrous metals, Application of protective fused metal coats</t>
  </si>
  <si>
    <t>https://registry.gdi-de.org/id/de.hb//de.hb.pf.bube-eureg.06-04-11/2005382/5/0</t>
  </si>
  <si>
    <t>ArcelorMittal Bremen GmbH</t>
  </si>
  <si>
    <t>https://registry.gdi-de.org/id/de.sl.inspire.pf//0050559-G</t>
  </si>
  <si>
    <t>AG der Dillinger Hüttenwerke</t>
  </si>
  <si>
    <t>https://registry.gdi-de.org/id/de.hb//de.hb.pf.bube-eureg.06-04-11/2005384/0/0</t>
  </si>
  <si>
    <t>ArcelorMittal Bremen GmbH / BREMA Walzwerk GmbH</t>
  </si>
  <si>
    <t>https://registry.gdi-de.org/id/de.he.0945.de7.pf.eu_industrie/60000291</t>
  </si>
  <si>
    <t>F ritz Winter Eisengießerei GmbH &amp; Co. KG</t>
  </si>
  <si>
    <t>Stadtallendorf</t>
  </si>
  <si>
    <t>https://registry.gdi-de.org/id/de.nw.inspire.pf.bube-eureg/arb-2017-911000-900-9000294</t>
  </si>
  <si>
    <t>thyssenkrupp Steel Europe AG Werk Bochum-Höntrop</t>
  </si>
  <si>
    <t>Bochum</t>
  </si>
  <si>
    <t>2(c)</t>
  </si>
  <si>
    <t>Installations for the processing of ferrous metals. Note to reporters, use Level 3 activity e.g. 2(c)(i), in preference to 2(c). Level 2 activity class (i.e. 2(c)) only to be used where Level 3 is not available.</t>
  </si>
  <si>
    <t>PL.MŚ/000000551.FACILITY</t>
  </si>
  <si>
    <t>CMC Poland Sp. z o.o.</t>
  </si>
  <si>
    <t>Zawiercie</t>
  </si>
  <si>
    <t>SE.CAED/10021742.Facility</t>
  </si>
  <si>
    <t>SSAB EMEA AB</t>
  </si>
  <si>
    <t>CH.CAED/000000320.Facility</t>
  </si>
  <si>
    <t>Stahl Gerlafingen AG</t>
  </si>
  <si>
    <t>Gerlafingen</t>
  </si>
  <si>
    <t>2(c)(ii)</t>
  </si>
  <si>
    <t>Installations for the processing of ferrous metals, Smitheries with hammers</t>
  </si>
  <si>
    <t>CH.CAED/000000072.Facility</t>
  </si>
  <si>
    <t>Schmiedewerk Stooss AG</t>
  </si>
  <si>
    <t>Hedingen</t>
  </si>
  <si>
    <t>4(c)</t>
  </si>
  <si>
    <t>Chemical installations for the production on an industrial scale of phosphorous, nitrogen or potassium based fertilisers (simple or compound fertilisers)</t>
  </si>
  <si>
    <t>HR.CAED/000000064.FACILITY</t>
  </si>
  <si>
    <t>Proizvodnja gnojiva</t>
  </si>
  <si>
    <t>Kutina</t>
  </si>
  <si>
    <t>Fertilisers</t>
  </si>
  <si>
    <t>CZ.MZP.U423/CZ15080054.FACILITY</t>
  </si>
  <si>
    <t>Lovochemie, a.s., Lovosice</t>
  </si>
  <si>
    <t>Lovosice</t>
  </si>
  <si>
    <t>FR.CAED/9451.FACILITY</t>
  </si>
  <si>
    <t>BOREALIS PEC RHIN</t>
  </si>
  <si>
    <t>OTTMARSHEIM</t>
  </si>
  <si>
    <t>EL.CAED/100211.FACILITY</t>
  </si>
  <si>
    <t>NEW KARVALI FERTILISERS  S.A.</t>
  </si>
  <si>
    <t>KAVALA</t>
  </si>
  <si>
    <t>HU.OKIR/100392651.FACILITY</t>
  </si>
  <si>
    <t>Nitrogénművek Zrt.</t>
  </si>
  <si>
    <t>Pétfürdő</t>
  </si>
  <si>
    <t>LT.CAED/156667399.FACILITY</t>
  </si>
  <si>
    <t>AB "Achema"</t>
  </si>
  <si>
    <t>Jonalaukio k.</t>
  </si>
  <si>
    <t>NL.RIVM/000051105.FACILITY</t>
  </si>
  <si>
    <t>YARA Sluiskil BV</t>
  </si>
  <si>
    <t>Sluiskil</t>
  </si>
  <si>
    <t>PL.MŚ/000000586.FACILITY</t>
  </si>
  <si>
    <t>Grupa Azoty Zakłady Azotowe "Puławy" S.A.</t>
  </si>
  <si>
    <t>Puławy</t>
  </si>
  <si>
    <t>RO.CAED/115MS0001.FACILITY</t>
  </si>
  <si>
    <t>SC AZOMURES SA</t>
  </si>
  <si>
    <t>TARGU MURES</t>
  </si>
  <si>
    <t>ES.CAED/001585000.FACILITY</t>
  </si>
  <si>
    <t>FERTIBERIA</t>
  </si>
  <si>
    <t>PUERTOLLANO</t>
  </si>
  <si>
    <t>ES.CAED/001587000.FACILITY</t>
  </si>
  <si>
    <t>FÁBRICA DE PALOS (FERTIBERIA, S.A.)</t>
  </si>
  <si>
    <t>UK.CAED/EW_EA-1567.FACILITY</t>
  </si>
  <si>
    <t>Ince Fertiliser Manufacturing Site EPR/JP3837KT</t>
  </si>
  <si>
    <t>CHESTER</t>
  </si>
  <si>
    <t>NO.EEA/192086.FACILITY</t>
  </si>
  <si>
    <t>Yara Norge, Yara Porsgrunn</t>
  </si>
  <si>
    <t>Porsgrunn</t>
  </si>
  <si>
    <t>BG.CAED/010000049.FACILITY</t>
  </si>
  <si>
    <t>Amilum BG EAD</t>
  </si>
  <si>
    <t>Разград</t>
  </si>
  <si>
    <t>DK.CAED/000098610.FACILITY</t>
  </si>
  <si>
    <t>Nordic Sugar A/S Nykøbing</t>
  </si>
  <si>
    <t>Nykøbing F</t>
  </si>
  <si>
    <t>DK.CAED/000083543.FACILITY</t>
  </si>
  <si>
    <t>Nordic Sugar A/S  Nakskov</t>
  </si>
  <si>
    <t>Nakskov</t>
  </si>
  <si>
    <t>DK.CAED/000105366.FACILITY</t>
  </si>
  <si>
    <t>CARLSBERG SUPPLY COMPANY DANMARK A/S, TAP ØL, TERM</t>
  </si>
  <si>
    <t>Fredericia</t>
  </si>
  <si>
    <t>DK.CAED/000062358.FACILITY</t>
  </si>
  <si>
    <t>Royal Unibrew A/S, Faxe Bryggeri</t>
  </si>
  <si>
    <t>Faxe</t>
  </si>
  <si>
    <t>https://registry.gdi-de.org/id/de.ni.mu/08271405180</t>
  </si>
  <si>
    <t>Nordzucker AG Werk Uelzen</t>
  </si>
  <si>
    <t>Uelzen</t>
  </si>
  <si>
    <t>https://registry.gdi-de.org/id/de.nw.inspire.pf.bube-eureg/arb-2017-114000-100-0018507</t>
  </si>
  <si>
    <t>Cargill Deutschland GmbH</t>
  </si>
  <si>
    <t>Krefeld</t>
  </si>
  <si>
    <t>https://registry.gdi-de.org/id/de.ni.mu/07244473830</t>
  </si>
  <si>
    <t>Nordzucker AG Werk Nordstemmen</t>
  </si>
  <si>
    <t>Nordstemmen</t>
  </si>
  <si>
    <t>https://registry.gdi-de.org/id/de.by.inspire.pf.ied/S00962</t>
  </si>
  <si>
    <t>Südzucker AG, Werk Ochsenfurt</t>
  </si>
  <si>
    <t>Ochsenfurt</t>
  </si>
  <si>
    <t>https://registry.gdi-de.org/id/de.rp.inspire.pf.bube-eureg/5000152</t>
  </si>
  <si>
    <t>Südzucker AG Werk Offstein</t>
  </si>
  <si>
    <t>Obrigheim (Pfalz)</t>
  </si>
  <si>
    <t>https://registry.gdi-de.org/id/de.nw.inspire.pf.bube-eureg/arb-2017-358024-300-0907015</t>
  </si>
  <si>
    <t>Pfeifer &amp; Langen GmbH &amp; Co. KG Werk Jülich</t>
  </si>
  <si>
    <t>Jülich</t>
  </si>
  <si>
    <t>https://registry.gdi-de.org/id/de.by.inspire.pf.ied/S00316</t>
  </si>
  <si>
    <t>Südzucker AG, Werk Plattling</t>
  </si>
  <si>
    <t>Plattling</t>
  </si>
  <si>
    <t>UK.SEPA/200000214.Facility</t>
  </si>
  <si>
    <t>The Girvan Distillery, Grangeston</t>
  </si>
  <si>
    <t>Girvan</t>
  </si>
  <si>
    <t>DK.CAED/000105733.FACILITY</t>
  </si>
  <si>
    <t>Fortum Waste Solutions A/S</t>
  </si>
  <si>
    <t>Nyborg</t>
  </si>
  <si>
    <t>DK.CAED/000062651.FACILITY</t>
  </si>
  <si>
    <t>Faxe Kalks Modtageplads for affald fra ovnanlægget</t>
  </si>
  <si>
    <t>http://paikkatiedot.fi/so/1002031/pf/ProductionFacility/0000001931.ProductionFacility</t>
  </si>
  <si>
    <t>Fortum Waste Solutions Oy, Riihimäen toimipiste</t>
  </si>
  <si>
    <t>Riihimäki</t>
  </si>
  <si>
    <t>https://registry.gdi-de.org/id/de.bb.inspire.pf.eureg/45027005</t>
  </si>
  <si>
    <t>Pfleiderer Baruth GmbH</t>
  </si>
  <si>
    <t>Baruth/Mark</t>
  </si>
  <si>
    <t>https://registry.gdi-de.org/id/de.nw.inspire.pf.bube-eureg/arb-2017-114000-100-0250693</t>
  </si>
  <si>
    <t>EGK Entsorgungsgesellschaft Krefeld GmbH &amp; Co. KG</t>
  </si>
  <si>
    <t>https://registry.gdi-de.org/id/de.st.lau.pf.anlagen-ied-euregistry/100464</t>
  </si>
  <si>
    <t>PreZero Energy Zorbau GmbH</t>
  </si>
  <si>
    <t>Lützen</t>
  </si>
  <si>
    <t>https://registry.gdi-de.org/id/de.ni.mu/04041505980</t>
  </si>
  <si>
    <t>B+S Papenburg Energie GmbH Kraftwerk</t>
  </si>
  <si>
    <t>Papenburg</t>
  </si>
  <si>
    <t>https://registry.gdi-de.org/id/de.bb.inspire.pf.eureg/23024012</t>
  </si>
  <si>
    <t>Sonae Arauco Beeskow GmbH</t>
  </si>
  <si>
    <t>Beeskow</t>
  </si>
  <si>
    <t>https://registry.gdi-de.org/id/de.he.0945.de7.pf.eu_industrie/30000936</t>
  </si>
  <si>
    <t>BKF - Biomasse-Kraftwerk Fechenheim GmbH</t>
  </si>
  <si>
    <t>https://registry.gdi-de.org/id/de.nw.inspire.pf.bube-eureg/arb-2017-766032-700-0001580</t>
  </si>
  <si>
    <t>B+T Horn Energie GmbH</t>
  </si>
  <si>
    <t>Horn-Bad Meinberg</t>
  </si>
  <si>
    <t>https://registry.gdi-de.org/id/de.nw.inspire.pf.bube-eureg/arb-2017-978024-900-9139128</t>
  </si>
  <si>
    <t>Biomassekraftwerk Lünen GmbH</t>
  </si>
  <si>
    <t>https://registry.gdi-de.org/id/de.rp.inspire.pf.bube-eureg/1000901</t>
  </si>
  <si>
    <t>Biomasse Heizkraftwerk Siegerland GmbH &amp; Co. KG</t>
  </si>
  <si>
    <t>Liebenscheid</t>
  </si>
  <si>
    <t>https://registry.gdi-de.org/id/de.by.inspire.pf.ied/S00015</t>
  </si>
  <si>
    <t>GSB Sonderabfall-Entsorgung Bayern GmbH - Ebenhausen</t>
  </si>
  <si>
    <t>Baar-Ebenhausen</t>
  </si>
  <si>
    <t>https://registry.gdi-de.org/id/de.ni.mu/10102275040</t>
  </si>
  <si>
    <t>EBE Holzheizkraftwerk GmbH</t>
  </si>
  <si>
    <t>Emlichheim</t>
  </si>
  <si>
    <t>https://registry.gdi-de.org/id/de.ni.mu/04041762920</t>
  </si>
  <si>
    <t>Statkraft Markets GmbH (Biomasseheizkraftwerk Emden)</t>
  </si>
  <si>
    <t>Emden</t>
  </si>
  <si>
    <t>https://registry.gdi-de.org/id/de.bw.lubw.inspire.pf//pf-450-34044741-00000000</t>
  </si>
  <si>
    <t>BEB Bioenergie Baden GmbH</t>
  </si>
  <si>
    <t>Kehl</t>
  </si>
  <si>
    <t>https://registry.gdi-de.org/id/de.ni.mu/06063351970</t>
  </si>
  <si>
    <t>Statkraft Markets GmbH (Biomasseheizkraftwerk)</t>
  </si>
  <si>
    <t>Landesbergen</t>
  </si>
  <si>
    <t>https://registry.gdi-de.org/id/de.bw.lubw.inspire.pf//pf-450-8683034-00000000</t>
  </si>
  <si>
    <t>RBB RMHKW Böblingen</t>
  </si>
  <si>
    <t>Böblingen</t>
  </si>
  <si>
    <t>https://registry.gdi-de.org/id/de.nw.inspire.pf.bube-eureg/arb-2017-978004-900-9139027</t>
  </si>
  <si>
    <t>Biomasseheizkraftwerk Bergkamen</t>
  </si>
  <si>
    <t>Bergkamen</t>
  </si>
  <si>
    <t>https://registry.gdi-de.org/id/de.hh/pf.bube-eureg_/7046</t>
  </si>
  <si>
    <t>AVG Abfall-Verwertungs-Gesellschaft mbH SAV und CPA</t>
  </si>
  <si>
    <t>https://registry.gdi-de.org/id/de.he.0945.de7.pf.eu_industrie/80007914</t>
  </si>
  <si>
    <t>Biomasseheizkraftwerk</t>
  </si>
  <si>
    <t>https://registry.gdi-de.org/id/de.he.0945.de7.pf.eu_industrie/20000094</t>
  </si>
  <si>
    <t>HIM GmbH</t>
  </si>
  <si>
    <t>Biebesheim am Rhein</t>
  </si>
  <si>
    <t>https://registry.gdi-de.org/id/de.nw.inspire.pf.bube-eureg/arb-2017-978024-900-9103527</t>
  </si>
  <si>
    <t>Remondis Production GmbH</t>
  </si>
  <si>
    <t>https://registry.gdi-de.org/id/de.bb.inspire.pf.eureg/45024504</t>
  </si>
  <si>
    <t>Danpower GmbH; Biomasse-HKW Elsterwerda</t>
  </si>
  <si>
    <t>Elsterwerda</t>
  </si>
  <si>
    <t>https://registry.gdi-de.org/id/de.rp.inspire.pf.bube-eureg/2000208</t>
  </si>
  <si>
    <t>OIE AG</t>
  </si>
  <si>
    <t>Hoppstädten-Weiersbach</t>
  </si>
  <si>
    <t>NL.RIVM/000201241.FACILITY</t>
  </si>
  <si>
    <t>EMMTEC Services BV</t>
  </si>
  <si>
    <t>Emmen</t>
  </si>
  <si>
    <t>NL.RIVM/000041521.FACILITY</t>
  </si>
  <si>
    <t>Afvalstoffen Terminal Moerdijk BV (ATM)</t>
  </si>
  <si>
    <t>Moerdijk</t>
  </si>
  <si>
    <t>UK.CAED/EW_EA-16786.FACILITY</t>
  </si>
  <si>
    <t>Intera South West Energy Recovery Facility</t>
  </si>
  <si>
    <t>Southampton</t>
  </si>
  <si>
    <t>4(b)(i)</t>
  </si>
  <si>
    <t>Chemical installations for the production on an industrial scale of basic inorganic chemicals: Gases, such as ammonia, chlorine or hydrogen chloride, fluorine or hydrogen fluoride, carbon oxides, sulphur compounds, nitrogen oxides, hydrogen, sulphur dioxide, carbonyl chloride</t>
  </si>
  <si>
    <t>https://data.ied_registry.omgeving.vlaanderen.be/id/productionfacility//BE.VL.000000039.FACILITY</t>
  </si>
  <si>
    <t>AIR LIQUIDE LARGE INDUSTRY</t>
  </si>
  <si>
    <t>Inorganic - ammonia &amp; other gases</t>
  </si>
  <si>
    <t>https://data.ied_registry.omgeving.vlaanderen.be/id/productionfacility//BE.VL.000001872.FACILITY</t>
  </si>
  <si>
    <t>http://paikkatiedot.fi/so/1002031/pf/ProductionFacility/0100239220.ProductionFacility</t>
  </si>
  <si>
    <t>Linde Gas Oy Ab, Kilpilahden vedyntuotantolaitos</t>
  </si>
  <si>
    <t>FR.CAED/3829.FACILITY</t>
  </si>
  <si>
    <t>YARA FRANCE</t>
  </si>
  <si>
    <t>FR.CAED/4122.FACILITY</t>
  </si>
  <si>
    <t>AIR LIQUIDE HYDROGENE</t>
  </si>
  <si>
    <t>FR.CAED/8159.FACILITY</t>
  </si>
  <si>
    <t>BOREALIS CHIMIE</t>
  </si>
  <si>
    <t>GRANDPUITS BAILLY CARROIS</t>
  </si>
  <si>
    <t>FR.CAED/7943.FACILITY</t>
  </si>
  <si>
    <t>AIR LIQUIDE FRANCE INDUSTRIE (ALFI)</t>
  </si>
  <si>
    <t>FR.CAED/9659.FACILITY</t>
  </si>
  <si>
    <t>LINDE FRANCE</t>
  </si>
  <si>
    <t>CHALAMPE</t>
  </si>
  <si>
    <t>https://registry.gdi-de.org/id/de.sh//10038064</t>
  </si>
  <si>
    <t>YARA Brunsbüttel GmbH</t>
  </si>
  <si>
    <t>Büttel</t>
  </si>
  <si>
    <t>https://registry.gdi-de.org/id/de.ni.mu/03030273580</t>
  </si>
  <si>
    <t>Dow Deutschland Anlagenges. mbH Werk Stade</t>
  </si>
  <si>
    <t>Stade</t>
  </si>
  <si>
    <t>https://registry.gdi-de.org/id/de.st.lau.pf.anlagen-ied-euregistry/100607</t>
  </si>
  <si>
    <t>Linde Gas Produktionsgesellschaft mbH &amp; Co. KG</t>
  </si>
  <si>
    <t>Leuna</t>
  </si>
  <si>
    <t>https://registry.gdi-de.org/id/de.st.lau.pf.anlagen-ied-euregistry/100414</t>
  </si>
  <si>
    <t>Linde Gas Produktionsgesellschaft mbH &amp; Co. KG / TOTAL</t>
  </si>
  <si>
    <t>https://registry.gdi-de.org/id/de.sh//10000385</t>
  </si>
  <si>
    <t>Covestro Deutschland AG</t>
  </si>
  <si>
    <t>Brunsbüttel</t>
  </si>
  <si>
    <t>ES.CAED/000169000.FACILITY</t>
  </si>
  <si>
    <t>HYCO (LA POBLA DE MAFUMENT)</t>
  </si>
  <si>
    <t>ES.CAED/005649000.FACILITY</t>
  </si>
  <si>
    <t>AIR LIQUIDE IBERICA DE GASES S.L.U.</t>
  </si>
  <si>
    <t>ES.CAED/006026000.FACILITY</t>
  </si>
  <si>
    <t>AIR LIQUIDE IBERICA DE GASES</t>
  </si>
  <si>
    <t>ARTEIXO</t>
  </si>
  <si>
    <t>BG.CAED/003000008.FACILITY</t>
  </si>
  <si>
    <t>Solvey sody Company for Production of 
    Inorganic  chemicals</t>
  </si>
  <si>
    <t>CZ.MZP.M714/CZ45503087.FACILITY</t>
  </si>
  <si>
    <t>PRECHEZA a.s.</t>
  </si>
  <si>
    <t>CZ.MZP.Z723/CZ92460364.FACILITY</t>
  </si>
  <si>
    <t>CS CABOT</t>
  </si>
  <si>
    <t>Valašské Meziříčí</t>
  </si>
  <si>
    <t>DK.CAED/000106063.FACILITY</t>
  </si>
  <si>
    <t>Topsoe A/S</t>
  </si>
  <si>
    <t>Frederikssund</t>
  </si>
  <si>
    <t>https://registry.gdi-de.org/id/de.ni.mu/31000006225</t>
  </si>
  <si>
    <t>EMPG - EAA Großenkneten Erdgas-Aufbereitungsanlage</t>
  </si>
  <si>
    <t>Großenkneten</t>
  </si>
  <si>
    <t>https://registry.gdi-de.org/id/de.ni.mu/03267770260</t>
  </si>
  <si>
    <t>Aluminium Oxid Stade GmbH</t>
  </si>
  <si>
    <t>https://registry.gdi-de.org/id/de.nw.inspire.pf.bube-eureg/arb-2017-913000-900-0148555</t>
  </si>
  <si>
    <t>KG Deutsche Gasrußwerke GmbH &amp; Co</t>
  </si>
  <si>
    <t>Dortmund</t>
  </si>
  <si>
    <t>https://registry.gdi-de.org/id/de.nw.inspire.pf.bube-eureg/arb-2017-315000-300-0214067</t>
  </si>
  <si>
    <t>Orion Engineered Carbons GmbH Werk Kalscheuren</t>
  </si>
  <si>
    <t>Köln</t>
  </si>
  <si>
    <t>https://registry.gdi-de.org/id/de.nw.inspire.pf.bube-eureg/arb-2017-362008-300-0181417</t>
  </si>
  <si>
    <t>Martinswerk GmbH</t>
  </si>
  <si>
    <t>https://registry.gdi-de.org/id/de.nw.inspire.pf.bube-eureg/arb-2017-112000-100-0888309</t>
  </si>
  <si>
    <t>Venator Germany GmbH</t>
  </si>
  <si>
    <t>https://registry.gdi-de.org/id/de.nw.inspire.pf.bube-eureg/arb-2017-114000-100-9021122</t>
  </si>
  <si>
    <t>LANXESS Deutschland GmbH CHEMPARK Krefeld-Uerdingen</t>
  </si>
  <si>
    <t>https://registry.gdi-de.org/id/de.rp.inspire.pf.bube-eureg/1000729</t>
  </si>
  <si>
    <t>Kandelium Barium Strontium GmbH &amp; Co. KG</t>
  </si>
  <si>
    <t>Bad Hönningen</t>
  </si>
  <si>
    <t>https://registry.gdi-de.org/id/de.st.lau.pf.anlagen-ied-euregistry/101422</t>
  </si>
  <si>
    <t>CIECH Soda Deutschland GmbH &amp; Co. KG</t>
  </si>
  <si>
    <t>Staßfurt</t>
  </si>
  <si>
    <t>https://registry.gdi-de.org/id/de.rp.inspire.pf.bube-eureg/4000041</t>
  </si>
  <si>
    <t>Grace GmbH</t>
  </si>
  <si>
    <t>Worms</t>
  </si>
  <si>
    <t>https://registry.gdi-de.org/id/de.ni.mu/09261732970</t>
  </si>
  <si>
    <t>KRONOS TITAN GmbH Werk Nordenham</t>
  </si>
  <si>
    <t>Nordenham</t>
  </si>
  <si>
    <t>IE.CAED/P0035.FACILITY</t>
  </si>
  <si>
    <t>Aughinish Alumina Limited</t>
  </si>
  <si>
    <t>NL.RIVM/000012175.FACILITY</t>
  </si>
  <si>
    <t>Air Liquide Industrie BV</t>
  </si>
  <si>
    <t>Botlek Rotterdam</t>
  </si>
  <si>
    <t>NL.RIVM/000204851.FACILITY</t>
  </si>
  <si>
    <t>Air Products HyCO 4 (Botlekweg)</t>
  </si>
  <si>
    <t>NL.RIVM/000011024.FACILITY</t>
  </si>
  <si>
    <t>Cabot B.V.</t>
  </si>
  <si>
    <t>NL.RIVM/000010001.FACILITY</t>
  </si>
  <si>
    <t>Nobian Industrial Chemicals BV (Rotterdam)</t>
  </si>
  <si>
    <t>NL.RIVM/000010689.FACILITY</t>
  </si>
  <si>
    <t>Air Products Nederland BV (Botlek)</t>
  </si>
  <si>
    <t>UK.CAED/EW_EA-2660.FACILITY</t>
  </si>
  <si>
    <t>Billingham Fertiliser Works EPR/BX3287IK</t>
  </si>
  <si>
    <t>Billingham</t>
  </si>
  <si>
    <t>UK.CAED/EW_EA-5345.FACILITY</t>
  </si>
  <si>
    <t>Sellafield Site EPR/BM4317IX</t>
  </si>
  <si>
    <t>SEASCALE</t>
  </si>
  <si>
    <t>UK.CAED/EW_EA-377.FACILITY</t>
  </si>
  <si>
    <t>BOC Hydrogen PLant</t>
  </si>
  <si>
    <t>MIDDLESBROUGH</t>
  </si>
  <si>
    <t>UK.CAED/EW_EA-2700.FACILITY</t>
  </si>
  <si>
    <t>Greatham Works EPR/TP3532PK</t>
  </si>
  <si>
    <t>HARTLEPOOL</t>
  </si>
  <si>
    <t>UK.CAED/EW_EA-1814.FACILITY</t>
  </si>
  <si>
    <t>Stallingborough  Titanium Dioxide Site</t>
  </si>
  <si>
    <t>Stallingborough</t>
  </si>
  <si>
    <t>NO.EEA/192287.FACILITY</t>
  </si>
  <si>
    <t>Equinor ASA avd.Tjeldbergodden Metanolfabrikk</t>
  </si>
  <si>
    <t>Kjørsvikbugen</t>
  </si>
  <si>
    <t>1(b)</t>
  </si>
  <si>
    <t>Installations for gasification and liquefaction</t>
  </si>
  <si>
    <t>EE.KAUR.TTR/76.FACILITY</t>
  </si>
  <si>
    <t>Enefit Power AS, Enefit õlitööstus</t>
  </si>
  <si>
    <t>EE.KAUR.TTR/185.FACILITY</t>
  </si>
  <si>
    <t>VKG Oil AS, Kohtla-Järve Petroter põlevkiviõlitehas</t>
  </si>
  <si>
    <t>Järve linnaosa, Kohtla-Järve linn</t>
  </si>
  <si>
    <t>FR.CAED/1260.FACILITY</t>
  </si>
  <si>
    <t>SOBEGI LACQ</t>
  </si>
  <si>
    <t>IT.CAED/000001002.FACILITY</t>
  </si>
  <si>
    <t>Terminale GNL Adriatico s.r.l.</t>
  </si>
  <si>
    <t>IN MARE</t>
  </si>
  <si>
    <t>PL.MŚ/000000513.FACILITY</t>
  </si>
  <si>
    <t>Polchar Sp. z o.o.</t>
  </si>
  <si>
    <t>CH.CAED/000000382.Facility</t>
  </si>
  <si>
    <t>Transitgas AG / Station Ruswil</t>
  </si>
  <si>
    <t>Ruswil</t>
  </si>
  <si>
    <t>UK.CAED/NRW170229.FACILITY</t>
  </si>
  <si>
    <t>Milford Haven Energy</t>
  </si>
  <si>
    <t>Milford Haven</t>
  </si>
  <si>
    <t>3(f)</t>
  </si>
  <si>
    <t>Installations for melting mineral substances, including the production of mineral fibres</t>
  </si>
  <si>
    <t>DK.CAED/000105648.FACILITY</t>
  </si>
  <si>
    <t>ROCKWOOL Danmark A/S - Hobro</t>
  </si>
  <si>
    <t>Hobro</t>
  </si>
  <si>
    <t>FR.CAED/2968.FACILITY</t>
  </si>
  <si>
    <t>ROCKWOOL FRANCE SAS</t>
  </si>
  <si>
    <t>ST ELOY LES MINES</t>
  </si>
  <si>
    <t>https://registry.gdi-de.org/id/de.by.inspire.pf.ied/S00216</t>
  </si>
  <si>
    <t>ROCKWOOL Operations GmbH &amp; Co. KG</t>
  </si>
  <si>
    <t>Neuburg a.d.Donau</t>
  </si>
  <si>
    <t>NL.RIVM/000004753.FACILITY</t>
  </si>
  <si>
    <t>Rockwool B.V.</t>
  </si>
  <si>
    <t>Roermond</t>
  </si>
  <si>
    <t>PL.MŚ/000000299.FACILITY</t>
  </si>
  <si>
    <t>Rockwool Polska Sp. z o.o. Zakład w Małkini</t>
  </si>
  <si>
    <t>Małkinia Górna</t>
  </si>
  <si>
    <t>ES.CAED/010903000.FACILITY</t>
  </si>
  <si>
    <t>CERAMICAS TESANY SL - MONCOFA</t>
  </si>
  <si>
    <t>Moncofa</t>
  </si>
  <si>
    <t>3(e)</t>
  </si>
  <si>
    <t>Installations for the manufacture of glass, including glass fibre</t>
  </si>
  <si>
    <t>BE.WA/037010000.FACILITY</t>
  </si>
  <si>
    <t>AGC GLASS EUROPE - Site de Moustier</t>
  </si>
  <si>
    <t>Moustier-Sur-Sambre</t>
  </si>
  <si>
    <t>BG.CAED/015000013.FACILITY</t>
  </si>
  <si>
    <t>Trakia glass BG glass manufacturing company</t>
  </si>
  <si>
    <t>Търговище</t>
  </si>
  <si>
    <t>BG.CAED/009000004.FACILITY</t>
  </si>
  <si>
    <t>Bi Ei Glas BG glass manufacturing company</t>
  </si>
  <si>
    <t>Пловдив</t>
  </si>
  <si>
    <t>HR.CAED/000000207.FACILITY</t>
  </si>
  <si>
    <t>Vetropack Straža d.d.</t>
  </si>
  <si>
    <t>Hum na Sutli</t>
  </si>
  <si>
    <t>CZ.MZP.U426/CZ50009387.FACILITY</t>
  </si>
  <si>
    <t>Závod Řetenice, Servisní středisko</t>
  </si>
  <si>
    <t>Teplice</t>
  </si>
  <si>
    <t>FR.CAED/10710.FACILITY</t>
  </si>
  <si>
    <t>ARC FRANCE</t>
  </si>
  <si>
    <t>ARQUES</t>
  </si>
  <si>
    <t>FR.CAED/6248.FACILITY</t>
  </si>
  <si>
    <t>AGC GLASS SEINGBOUSE (EX AGC INTERPANE GLASS FRANCE)</t>
  </si>
  <si>
    <t>SEINGBOUSE</t>
  </si>
  <si>
    <t>FR.CAED/1904.FACILITY</t>
  </si>
  <si>
    <t>VERALLIA FRANCE</t>
  </si>
  <si>
    <t>CHALON SUR SAONE</t>
  </si>
  <si>
    <t>FR.CAED/9483.FACILITY</t>
  </si>
  <si>
    <t>EUROGLAS</t>
  </si>
  <si>
    <t>HOMBOURG</t>
  </si>
  <si>
    <t>FR.CAED/10775.FACILITY</t>
  </si>
  <si>
    <t>AGC FRANCE SAS</t>
  </si>
  <si>
    <t>BOUSSOIS</t>
  </si>
  <si>
    <t>https://registry.gdi-de.org/id/de.nw.inspire.pf.bube-eureg/arb-2017-562014-500-0359243</t>
  </si>
  <si>
    <t>Pilkington Deutschland AG -Werk Gladbeck-</t>
  </si>
  <si>
    <t>Gladbeck</t>
  </si>
  <si>
    <t>https://registry.gdi-de.org/id/de.by.inspire.pf.ied/S00560</t>
  </si>
  <si>
    <t>Pilkington Deutschland AG</t>
  </si>
  <si>
    <t>Weiherhammer</t>
  </si>
  <si>
    <t>https://registry.gdi-de.org/id/de.nw.inspire.pf.bube-eureg/arb-2017-315000-300-0271861</t>
  </si>
  <si>
    <t>Saint-Gobain Glass Deutschland GmbH</t>
  </si>
  <si>
    <t>https://registry.gdi-de.org/id/de.st.lau.pf.anlagen-ied-euregistry/100317</t>
  </si>
  <si>
    <t>EUROGLAS AG</t>
  </si>
  <si>
    <t>Sülzetal</t>
  </si>
  <si>
    <t>https://registry.gdi-de.org/id/de.st.lau.pf.anlagen-ied-euregistry/100430</t>
  </si>
  <si>
    <t>EUROGLAS GmbH</t>
  </si>
  <si>
    <t>Haldensleben</t>
  </si>
  <si>
    <t>https://registry.gdi-de.org/id/de.by.inspire.pf.ied/S00627</t>
  </si>
  <si>
    <t>Schott-Rohrglas AG &amp; Co. KG, Standort Mitterteich, Werk 1</t>
  </si>
  <si>
    <t>Mitterteich</t>
  </si>
  <si>
    <t>https://registry.gdi-de.org/id/de.sn.sax4inspire.pf/80011252</t>
  </si>
  <si>
    <t>Saint Gobain Glass Flachglas Torgau GmbH</t>
  </si>
  <si>
    <t>Torgau</t>
  </si>
  <si>
    <t>https://registry.gdi-de.org/id/de.st.lau.pf.anlagen-ied-euregistry/100326</t>
  </si>
  <si>
    <t>GUARDIAN Flachglas GmbH</t>
  </si>
  <si>
    <t>Bitterfeld-Wolfen</t>
  </si>
  <si>
    <t>https://registry.gdi-de.org/id/de.by.inspire.pf.ied/S00686</t>
  </si>
  <si>
    <t>Wiegand-Glashüttenwerke GmbH, Werk Steinbach a.Wald</t>
  </si>
  <si>
    <t>Steinbach a.Wald</t>
  </si>
  <si>
    <t>HU.OKIR/100367833.FACILITY</t>
  </si>
  <si>
    <t>Guardian Orosháza Korlátolt Felelősségű Társaság</t>
  </si>
  <si>
    <t>Orosháza</t>
  </si>
  <si>
    <t>IT.CAED/330582006.FACILITY</t>
  </si>
  <si>
    <t>SISECAM FLAT GLASS ITALY SRL</t>
  </si>
  <si>
    <t>SAN GIORGIO DI NOGARO</t>
  </si>
  <si>
    <t>IT.CAED/710302001.FACILITY</t>
  </si>
  <si>
    <t>SISECAM FLAT GLASS SOUTH ITALY SRL</t>
  </si>
  <si>
    <t>Monte Sant'angelo</t>
  </si>
  <si>
    <t>IT.CAED/301752010.FACILITY</t>
  </si>
  <si>
    <t>PILKINGTON ITALIA SPA</t>
  </si>
  <si>
    <t>IT.CAED/121002001.FACILITY</t>
  </si>
  <si>
    <t>AGC FLAT GLASS ITALIA S.r.l. - SITO DI CUNEO</t>
  </si>
  <si>
    <t>CUNEO</t>
  </si>
  <si>
    <t>IT.CAED/561212001.FACILITY</t>
  </si>
  <si>
    <t>SAINT-GOBAIN GLASS ITALIA S.p.A.</t>
  </si>
  <si>
    <t>PISA</t>
  </si>
  <si>
    <t>IT.CAED/660503069.FACILITY</t>
  </si>
  <si>
    <t>Pilkington Italia S.p.A.</t>
  </si>
  <si>
    <t>SAN SALVO</t>
  </si>
  <si>
    <t>LU.CAED/000005000.FACILITY</t>
  </si>
  <si>
    <t>Guardian Luxguard I S.à r.l.</t>
  </si>
  <si>
    <t>Bascharage</t>
  </si>
  <si>
    <t>NL.RIVM/000010723.FACILITY</t>
  </si>
  <si>
    <t>O-I Netherlands BV (Leerdam)</t>
  </si>
  <si>
    <t>Leerdam</t>
  </si>
  <si>
    <t>PL.MŚ/000000273.FACILITY</t>
  </si>
  <si>
    <t>Euroglas Polska Sp. z o.o.</t>
  </si>
  <si>
    <t>Ujazd</t>
  </si>
  <si>
    <t>PL.MŚ/000000741.FACILITY</t>
  </si>
  <si>
    <t>GUARDIAN CZĘSTOCHOWA Sp. z o. o.</t>
  </si>
  <si>
    <t>PL.MŚ/000000309.FACILITY</t>
  </si>
  <si>
    <t>SAINT-GOBAIN INNOVATIVE MATERIALS POLSKA SPÓŁKA Z O.O. ODDZIAŁ GLASS</t>
  </si>
  <si>
    <t>DĄBROWA GÓRNICZA</t>
  </si>
  <si>
    <t>PL.MŚ/000000950.FACILITY</t>
  </si>
  <si>
    <t>Zakład Produkcyjny Jarosław</t>
  </si>
  <si>
    <t>Jarosław</t>
  </si>
  <si>
    <t>PT.CAED/PT.APA05764442.CI</t>
  </si>
  <si>
    <t>Santos Barosa vidros SA (CI)</t>
  </si>
  <si>
    <t>Marinha Grande</t>
  </si>
  <si>
    <t>RO.CAED/104CL0001.FACILITY</t>
  </si>
  <si>
    <t>SC SAINT GOBAIN STICLA ROMANIA SRL</t>
  </si>
  <si>
    <t>Calarasi</t>
  </si>
  <si>
    <t>ES.CAED/000011000.FACILITY</t>
  </si>
  <si>
    <t>CRISNOVA VIDRIO, S.A.</t>
  </si>
  <si>
    <t>CAUDETE</t>
  </si>
  <si>
    <t>ES.CAED/001929000.FACILITY</t>
  </si>
  <si>
    <t>SAINT GOBAIN CRISTALERIA - FÁBRICA DE AVILÉS</t>
  </si>
  <si>
    <t>AVILES</t>
  </si>
  <si>
    <t>ES.CAED/000112000.FACILITY</t>
  </si>
  <si>
    <t>BA GLASS SPAIN VILLAFRANCA</t>
  </si>
  <si>
    <t>VILLAFRANCA DE LOS BARROS</t>
  </si>
  <si>
    <t>ES.CAED/001838000.FACILITY</t>
  </si>
  <si>
    <t>GUARDIAN INDUSTRIES NAVARRA, S.L.U.</t>
  </si>
  <si>
    <t>TUDELA</t>
  </si>
  <si>
    <t>ES.CAED/001015000.FACILITY</t>
  </si>
  <si>
    <t>SAINT GOBAIN VICASA - AZUQUECA</t>
  </si>
  <si>
    <t>AZUQUECA DE HENARES</t>
  </si>
  <si>
    <t>ES.CAED/004832000.FACILITY</t>
  </si>
  <si>
    <t>AGC FLATGLASS IBERICA</t>
  </si>
  <si>
    <t>Sagunto/Sagunt</t>
  </si>
  <si>
    <t>UK.LAED/E368_189.FACILITY</t>
  </si>
  <si>
    <t>Encirc UK</t>
  </si>
  <si>
    <t>Elton</t>
  </si>
  <si>
    <t>UK.LAED/E11_179.FACILITY</t>
  </si>
  <si>
    <t>Ardagh Glass Barnsley</t>
  </si>
  <si>
    <t>Barnsley</t>
  </si>
  <si>
    <t>UK.SEPA/200000073.Facility</t>
  </si>
  <si>
    <t>Alloa Glass Factory</t>
  </si>
  <si>
    <t>Alloa</t>
  </si>
  <si>
    <t>UK.LAED/E100_165.FACILITY</t>
  </si>
  <si>
    <t>Guardian Industries UK Ltd</t>
  </si>
  <si>
    <t>Goole</t>
  </si>
  <si>
    <t>UK.LAED/E292_428.FACILITY</t>
  </si>
  <si>
    <t>Greengate  Works</t>
  </si>
  <si>
    <t>St Helens</t>
  </si>
  <si>
    <t>UK.LAED/E89_143.FACILITY</t>
  </si>
  <si>
    <t>Ardagh Glass Doncaster</t>
  </si>
  <si>
    <t>Doncaster</t>
  </si>
  <si>
    <t>Other activities</t>
  </si>
  <si>
    <t>9(d)</t>
  </si>
  <si>
    <t>Installations for the production of carbon (hard-burnt coal) or electro-graphite by means of incineration or graphitisation</t>
  </si>
  <si>
    <t>CH.CAED/000000330.Facility</t>
  </si>
  <si>
    <t>IMERYS  / Graphite &amp; Carbon</t>
  </si>
  <si>
    <t>BODIO</t>
  </si>
  <si>
    <t>9(c)</t>
  </si>
  <si>
    <t>Installations for the surface treatment of substances, objects or products using organic solvents, in particular for dressing, printing, coating, degreasing, waterproofing, sizing, painting, cleaning or impregnating</t>
  </si>
  <si>
    <t>DK.CAED/000107279.FACILITY</t>
  </si>
  <si>
    <t>Envases</t>
  </si>
  <si>
    <t>Odense C</t>
  </si>
  <si>
    <t>DK.CAED/000074615.FACILITY</t>
  </si>
  <si>
    <t>DANAPAK FLEXIBLES A/S</t>
  </si>
  <si>
    <t>Slagelse</t>
  </si>
  <si>
    <t>https://registry.gdi-de.org/id/de.bw.lubw.inspire.pf//pf-450-1574906-00000000</t>
  </si>
  <si>
    <t>Mercedes Benz AG, Werk Sindelfingen Mercedes-Benz Werk Sindelfingen</t>
  </si>
  <si>
    <t>Sindelfingen</t>
  </si>
  <si>
    <t>https://registry.gdi-de.org/id/de.he.0945.de7.pf.eu_industrie/20000004</t>
  </si>
  <si>
    <t>Opel Automobile GmbH</t>
  </si>
  <si>
    <t>Rüsselsheim</t>
  </si>
  <si>
    <t>https://registry.gdi-de.org/id/de.by.inspire.pf.ied/S00471</t>
  </si>
  <si>
    <t>BMW Werk Dingolfing 02.40</t>
  </si>
  <si>
    <t>Dingolfing</t>
  </si>
  <si>
    <t>IT.CAED/100752001.FACILITY</t>
  </si>
  <si>
    <t>Ahlstrom-Munksjö Italia S.p.A.</t>
  </si>
  <si>
    <t>MATHI</t>
  </si>
  <si>
    <t>PT.CAED/PT.APA05771042.CI</t>
  </si>
  <si>
    <t>Adreta Plásticos S.A. (CI)</t>
  </si>
  <si>
    <t>MEM MARTINS</t>
  </si>
  <si>
    <t>ES.CAED/005889000.FACILITY</t>
  </si>
  <si>
    <t>EDERFIL, S.COOP. (EDERFIL S.COOP.)</t>
  </si>
  <si>
    <t>Legorreta</t>
  </si>
  <si>
    <t>UK.LAED/E52_34.FACILITY</t>
  </si>
  <si>
    <t>CROWN Packaging UK PLC</t>
  </si>
  <si>
    <t>Carlisle</t>
  </si>
  <si>
    <t>Intensive livestock production and aquaculture</t>
  </si>
  <si>
    <t>7(b)</t>
  </si>
  <si>
    <t>Intensive aquaculture</t>
  </si>
  <si>
    <t>PL.MŚ/000004119.FACILITY</t>
  </si>
  <si>
    <t>ENERGETYKA Sp. z o.o., Wydział EC - 4 Legnica</t>
  </si>
  <si>
    <t>PL.MŚ/000002110.FACILITY</t>
  </si>
  <si>
    <t>Cukrownia Glinojeck</t>
  </si>
  <si>
    <t>Glinojeck</t>
  </si>
  <si>
    <t>PL.MŚ/000001942.FACILITY</t>
  </si>
  <si>
    <t>Terminal LNG</t>
  </si>
  <si>
    <t>Świnoujście</t>
  </si>
  <si>
    <t>PL.MŚ/000000267.FACILITY</t>
  </si>
  <si>
    <t>Elektrociepłownia Mielec Spółka z o.o.</t>
  </si>
  <si>
    <t>PL.MŚ/000000167.FACILITY</t>
  </si>
  <si>
    <t>Przedsiębiorstwo Energetyczne w Siedlcach Sp. z o.o.</t>
  </si>
  <si>
    <t>Siedlce</t>
  </si>
  <si>
    <t>PL.MŚ/000004782.FACILITY</t>
  </si>
  <si>
    <t>LGESWA</t>
  </si>
  <si>
    <t>BISKUPICE PODGÓRNE</t>
  </si>
  <si>
    <t>5(d)</t>
  </si>
  <si>
    <t>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t>
  </si>
  <si>
    <t>BG.CAED/003000059.FACILITY</t>
  </si>
  <si>
    <t>Landfill of the Aksakovo municipality 3</t>
  </si>
  <si>
    <t>Въглен</t>
  </si>
  <si>
    <t>Landfills</t>
  </si>
  <si>
    <t>BG.CAED/001000011.FACILITY</t>
  </si>
  <si>
    <t>Landfill of the Goce Delchev municipality</t>
  </si>
  <si>
    <t>Гоце Делчев</t>
  </si>
  <si>
    <t>BG.CAED/001000013.FACILITY</t>
  </si>
  <si>
    <t>Landfill of the Razlog municipality</t>
  </si>
  <si>
    <t>Разлог</t>
  </si>
  <si>
    <t>BG.CAED/001000009.FACILITY</t>
  </si>
  <si>
    <t>Landfill of thePetrich municipality</t>
  </si>
  <si>
    <t>Петрич</t>
  </si>
  <si>
    <t>BG.CAED/001000012.FACILITY</t>
  </si>
  <si>
    <t>Landfill of the Sandanski municipality</t>
  </si>
  <si>
    <t>Сандански</t>
  </si>
  <si>
    <t>DK.CAED/000105673.FACILITY</t>
  </si>
  <si>
    <t>Klintholm I/S</t>
  </si>
  <si>
    <t>Hesselager</t>
  </si>
  <si>
    <t>DK.CAED/000105037.FACILITY</t>
  </si>
  <si>
    <t>Skodsbøl Deponi</t>
  </si>
  <si>
    <t>Broager</t>
  </si>
  <si>
    <t>DK.CAED/000106208.FACILITY</t>
  </si>
  <si>
    <t>Horsens Deponeringsanlæg</t>
  </si>
  <si>
    <t>Horsens</t>
  </si>
  <si>
    <t>DK.CAED/000104750.FACILITY</t>
  </si>
  <si>
    <t>Vestfyns Affalds og Deponeringsanlæg I/S §60 selsk</t>
  </si>
  <si>
    <t>Middelfart</t>
  </si>
  <si>
    <t>FR.CAED/8155.FACILITY</t>
  </si>
  <si>
    <t>LA ROUTIERE DE L'EST PARISIEN-REP</t>
  </si>
  <si>
    <t>CLAYE SOUILLY</t>
  </si>
  <si>
    <t>EL.CAED/100268.FACILITY</t>
  </si>
  <si>
    <t>Sanitary Landfill - 2nd Management Section of Western Attica - FYLI</t>
  </si>
  <si>
    <t>ANO LIOSIA</t>
  </si>
  <si>
    <t>PL.MŚ/000000009.FACILITY</t>
  </si>
  <si>
    <t>ENERGA ELEKTROWNIE OSTROŁĘKA SPÓŁKA AKCYJNA</t>
  </si>
  <si>
    <t>OSTROŁĘKA</t>
  </si>
  <si>
    <t>PL.MŚ/000000126.FACILITY</t>
  </si>
  <si>
    <t>TAURON Wytwarzanie Spółka Akcyjna - Oddział Elektrownia Łaziska w Łaziskach Górnych</t>
  </si>
  <si>
    <t>PL.MŚ/000000318.FACILITY</t>
  </si>
  <si>
    <t>Mondi Świecie S.A.</t>
  </si>
  <si>
    <t>Świecie</t>
  </si>
  <si>
    <t>PL.MŚ/000000124.FACILITY</t>
  </si>
  <si>
    <t>TAURON Wytwarzanie Spółka Akcyjna - Oddział Elektrownia Siersza w Trzebini</t>
  </si>
  <si>
    <t>Trzebinia</t>
  </si>
  <si>
    <t>PL.MŚ/000000108.FACILITY</t>
  </si>
  <si>
    <t>Grupa Azoty Zakłady Azotowe Kędzierzyn Spółka Akcyjna</t>
  </si>
  <si>
    <t>PL.MŚ/000000197.FACILITY</t>
  </si>
  <si>
    <t>ANWIL S.A.</t>
  </si>
  <si>
    <t>PL.MŚ/000000221.FACILITY</t>
  </si>
  <si>
    <t>Huta Cynku "Miasteczko Śląskie" S.A.</t>
  </si>
  <si>
    <t>Miasteczko Śląskie</t>
  </si>
  <si>
    <t>PL.MŚ/000000355.FACILITY</t>
  </si>
  <si>
    <t>PGE Górnictwo i Energetyka Konwencjonalna S.A. - Oddział Elektrociepłownia Gorzów - EC Gorzów</t>
  </si>
  <si>
    <t>Gorzów Wielkopolski</t>
  </si>
  <si>
    <t>PL.MŚ/000000113.FACILITY</t>
  </si>
  <si>
    <t>Elektrociepłownia Elbląg</t>
  </si>
  <si>
    <t>Elbląg</t>
  </si>
  <si>
    <t>PL.MŚ/000000359.FACILITY</t>
  </si>
  <si>
    <t>PGE Górnictwo i Energetyka Konwencjonalna S.A. - Oddział Elektrociepłownia Zgierz</t>
  </si>
  <si>
    <t>Zgierz</t>
  </si>
  <si>
    <t>PL.MŚ/000001940.FACILITY</t>
  </si>
  <si>
    <t>Zakład Termicznego Przekształcania Odpadów Komunalnych</t>
  </si>
  <si>
    <t>PT.CAED/PT.APA05763242.CI</t>
  </si>
  <si>
    <t>Unidade da Resiestrela (Aterro, TMB e Triagem) (CI)</t>
  </si>
  <si>
    <t>ALCARIA FND</t>
  </si>
  <si>
    <t>CH.CAED/000000305.Facility</t>
  </si>
  <si>
    <t>Deponie Tännlimoos</t>
  </si>
  <si>
    <t>Baar</t>
  </si>
  <si>
    <t>UK.CAED/EW_EA-17033.FACILITY</t>
  </si>
  <si>
    <t>BROGBOROUGH LANDFILL</t>
  </si>
  <si>
    <t>BEDFORD</t>
  </si>
  <si>
    <t>UK.CAED/EW_EA-8.FACILITY</t>
  </si>
  <si>
    <t>Arpley Landfill</t>
  </si>
  <si>
    <t>Warrington</t>
  </si>
  <si>
    <t>UK.CAED/EW_EA-2116.FACILITY</t>
  </si>
  <si>
    <t>Poplars Landfill &amp; AD Facility</t>
  </si>
  <si>
    <t>CANNOCK</t>
  </si>
  <si>
    <t>DK.CAED/000062315.FACILITY</t>
  </si>
  <si>
    <t>Faxe Kalk - Ovnanlæg</t>
  </si>
  <si>
    <t>https://registry.gdi-de.org/id/de.nw.inspire.pf.bube-eureg/arb-2017-962040-900-0174739</t>
  </si>
  <si>
    <t>Rheinkalk GmbH</t>
  </si>
  <si>
    <t>Menden</t>
  </si>
  <si>
    <t>https://registry.gdi-de.org/id/de.nw.inspire.pf.bube-eureg/arb-2017-124000-100-0848198</t>
  </si>
  <si>
    <t>Kalkwerke H. Oetelshofen GmbH &amp; Co. KG</t>
  </si>
  <si>
    <t>https://registry.gdi-de.org/id/de.bb.inspire.pf.eureg/23024015</t>
  </si>
  <si>
    <t>FELS-WERKE GmbH</t>
  </si>
  <si>
    <t>RO.CAED/105AG0001.FACILITY</t>
  </si>
  <si>
    <t>SC CARMEUSE HOLDING SRL</t>
  </si>
  <si>
    <t>Valea Mare Pravat</t>
  </si>
  <si>
    <t>NO.EEA/192336.FACILITY</t>
  </si>
  <si>
    <t>NorFraKalk</t>
  </si>
  <si>
    <t>Verdal</t>
  </si>
  <si>
    <t>1(f)</t>
  </si>
  <si>
    <t>Installations for the manufacture of coal products and solid smokeless fuel</t>
  </si>
  <si>
    <t>https://registry.gdi-de.org/id/de.nw.inspire.pf.bube-eureg/arb-2017-362028-800-0009877</t>
  </si>
  <si>
    <t>RWE Power AG Veredlungsstandort Knapsacker Hügel</t>
  </si>
  <si>
    <t>Manufacture of coal products</t>
  </si>
  <si>
    <t>https://registry.gdi-de.org/id/de.nw.inspire.pf.bube-eureg/arb-2017-362024-800-0197054</t>
  </si>
  <si>
    <t>RWE Power AG-Fabrik Frechen</t>
  </si>
  <si>
    <t>Frechen</t>
  </si>
  <si>
    <t>https://registry.gdi-de.org/id/de.nw.inspire.pf.bube-eureg/arb-2017-112000-100-0209686</t>
  </si>
  <si>
    <t>thyssenkrupp Steel Europe AG Werk Schwelgern</t>
  </si>
  <si>
    <t>SE.CAED/10024885.Facility</t>
  </si>
  <si>
    <t>LKAB - Kirunagruvan</t>
  </si>
  <si>
    <t>KIRUNA</t>
  </si>
  <si>
    <t>UK.CAED/NRW170281.FACILITY</t>
  </si>
  <si>
    <t>Port Talbot Steelworks Tata Steel</t>
  </si>
  <si>
    <t>PORT TALBOT</t>
  </si>
  <si>
    <t>BG.CAED/002000008.FACILITY</t>
  </si>
  <si>
    <t>Lukoil Neftohim Burgas AD</t>
  </si>
  <si>
    <t>Бургас</t>
  </si>
  <si>
    <t>CZ.MZP.S206/CZ41646031.FACILITY</t>
  </si>
  <si>
    <t>Rafinérie Kralupy nad Vltavou</t>
  </si>
  <si>
    <t>Kralupy nad Vltavou</t>
  </si>
  <si>
    <t>CZ.MZP.E532/CZ11020488.FACILITY</t>
  </si>
  <si>
    <t>HS Pardubice</t>
  </si>
  <si>
    <t>Pardubice VI</t>
  </si>
  <si>
    <t>DK.CAED/000105244.FACILITY</t>
  </si>
  <si>
    <t>Kalundborg Refinery A/S</t>
  </si>
  <si>
    <t>Kalundborg</t>
  </si>
  <si>
    <t>DK.CAED/000112739.FACILITY</t>
  </si>
  <si>
    <t>Crossbridge Energy Fredericia A/S</t>
  </si>
  <si>
    <t>http://paikkatiedot.fi/so/1002031/pf/ProductionFacility/0000001866.ProductionFacility</t>
  </si>
  <si>
    <t>Neste Oyj, Porvoon jalostamo</t>
  </si>
  <si>
    <t>https://registry.gdi-de.org/id/de.bb.inspire.pf.eureg/23020490</t>
  </si>
  <si>
    <t>PCK Raffinerie GmbH Schwedt</t>
  </si>
  <si>
    <t>Schwedt/Oder</t>
  </si>
  <si>
    <t>https://registry.gdi-de.org/id/de.nw.inspire.pf.bube-eureg/arb-2017-513000-500-0053929</t>
  </si>
  <si>
    <t>Ruhr Oel GmbH Werk Scholven</t>
  </si>
  <si>
    <t>Gelsenkirchen</t>
  </si>
  <si>
    <t>https://registry.gdi-de.org/id/de.nw.inspire.pf.bube-eureg/arb-2017-362040-300-0215443</t>
  </si>
  <si>
    <t>Shell Deutschland GmbH, Shell Energy and Chemicals Park Rheinland Süd</t>
  </si>
  <si>
    <t>Wesseling</t>
  </si>
  <si>
    <t>https://registry.gdi-de.org/id/de.st.lau.pf.anlagen-ied-euregistry/100194</t>
  </si>
  <si>
    <t>TOTALEnergies Raffinerie Mitteldeutschland GmbH (Raffinerie, BB01)</t>
  </si>
  <si>
    <t>Spergau</t>
  </si>
  <si>
    <t>https://registry.gdi-de.org/id/de.bw.lubw.inspire.pf//pf-450-2719371-00000000</t>
  </si>
  <si>
    <t>MIRO-Mineralölraffinerie Oberrhein GmbH &amp; Co.KG Werk 1</t>
  </si>
  <si>
    <t>https://registry.gdi-de.org/id/de.nw.inspire.pf.bube-eureg/arb-2017-315000-300-0213768</t>
  </si>
  <si>
    <t>Shell Deutschland GmbH, Shell Energy and Chemicals Park Rheinland Nord</t>
  </si>
  <si>
    <t>https://registry.gdi-de.org/id/de.nw.inspire.pf.bube-eureg/arb-2017-513000-500-0073211</t>
  </si>
  <si>
    <t>Ruhr Oel GmbH Werk Horst</t>
  </si>
  <si>
    <t>https://registry.gdi-de.org/id/de.ni.mu/10257401440</t>
  </si>
  <si>
    <t>BP Europa SE BP Lingen</t>
  </si>
  <si>
    <t>Lingen</t>
  </si>
  <si>
    <t>https://registry.gdi-de.org/id/de.by.inspire.pf.ied/S00323</t>
  </si>
  <si>
    <t>BAYERNOIL Raffineriegesellschaft mbH, Betriebsteil Neustadt</t>
  </si>
  <si>
    <t>Neustadt a.d.Donau</t>
  </si>
  <si>
    <t>https://registry.gdi-de.org/id/de.sh//10039818</t>
  </si>
  <si>
    <t>Raffinerie Heide GmbH</t>
  </si>
  <si>
    <t>Hemmingstedt</t>
  </si>
  <si>
    <t>https://registry.gdi-de.org/id/de.by.inspire.pf.ied/S00108</t>
  </si>
  <si>
    <t>OMV Deutschland Operations GmbH &amp; Co. KG, Werk Burghausen</t>
  </si>
  <si>
    <t>Burghausen</t>
  </si>
  <si>
    <t>https://registry.gdi-de.org/id/de.hh/pf.bube-eureg_/3426</t>
  </si>
  <si>
    <t>Holborn Europa Raffinerie GmbH</t>
  </si>
  <si>
    <t>https://registry.gdi-de.org/id/de.bw.lubw.inspire.pf//pf-450-2719398-00000000</t>
  </si>
  <si>
    <t>MIRO-Mineralölraffinerie Oberrhein GmbH &amp; Co.KG Werk 2</t>
  </si>
  <si>
    <t>https://registry.gdi-de.org/id/de.by.inspire.pf.ied/S00135</t>
  </si>
  <si>
    <t>Gunvor Raffinerie Ingolstadt GmbH</t>
  </si>
  <si>
    <t>Kösching</t>
  </si>
  <si>
    <t>https://registry.gdi-de.org/id/de.st.lau.pf.anlagen-ied-euregistry/100864</t>
  </si>
  <si>
    <t>ROMONTA  Amsdorf</t>
  </si>
  <si>
    <t>Amsdorf</t>
  </si>
  <si>
    <t>https://registry.gdi-de.org/id/de.by.inspire.pf.ied/S00223</t>
  </si>
  <si>
    <t>BAYERNOIL Raffineriegesellschaft mbH, Betriebsteil Vohburg</t>
  </si>
  <si>
    <t>Vohburg a.d.Donau</t>
  </si>
  <si>
    <t>IE.CAED/P0266.FACILITY</t>
  </si>
  <si>
    <t>Irving Oil Whitegate Refinery Limited</t>
  </si>
  <si>
    <t>Cork</t>
  </si>
  <si>
    <t>NL.RIVM/000010057.FACILITY</t>
  </si>
  <si>
    <t>Shell Nederland Raffinaderij BV</t>
  </si>
  <si>
    <t>Vondelingenplaat Rotterdam</t>
  </si>
  <si>
    <t>NL.RIVM/000010061.FACILITY</t>
  </si>
  <si>
    <t>Esso Nederland BV (Raffinaderij Rotterdam)</t>
  </si>
  <si>
    <t>NL.RIVM/000010058.FACILITY</t>
  </si>
  <si>
    <t>BP Raffinaderij Rotterdam B.V.</t>
  </si>
  <si>
    <t>Europoort Rotterdam</t>
  </si>
  <si>
    <t>NL.RIVM/000051501.FACILITY</t>
  </si>
  <si>
    <t>Zeeland Refinery N.V.</t>
  </si>
  <si>
    <t>Nieuwdorp</t>
  </si>
  <si>
    <t>NL.RIVM/000010059.FACILITY</t>
  </si>
  <si>
    <t>Gunvor Energy Rotterdam B.V. (GPR)</t>
  </si>
  <si>
    <t>NL.RIVM/000012177.FACILITY</t>
  </si>
  <si>
    <t>VPR Energy B.V.</t>
  </si>
  <si>
    <t>RO.CAED/106PH0001.FACILITY</t>
  </si>
  <si>
    <t>OMV PETROM SA - Petrobrazi</t>
  </si>
  <si>
    <t>comuna BRAZI</t>
  </si>
  <si>
    <t>RO.CAED/101CT0002.FACILITY</t>
  </si>
  <si>
    <t>SC ROMPETROL RAFINARE SA - punct de lucru Rompetrol Rafinare - Navodari</t>
  </si>
  <si>
    <t>NAVODARI</t>
  </si>
  <si>
    <t>RO.CAED/105PH0001.FACILITY</t>
  </si>
  <si>
    <t>SC PETROTEL LUKOIL SA</t>
  </si>
  <si>
    <t>Ploiesti</t>
  </si>
  <si>
    <t>SE.CAED/10019649.Facility</t>
  </si>
  <si>
    <t>Preemraff, Lysekil</t>
  </si>
  <si>
    <t>LYSEKIL</t>
  </si>
  <si>
    <t>SE.CAED/10019436.Facility</t>
  </si>
  <si>
    <t>St1 Refinery AB</t>
  </si>
  <si>
    <t>SE.CAED/10014265.Facility</t>
  </si>
  <si>
    <t>NYNAS AB, Oljeraffinaderiet i Nynäshamn</t>
  </si>
  <si>
    <t>NYNÄSHAMN</t>
  </si>
  <si>
    <t>UK.CAED/EW_EA-1089.FACILITY</t>
  </si>
  <si>
    <t>Fawley Refinery EPR/BR6996IC</t>
  </si>
  <si>
    <t>UK.CAED/NRW170266.FACILITY</t>
  </si>
  <si>
    <t>Pembroke Refinery</t>
  </si>
  <si>
    <t>Pembroke</t>
  </si>
  <si>
    <t>UK.CAED/EW_EA-5464.FACILITY</t>
  </si>
  <si>
    <t>Stanlow Manufacturing Complex</t>
  </si>
  <si>
    <t>South Wirral</t>
  </si>
  <si>
    <t>UK.SEPA/200000052.Facility</t>
  </si>
  <si>
    <t>Grangemouth Refinery</t>
  </si>
  <si>
    <t>Grangemouth</t>
  </si>
  <si>
    <t>UK.CAED/EW_EA-1390.FACILITY</t>
  </si>
  <si>
    <t>Barrow Gas Terminals EPR/BX1675IT</t>
  </si>
  <si>
    <t>BARROW-IN-FURNESS</t>
  </si>
  <si>
    <t>UK.SEPA/200000018.Facility</t>
  </si>
  <si>
    <t>Kinneil Terminal, Forties Pipeline System</t>
  </si>
  <si>
    <t>UK.SEPA/200000143.Facility</t>
  </si>
  <si>
    <t>Shell North Sea Gas Terminal</t>
  </si>
  <si>
    <t>Peterhead</t>
  </si>
  <si>
    <t>UK.CAED/EW_EA-761.FACILITY</t>
  </si>
  <si>
    <t>Teesside Crude Oil Stabilisation Terminal</t>
  </si>
  <si>
    <t>Middlesbrough</t>
  </si>
  <si>
    <t>UK.CAED/EW_EA-5974.FACILITY</t>
  </si>
  <si>
    <t>Dimlington Terminal</t>
  </si>
  <si>
    <t>Easington</t>
  </si>
  <si>
    <t>UK.SEPA/200000157.Facility</t>
  </si>
  <si>
    <t>Flotta North Sea Terminal, Orkney</t>
  </si>
  <si>
    <t>Stromness, Orkney</t>
  </si>
  <si>
    <t>UK.CAED/EW_EA-2067.FACILITY</t>
  </si>
  <si>
    <t>Central Bacton Gas Terminal EPR/PP3633LM</t>
  </si>
  <si>
    <t>Central</t>
  </si>
  <si>
    <t>NO.EEA/192232.FACILITY</t>
  </si>
  <si>
    <t>Equinor avd. Mongstad raffineri</t>
  </si>
  <si>
    <t>Mongstad</t>
  </si>
  <si>
    <t>NO.EEA/192144.FACILITY</t>
  </si>
  <si>
    <t>Gassco Kårstø</t>
  </si>
  <si>
    <t>Tysværvåg</t>
  </si>
  <si>
    <t>NO.EEA/192426.FACILITY</t>
  </si>
  <si>
    <t>Hammerfest LNG</t>
  </si>
  <si>
    <t>Ukjent Kode Benyttet (9601)</t>
  </si>
  <si>
    <t>NO.EEA/192073.FACILITY</t>
  </si>
  <si>
    <t>Esso Norge, Slagentangen</t>
  </si>
  <si>
    <t>Tolvsrød</t>
  </si>
  <si>
    <t>https://registry.gdi-de.org/id/de.nw.inspire.pf.bube-eureg/arb-2017-162024-100-0082185</t>
  </si>
  <si>
    <t>Speira GmbH</t>
  </si>
  <si>
    <t>Neuss</t>
  </si>
  <si>
    <t>https://registry.gdi-de.org/id/de.hh/pf.bube-eureg_/13200</t>
  </si>
  <si>
    <t>Aurubis AG</t>
  </si>
  <si>
    <t>https://registry.gdi-de.org/id/de.nw.inspire.pf.bube-eureg/arb-2017-978024-900-0877505</t>
  </si>
  <si>
    <t>https://registry.gdi-de.org/id/de.hh/pf.bube-eureg_/12233</t>
  </si>
  <si>
    <t>TRIMET Aluminium SE, Niederlassung Hamburg</t>
  </si>
  <si>
    <t>https://registry.gdi-de.org/id/de.nw.inspire.pf.bube-eureg/arb-2017-162024-100-0173542</t>
  </si>
  <si>
    <t>Aluminium Norf GmbH</t>
  </si>
  <si>
    <t>https://registry.gdi-de.org/id/de.nw.inspire.pf.bube-eureg/arb-2017-113000-100-0327911</t>
  </si>
  <si>
    <t>TRIMET Aluminium SE</t>
  </si>
  <si>
    <t>RO.CAED/103OT0001.FACILITY</t>
  </si>
  <si>
    <t>SC ALRO SA SLATINA - Sediu primar</t>
  </si>
  <si>
    <t>SLATINA</t>
  </si>
  <si>
    <t>SI.ARSO/000000015.FACILITY</t>
  </si>
  <si>
    <t>Talum</t>
  </si>
  <si>
    <t>Kidričevo</t>
  </si>
  <si>
    <t>SE.CAED/10019773.Facility</t>
  </si>
  <si>
    <t>Vargön Alloys AB</t>
  </si>
  <si>
    <t>VARGÖN</t>
  </si>
  <si>
    <t>SE.CAED/10022357.Facility</t>
  </si>
  <si>
    <t>Kubikenborg Aluminium AB</t>
  </si>
  <si>
    <t>NO.EEA/192284.FACILITY</t>
  </si>
  <si>
    <t>Hydro Aluminium, Sunndal</t>
  </si>
  <si>
    <t>Sunndalsøra</t>
  </si>
  <si>
    <t>NO.EEA/192151.FACILITY</t>
  </si>
  <si>
    <t>Hydro Aluminium, Karmøy</t>
  </si>
  <si>
    <t>Håvik</t>
  </si>
  <si>
    <t>NO.EEA/192135.FACILITY</t>
  </si>
  <si>
    <t>ERAMET NORWAY AS, Sauda</t>
  </si>
  <si>
    <t>Sauda</t>
  </si>
  <si>
    <t>NO.EEA/192256.FACILITY</t>
  </si>
  <si>
    <t>Hydro Aluminium, Årdal Metallverk</t>
  </si>
  <si>
    <t>Øvre Årdal</t>
  </si>
  <si>
    <t>NO.EEA/192117.FACILITY</t>
  </si>
  <si>
    <t>Eramet Norway Kvinesdal</t>
  </si>
  <si>
    <t>Øyestranda</t>
  </si>
  <si>
    <t>NO.EEA/192087.FACILITY</t>
  </si>
  <si>
    <t>Eramet Norway AS, Porsgrunn</t>
  </si>
  <si>
    <t>NO.EEA/192113.FACILITY</t>
  </si>
  <si>
    <t>Alcoa aluminium, Lista</t>
  </si>
  <si>
    <t>Farsund</t>
  </si>
  <si>
    <t>NO.EEA/192181.FACILITY</t>
  </si>
  <si>
    <t>Sør-Norge Aluminium</t>
  </si>
  <si>
    <t>Husnes</t>
  </si>
  <si>
    <t>NO.EEA/192365.FACILITY</t>
  </si>
  <si>
    <t>Ferroglobe Mangan Norge AS</t>
  </si>
  <si>
    <t>NO.EEA/192252.FACILITY</t>
  </si>
  <si>
    <t>Hydro Aluminium, Høyanger</t>
  </si>
  <si>
    <t>Høyanger</t>
  </si>
  <si>
    <t>5(c)</t>
  </si>
  <si>
    <t>Installations for the disposal of non-hazardous waste</t>
  </si>
  <si>
    <t>DK.CAED/000095033.FACILITY</t>
  </si>
  <si>
    <t>Scanfield ApS (tidligere navn Jordrens Køge ApS)</t>
  </si>
  <si>
    <t>Køge</t>
  </si>
  <si>
    <t>Non-hazardous waste</t>
  </si>
  <si>
    <t>https://registry.gdi-de.org/id/de.he.0945.de7.pf.eu_industrie/50000118</t>
  </si>
  <si>
    <t>Städtische Werke, Kraftwerk Kassel</t>
  </si>
  <si>
    <t>Kassel, Stadt</t>
  </si>
  <si>
    <t>IT.CAED/261002002.FACILITY</t>
  </si>
  <si>
    <t>Acciaieria Arvedi S.p.A.</t>
  </si>
  <si>
    <t>CREMONA</t>
  </si>
  <si>
    <t>IT.CAED/431222010.FACILITY</t>
  </si>
  <si>
    <t>TERMOVALORIZZATORE - PAIP</t>
  </si>
  <si>
    <t>PARMA</t>
  </si>
  <si>
    <t>NL.RIVM/000064004.FACILITY</t>
  </si>
  <si>
    <t>AVR Afvalverwerking BV (Duiven)</t>
  </si>
  <si>
    <t>Duiven</t>
  </si>
  <si>
    <t>NL.RIVM/000204944.FACILITY</t>
  </si>
  <si>
    <t>Eneco Bio Golden Raand C.V.</t>
  </si>
  <si>
    <t>Farmsum</t>
  </si>
  <si>
    <t>NL.RIVM/000047001.FACILITY</t>
  </si>
  <si>
    <t>Slibverwerking Noord-Brabant NV</t>
  </si>
  <si>
    <t>ES.CAED/007280000.FACILITY</t>
  </si>
  <si>
    <t>TÉRMICA AFAP S.A.</t>
  </si>
  <si>
    <t>VILLACAÑAS</t>
  </si>
  <si>
    <t>UK.CAED/EW_EA-1572.FACILITY</t>
  </si>
  <si>
    <t>Allington Incinerator - EPR/BR4551IC/V010</t>
  </si>
  <si>
    <t>MAIDSTONE</t>
  </si>
  <si>
    <t>3(b)</t>
  </si>
  <si>
    <t>Opencast mining and quarrying</t>
  </si>
  <si>
    <t>EL.CAED/100630.FACILITY</t>
  </si>
  <si>
    <t>GRECIAN MAGNESITE YERAKINI</t>
  </si>
  <si>
    <t>POLYGYROS</t>
  </si>
  <si>
    <t>PL.MŚ/000000053.FACILITY</t>
  </si>
  <si>
    <t>Grupa Ożarów S.A.</t>
  </si>
  <si>
    <t>Karsy</t>
  </si>
  <si>
    <t>PL.MŚ/000000068.FACILITY</t>
  </si>
  <si>
    <t>LAFARGE CEMENT S.A.; ODDZIAŁ W BIELAWACH</t>
  </si>
  <si>
    <t>BIELAWY</t>
  </si>
  <si>
    <t>PL.MŚ/000000063.FACILITY</t>
  </si>
  <si>
    <t>LAFARGE CEMENT S.A</t>
  </si>
  <si>
    <t>Małogoszcz</t>
  </si>
  <si>
    <t>PL.MŚ/000000062.FACILITY</t>
  </si>
  <si>
    <t>Cementownia "Odra" S.A.</t>
  </si>
  <si>
    <t>PL.MŚ/000000630.FACILITY</t>
  </si>
  <si>
    <t>Zakłady Wapiennicze Lhoist S.A. Jednostka Produkcyjna w Tarnowie Opolskim</t>
  </si>
  <si>
    <t>Tarnów Opolski</t>
  </si>
  <si>
    <t>4(a)(vi)</t>
  </si>
  <si>
    <t>Chemical installations for the production on an industrial scale of basic organic chemicals: Halogenic hydrocarbons</t>
  </si>
  <si>
    <t>https://data.ied_registry.omgeving.vlaanderen.be/id/productionfacility//BE.VL.000000468.FACILITY</t>
  </si>
  <si>
    <t>VYNOVA BELGIUM</t>
  </si>
  <si>
    <t>Organic - Other</t>
  </si>
  <si>
    <t>4(a)(iv)</t>
  </si>
  <si>
    <t>Chemical installations for the production on an industrial scale of basic organic chemicals: Nitrogenous hydrocarbons such as amines, amides, nitrous compounds, nitro compounds or nitrate compounds, nitriles, cyanates, isocyanates</t>
  </si>
  <si>
    <t>CZ.MZP.T806/CZ90276630.FACILITY</t>
  </si>
  <si>
    <t>BorsodChem MCHZ, s.r.o.</t>
  </si>
  <si>
    <t>Mariánské Hory a Hulváky</t>
  </si>
  <si>
    <t>FR.CAED/44.FACILITY</t>
  </si>
  <si>
    <t>SOLVAY FRANCE</t>
  </si>
  <si>
    <t>TAVAUX</t>
  </si>
  <si>
    <t>FR.CAED/9469.FACILITY</t>
  </si>
  <si>
    <t>BUTACHIMIE</t>
  </si>
  <si>
    <t>4(a)(iii)</t>
  </si>
  <si>
    <t>Chemical installations for the production on an industrial scale of basic organic chemicals: Sulphurous hydrocarbons</t>
  </si>
  <si>
    <t>FR.CAED/5628.FACILITY</t>
  </si>
  <si>
    <t>ADISSEO FRANCE SAS</t>
  </si>
  <si>
    <t>ST CLAIR DU RHONE</t>
  </si>
  <si>
    <t>FR.CAED/7624.FACILITY</t>
  </si>
  <si>
    <t>KEM ONE FRANCE</t>
  </si>
  <si>
    <t>4(a)(ix)</t>
  </si>
  <si>
    <t>Chemical installations for the production on an industrial scale of basic organic chemicals: Synthetic rubbers</t>
  </si>
  <si>
    <t>FR.CAED/653.FACILITY</t>
  </si>
  <si>
    <t>SIMOREP &amp; CIE- CS MICHELIN</t>
  </si>
  <si>
    <t>BASSENS</t>
  </si>
  <si>
    <t>FR.CAED/7560.FACILITY</t>
  </si>
  <si>
    <t>ARKEMA FRANCE SA</t>
  </si>
  <si>
    <t>MARSEILLE 11</t>
  </si>
  <si>
    <t>https://registry.gdi-de.org/id/de.rp.inspire.pf.bube-eureg/4000050</t>
  </si>
  <si>
    <t>Röhm GmbH</t>
  </si>
  <si>
    <t>https://registry.gdi-de.org/id/de.st.lau.pf.anlagen-ied-euregistry/100575</t>
  </si>
  <si>
    <t>Dow Olefinverbund GmbH, Werk Schkopau</t>
  </si>
  <si>
    <t>Schkopau</t>
  </si>
  <si>
    <t>ES.CAED/001593000.FACILITY</t>
  </si>
  <si>
    <t>UBE CORPORATION EUROPE S.A. UNIPERSONAL</t>
  </si>
  <si>
    <t>4(a)(v)</t>
  </si>
  <si>
    <t>Chemical installations for the production on an industrial scale of basic organic chemicals: Phosphorus-containing hydrocarbons</t>
  </si>
  <si>
    <t>CH.CAED/000000432.Facility</t>
  </si>
  <si>
    <t>Clariant Additives (Switzerland) AG</t>
  </si>
  <si>
    <t>Muttenz</t>
  </si>
  <si>
    <t>4(a)(ii)</t>
  </si>
  <si>
    <t>Chemical installations for the production on an industrial scale of basic organic chemicals: Oxygen-containing hydrocarbons such as alcohols, aldehydes, ketones, carboxylic acids, esters, acetates, ethers, peroxides, epoxy resins</t>
  </si>
  <si>
    <t>https://data.ied_registry.omgeving.vlaanderen.be/id/productionfacility//BE.VL.000000067.FACILITY</t>
  </si>
  <si>
    <t>BASF ANTWERPEN</t>
  </si>
  <si>
    <t>Organic - Oxygen-containing hydrocarbons</t>
  </si>
  <si>
    <t>BE.WA/189010000.FACILITY</t>
  </si>
  <si>
    <t>BIOWANZE</t>
  </si>
  <si>
    <t>Wanze</t>
  </si>
  <si>
    <t>https://data.ied_registry.omgeving.vlaanderen.be/id/productionfacility//BE.VL.000000117.FACILITY</t>
  </si>
  <si>
    <t>EVONIK ANTWERPEN</t>
  </si>
  <si>
    <t>https://data.ied_registry.omgeving.vlaanderen.be/id/productionfacility//BE.VL.000000016.FACILITY</t>
  </si>
  <si>
    <t>INEOS</t>
  </si>
  <si>
    <t>https://data.ied_registry.omgeving.vlaanderen.be/id/productionfacility//BE.VL.000000590.FACILITY</t>
  </si>
  <si>
    <t>ALCO BIO FUEL</t>
  </si>
  <si>
    <t>https://data.ied_registry.omgeving.vlaanderen.be/id/productionfacility//BE.VL.000000661.FACILITY</t>
  </si>
  <si>
    <t>INEOS PHENOL BELGIUM</t>
  </si>
  <si>
    <t>CZ.MZP.K413/CZ67078452.FACILITY</t>
  </si>
  <si>
    <t>Synthomer a.s.</t>
  </si>
  <si>
    <t>Sokolov</t>
  </si>
  <si>
    <t>FR.CAED/9481.FACILITY</t>
  </si>
  <si>
    <t>ALSACHIMIE</t>
  </si>
  <si>
    <t>FR.CAED/7626.FACILITY</t>
  </si>
  <si>
    <t>LYONDELL CHIMIE SAS</t>
  </si>
  <si>
    <t>FR.CAED/4151.FACILITY</t>
  </si>
  <si>
    <t>TEREOS STARCH &amp; SWEETENERS LBN</t>
  </si>
  <si>
    <t>FR.CAED/791.FACILITY</t>
  </si>
  <si>
    <t>DRT VIELLE-SAINT-GIRONS</t>
  </si>
  <si>
    <t>VIELLE ST GIRONS</t>
  </si>
  <si>
    <t>FR.CAED/6088.FACILITY</t>
  </si>
  <si>
    <t>ARKEMA FRANCE</t>
  </si>
  <si>
    <t>https://registry.gdi-de.org/id/de.rp.inspire.pf.bube-eureg/5000671</t>
  </si>
  <si>
    <t>BASF SE</t>
  </si>
  <si>
    <t>Ludwigshafen am Rhein</t>
  </si>
  <si>
    <t>https://registry.gdi-de.org/id/de.bb.inspire.pf.eureg/45026224</t>
  </si>
  <si>
    <t>BASF Schwarzheide GmbH</t>
  </si>
  <si>
    <t>Schwarzheide</t>
  </si>
  <si>
    <t>https://registry.gdi-de.org/id/de.sh//10000140</t>
  </si>
  <si>
    <t>Sasol Germany GmbH</t>
  </si>
  <si>
    <t>https://registry.gdi-de.org/id/de.hh/pf.bube-eureg_/12273</t>
  </si>
  <si>
    <t>ADM Hamburg Aktiengesellschaft Werk Hamburg</t>
  </si>
  <si>
    <t>HU.OKIR/102053840.FACILITY</t>
  </si>
  <si>
    <t>Pannonia Bio Zrt</t>
  </si>
  <si>
    <t>Dunaföldvár</t>
  </si>
  <si>
    <t>PT.CAED/PT.APA05772062.CI</t>
  </si>
  <si>
    <t>Indorama Ventures Portugal PTA (Fábrica de PTA) (CI)</t>
  </si>
  <si>
    <t>ES.CAED/006160000.FACILITY</t>
  </si>
  <si>
    <t>BIOCARBURANTES DE CASTILLA Y LEÓN S.A.-BABILAFUENTE</t>
  </si>
  <si>
    <t>BABILAFUENTE</t>
  </si>
  <si>
    <t>ES.CAED/002033000.FACILITY</t>
  </si>
  <si>
    <t>BIOETANOL GALICIA</t>
  </si>
  <si>
    <t>CURTIS</t>
  </si>
  <si>
    <t>ES.CAED/000768000.FACILITY</t>
  </si>
  <si>
    <t>FORESTAL DEL ATLANTICO, SA</t>
  </si>
  <si>
    <t>MUGARDOS</t>
  </si>
  <si>
    <t>4(a)(i)</t>
  </si>
  <si>
    <t>Chemical installations for the production on an industrial scale of basic organic chemicals: Simple hydrocarbons (linear or cyclic, saturated or unsaturated, aliphatic or aromatic)</t>
  </si>
  <si>
    <t>https://data.ied_registry.omgeving.vlaanderen.be/id/productionfacility//BE.VL.000000003.FACILITY</t>
  </si>
  <si>
    <t>TotalEnergies Olefins Antwerp</t>
  </si>
  <si>
    <t>Organic - simple hydrocarbons</t>
  </si>
  <si>
    <t>https://data.ied_registry.omgeving.vlaanderen.be/id/productionfacility//BE.VL.000000093.FACILITY</t>
  </si>
  <si>
    <t>INEOS Aromatics Belgium</t>
  </si>
  <si>
    <t>Geel</t>
  </si>
  <si>
    <t>BE.WA/057010000.FACILITY</t>
  </si>
  <si>
    <t>INEOS FELUY</t>
  </si>
  <si>
    <t>https://data.ied_registry.omgeving.vlaanderen.be/id/productionfacility//BE.VL.000000162.FACILITY</t>
  </si>
  <si>
    <t>INEOS STYROLUTION BELGIUM</t>
  </si>
  <si>
    <t>CZ.MZP.U425/CZ17751142.FACILITY</t>
  </si>
  <si>
    <t>ORLEN Unipetrol RPA</t>
  </si>
  <si>
    <t>Litvínov</t>
  </si>
  <si>
    <t>CZ.MZP.Z723/CZ11453276.FACILITY</t>
  </si>
  <si>
    <t>DEZA, a.s., Valašské Meziříčí</t>
  </si>
  <si>
    <t>http://paikkatiedot.fi/so/1002031/pf/ProductionFacility/0000003500.ProductionFacility</t>
  </si>
  <si>
    <t>Borealis Polymers Oy, Petrokemian laitokset</t>
  </si>
  <si>
    <t>FR.CAED/7615.FACILITY</t>
  </si>
  <si>
    <t>NAPHTACHIMIE</t>
  </si>
  <si>
    <t>FR.CAED/3833.FACILITY</t>
  </si>
  <si>
    <t>EXXONMOBIL CHEMICAL FRANCE</t>
  </si>
  <si>
    <t>FR.CAED/3839.FACILITY</t>
  </si>
  <si>
    <t>HARFLEUR</t>
  </si>
  <si>
    <t>FR.CAED/10790.FACILITY</t>
  </si>
  <si>
    <t>VERSALIS FRANCE SAS DUNES</t>
  </si>
  <si>
    <t>https://registry.gdi-de.org/id/de.sn.sax4inspire.pf/80011248</t>
  </si>
  <si>
    <t>Dow Olefinverbund GmbH Werk Böhlen</t>
  </si>
  <si>
    <t>Böhlen</t>
  </si>
  <si>
    <t>PT.CAED/PT.APA05763542.CI</t>
  </si>
  <si>
    <t>Repsol Polimeros , Lda. (CI)</t>
  </si>
  <si>
    <t>ES.CAED/001562000.FACILITY</t>
  </si>
  <si>
    <t>REPSOL QUIMICA</t>
  </si>
  <si>
    <t>ES.CAED/001592000.FACILITY</t>
  </si>
  <si>
    <t>FÁBRICA DE PUENTE DE MAYORGA (CEPSA QUÍMICA)</t>
  </si>
  <si>
    <t>ES.CAED/001619000.FACILITY</t>
  </si>
  <si>
    <t>FÁBRICA DE PALOS DE LA FRONTERA (CEPSA QUÍMICA)</t>
  </si>
  <si>
    <t>ES.CAED/003896000.FACILITY</t>
  </si>
  <si>
    <t>ECOCARBURANTES ESPAÑOLES</t>
  </si>
  <si>
    <t>SE.CAED/10018832.Facility</t>
  </si>
  <si>
    <t>Borealis Krackeranl.</t>
  </si>
  <si>
    <t>STENUNGSUND</t>
  </si>
  <si>
    <t>CH.CAED/000000435.Facility</t>
  </si>
  <si>
    <t>Lonza Solutions AG</t>
  </si>
  <si>
    <t>Visp</t>
  </si>
  <si>
    <t>CH.CAED/000000187.Facility</t>
  </si>
  <si>
    <t>DSM Nutritional Products AG - Werk Lalden / Zweigniederlassung Werk Lalden</t>
  </si>
  <si>
    <t>UK.SEPA/200000061.Facility</t>
  </si>
  <si>
    <t>Fife Ethylene Plant</t>
  </si>
  <si>
    <t>Cowdenbeath</t>
  </si>
  <si>
    <t>UK.SEPA/200002493.Facility</t>
  </si>
  <si>
    <t>INEOS Chemicals Grangemouth Ltd</t>
  </si>
  <si>
    <t>UK.SEPA/200000035.Facility</t>
  </si>
  <si>
    <t>Fife NGL Plant</t>
  </si>
  <si>
    <t>NO.EEA/192094.FACILITY</t>
  </si>
  <si>
    <t>NORETYL AS</t>
  </si>
  <si>
    <t>STATHELLE</t>
  </si>
  <si>
    <t>4(a)</t>
  </si>
  <si>
    <t>Chemical installations for the production on an industrial scale of basic organic chemicals. Note to reporters, use Level 3 activity e.g. 4(a)(iii), in preference to 4(a). Level 2 activity class (i.e. 4(a)) only to be used where Level 3 is not available.</t>
  </si>
  <si>
    <t>AT.CAED/9008390705353.FACILITY</t>
  </si>
  <si>
    <t>Lenzing Aktiengesellschaft</t>
  </si>
  <si>
    <t>Lenzing</t>
  </si>
  <si>
    <t>https://registry.gdi-de.org/id/de.nw.inspire.pf.bube-eureg/arb-2017-315000-300-0928938</t>
  </si>
  <si>
    <t>INEOS Manufacturing Deutschland GmbH</t>
  </si>
  <si>
    <t>https://registry.gdi-de.org/id/de.nw.inspire.pf.bube-eureg/arb-2017-362040-300-0215520</t>
  </si>
  <si>
    <t>Basell Polyolefine GmbH Werk Wesseling</t>
  </si>
  <si>
    <t>https://registry.gdi-de.org/id/de.nw.inspire.pf.bube-eureg/arb-2017-562024-500-0875785</t>
  </si>
  <si>
    <t>Evonik Operations GmbH</t>
  </si>
  <si>
    <t>Marl</t>
  </si>
  <si>
    <t>https://registry.gdi-de.org/id/de.by.inspire.pf.ied/S00114</t>
  </si>
  <si>
    <t>Wacker Chemie AG, Werk Burghausen</t>
  </si>
  <si>
    <t>https://registry.gdi-de.org/id/de.by.inspire.pf.ied/S00222</t>
  </si>
  <si>
    <t>Basell Polyolefine GmbH, Standort Münchsmünster</t>
  </si>
  <si>
    <t>Münchsmünster</t>
  </si>
  <si>
    <t>https://registry.gdi-de.org/id/de.nw.inspire.pf.bube-eureg/arb-2017-119000-100-0990908</t>
  </si>
  <si>
    <t>OQ Chemicals Produktion GmbH &amp; Co. KG Werk Ruhrchemie</t>
  </si>
  <si>
    <t>Oberhausen</t>
  </si>
  <si>
    <t>https://registry.gdi-de.org/id/de.nw.inspire.pf.bube-eureg/arb-2017-316000-300-1114955</t>
  </si>
  <si>
    <t>Kronos Titan GmbH</t>
  </si>
  <si>
    <t>Leverkusen</t>
  </si>
  <si>
    <t>https://registry.gdi-de.org/id/de.nw.inspire.pf.bube-eureg/arb-2017-170024-100-0989193</t>
  </si>
  <si>
    <t>Huntsman Products GmbH</t>
  </si>
  <si>
    <t>Moers</t>
  </si>
  <si>
    <t>https://registry.gdi-de.org/id/de.nw.inspire.pf.bube-eureg/arb-2021-562024-500-0016694</t>
  </si>
  <si>
    <t>Evonik Superabsorber GmbH</t>
  </si>
  <si>
    <t>IT.CAED/960101007.FACILITY</t>
  </si>
  <si>
    <t>Versalis S.p.A.</t>
  </si>
  <si>
    <t>IT.CAED/721001004.FACILITY</t>
  </si>
  <si>
    <t>IT.CAED/960101006.FACILITY</t>
  </si>
  <si>
    <t>SASOL ITALY ENERGIA SRL</t>
  </si>
  <si>
    <t>Augusta</t>
  </si>
  <si>
    <t>IT.CAED/301761003.FACILITY</t>
  </si>
  <si>
    <t>Stabilimento di P.to Marghera</t>
  </si>
  <si>
    <t>IT.CAED/461001002.FACILITY</t>
  </si>
  <si>
    <t>Stabilimento di Mantova</t>
  </si>
  <si>
    <t>IT.CAED/481232018.FACILITY</t>
  </si>
  <si>
    <t>Polynt spa</t>
  </si>
  <si>
    <t>IT.CAED/240202009.FACILITY</t>
  </si>
  <si>
    <t>STABILIMENTO DI SCANZOROSCIATE</t>
  </si>
  <si>
    <t>SCANZOROSCIATE</t>
  </si>
  <si>
    <t>NL.RIVM/000051104.FACILITY</t>
  </si>
  <si>
    <t>Dow Benelux BV (Hoek)</t>
  </si>
  <si>
    <t>Hoek</t>
  </si>
  <si>
    <t>NL.RIVM/000000062.FACILITY</t>
  </si>
  <si>
    <t>Chemelot Site Permit BV</t>
  </si>
  <si>
    <t>Geleen</t>
  </si>
  <si>
    <t>NL.RIVM/000041003.FACILITY</t>
  </si>
  <si>
    <t>Shell Nederland Chemie BV (Moerdijk)</t>
  </si>
  <si>
    <t>NL.RIVM/000041101.FACILITY</t>
  </si>
  <si>
    <t>SABIC Innovative Plastics BV</t>
  </si>
  <si>
    <t>Bergen Op Zoom</t>
  </si>
  <si>
    <t>NL.RIVM/000010004.FACILITY</t>
  </si>
  <si>
    <t>Lyondell Chemical Nederland Ltd.</t>
  </si>
  <si>
    <t>PL.MŚ/000003643.FACILITY</t>
  </si>
  <si>
    <t>Synthos Dwory 7 spółka z ograniczoną odpowiedzialnością spółka jawna</t>
  </si>
  <si>
    <t>Oświęcim</t>
  </si>
  <si>
    <t>PL.MŚ/000000673.FACILITY</t>
  </si>
  <si>
    <t>Kronopol Sp. z o.o.</t>
  </si>
  <si>
    <t>Żary</t>
  </si>
  <si>
    <t>PL.MŚ/000000767.FACILITY</t>
  </si>
  <si>
    <t>BIOAGRA SA Zakład Produkcji Etanolu "Goświnowice"</t>
  </si>
  <si>
    <t>Głębinów</t>
  </si>
  <si>
    <t>PL.MŚ/000001312.FACILITY</t>
  </si>
  <si>
    <t>Zakład Produkcji Etanolu i Pasz</t>
  </si>
  <si>
    <t>Rąbczyn</t>
  </si>
  <si>
    <t>PL.MŚ/000002919.FACILITY</t>
  </si>
  <si>
    <t>Zakład PTA we Włocławku</t>
  </si>
  <si>
    <t>UK.CAED/EW_EA-16600.FACILITY</t>
  </si>
  <si>
    <t>Wilton Olefins Installation</t>
  </si>
  <si>
    <t>Wilton</t>
  </si>
  <si>
    <t>UK.CAED/EW_EA-405.FACILITY</t>
  </si>
  <si>
    <t>Hull Chemical Industry EPR/BJ8162IR</t>
  </si>
  <si>
    <t>HULL</t>
  </si>
  <si>
    <t>UK.CAED/EW_EA-282.FACILITY</t>
  </si>
  <si>
    <t>Seal Sands Acrylonitrile Production EPR/FP3435GZ</t>
  </si>
  <si>
    <t>UK.CAED/EW_EA-1716.FACILITY</t>
  </si>
  <si>
    <t>Cassel Works</t>
  </si>
  <si>
    <t>8(b)</t>
  </si>
  <si>
    <t>Treatment and processing intended for the production of food and beverage products. Note to reporters, use Level 3 activity e.g. 8(b)(i), in preference to 8(b). Level 2 activity class (i.e. 8(b)) only to be used where Level 3 is not available.</t>
  </si>
  <si>
    <t>AT.CAED/9008390402368.FACILITY</t>
  </si>
  <si>
    <t>Jungbunzlauer Austria AG</t>
  </si>
  <si>
    <t>Wulzeshofen</t>
  </si>
  <si>
    <t>IT.CAED/150632002.FACILITY</t>
  </si>
  <si>
    <t>Roquette Italia S.p.A.</t>
  </si>
  <si>
    <t>CASSANO SPINOLA</t>
  </si>
  <si>
    <t>IT.CAED/120512002.FACILITY</t>
  </si>
  <si>
    <t>FERRERO INDUSTRIALE ITALIA S.r.l. con socio unico - Stabilimento di Alba</t>
  </si>
  <si>
    <t>Alba</t>
  </si>
  <si>
    <t>IT.CAED/450352002.FACILITY</t>
  </si>
  <si>
    <t>CARGILL S.R.L. - STABILIMENTO DI CASTELMASSA</t>
  </si>
  <si>
    <t>CASTELMASSA</t>
  </si>
  <si>
    <t>IT.CAED/120372006.FACILITY</t>
  </si>
  <si>
    <t>Sedamyl Spa</t>
  </si>
  <si>
    <t>SALUZZO</t>
  </si>
  <si>
    <t>NL.RIVM/000052612.FACILITY</t>
  </si>
  <si>
    <t>Cargill Benelux BV</t>
  </si>
  <si>
    <t>Sas Van Gent</t>
  </si>
  <si>
    <t>NL.RIVM/000012134.FACILITY</t>
  </si>
  <si>
    <t>Archer Daniels Midland Europoort BV (ADM)</t>
  </si>
  <si>
    <t>NL.RIVM/000102302.FACILITY</t>
  </si>
  <si>
    <t>Cosun Beet Company-Vierverlaten</t>
  </si>
  <si>
    <t>Groningen</t>
  </si>
  <si>
    <t>NL.RIVM/000042310.FACILITY</t>
  </si>
  <si>
    <t>Cosun Beet Company-Dinteloord</t>
  </si>
  <si>
    <t>Dinteloord</t>
  </si>
  <si>
    <t>UK.CAED/EW_EA-558.FACILITY</t>
  </si>
  <si>
    <t>Wissington Sugar Factory EPR/BX2108IQ</t>
  </si>
  <si>
    <t>King's Lynn</t>
  </si>
  <si>
    <t>UK.CAED/EW_EA-559.FACILITY</t>
  </si>
  <si>
    <t>Bury St Edmunds Sugar Factory EPR/BX2094IJ</t>
  </si>
  <si>
    <t>BURY ST. EDMUNDS</t>
  </si>
  <si>
    <t>UK.CAED/EW_EA-676.FACILITY</t>
  </si>
  <si>
    <t>Trafford Park Wheat Milling Plant</t>
  </si>
  <si>
    <t>MANCHESTER</t>
  </si>
  <si>
    <t>UK.CAED/EW_EA-564.FACILITY</t>
  </si>
  <si>
    <t>Newark Sugar Factory EPR/BK9385IH</t>
  </si>
  <si>
    <t>NEWARK</t>
  </si>
  <si>
    <t>2(f)</t>
  </si>
  <si>
    <t>Installations for surface treatment of metals and plastic materials using an electrolytic or chemical process</t>
  </si>
  <si>
    <t>DK.CAED/000067430.FACILITY</t>
  </si>
  <si>
    <t>a. h. nichro HAARDCHROM A/S</t>
  </si>
  <si>
    <t>Hvidovre</t>
  </si>
  <si>
    <t>DK.CAED/000071221.FACILITY</t>
  </si>
  <si>
    <t>Dan-Color A/S</t>
  </si>
  <si>
    <t>Them</t>
  </si>
  <si>
    <t>CH.CAED/000000141.Facility</t>
  </si>
  <si>
    <t>Dörrer AG</t>
  </si>
  <si>
    <t>BG.CAED/009000022.FACILITY</t>
  </si>
  <si>
    <t>Mondy Stamboliiski papermaking company</t>
  </si>
  <si>
    <t>Стамболийски</t>
  </si>
  <si>
    <t>DK.CAED/000104482.FACILITY</t>
  </si>
  <si>
    <t>Brødrene Hartmann A/S</t>
  </si>
  <si>
    <t>Tønder</t>
  </si>
  <si>
    <t>DK.CAED/000106351.FACILITY</t>
  </si>
  <si>
    <t>SKJERN PAPER A/S</t>
  </si>
  <si>
    <t>Skjern</t>
  </si>
  <si>
    <t>https://registry.gdi-de.org/id/de.nw.inspire.pf.bube-eureg/arb-2017-958012-900-0235121</t>
  </si>
  <si>
    <t>Egger Holzwerkstoffe Brilon GmbH &amp; Co. KG</t>
  </si>
  <si>
    <t>Brilon</t>
  </si>
  <si>
    <t>https://registry.gdi-de.org/id/de.bb.inspire.pf.eureg/23020389</t>
  </si>
  <si>
    <t>LEIPA Georg Leinfelder Werk Schwedt Süd</t>
  </si>
  <si>
    <t>https://registry.gdi-de.org/id/de.by.inspire.pf.ied/S00552</t>
  </si>
  <si>
    <t>Pfleiderer Neumarkt GmbH</t>
  </si>
  <si>
    <t>Neumarkt i.d.OPf.</t>
  </si>
  <si>
    <t>https://registry.gdi-de.org/id/de.by.inspire.pf.ied/S00282</t>
  </si>
  <si>
    <t>UPM GmbH, Werk Schongau</t>
  </si>
  <si>
    <t>Schongau</t>
  </si>
  <si>
    <t>https://registry.gdi-de.org/id/de.ni.mu/07244141350</t>
  </si>
  <si>
    <t>Sappi Alfeld GmbH</t>
  </si>
  <si>
    <t>Alfeld</t>
  </si>
  <si>
    <t>https://registry.gdi-de.org/id/de.ni.mu/09281337040</t>
  </si>
  <si>
    <t>Papier- u. Kartonfabrik Varel GmbH &amp; Co. KG</t>
  </si>
  <si>
    <t>Varel</t>
  </si>
  <si>
    <t>https://registry.gdi-de.org/id/de.rp.inspire.pf.bube-eureg/1000136</t>
  </si>
  <si>
    <t>Moritz J. Weig GmbH &amp; Co. KG</t>
  </si>
  <si>
    <t>Mayen</t>
  </si>
  <si>
    <t>https://registry.gdi-de.org/id/de.ni.mu/04247180070</t>
  </si>
  <si>
    <t>Nordland Papier GmbH Papierfabrik</t>
  </si>
  <si>
    <t>Dörpen</t>
  </si>
  <si>
    <t>https://registry.gdi-de.org/id/de.bb.inspire.pf.eureg/23020136</t>
  </si>
  <si>
    <t>LEIPA Georg Leinfelder Werk Schwedt Nord</t>
  </si>
  <si>
    <t>https://registry.gdi-de.org/id/de.nw.inspire.pf.bube-eureg/arb-2017-754008-700-0128330</t>
  </si>
  <si>
    <t>Pfleiderer Gütersloh GmbH (Werk 2)</t>
  </si>
  <si>
    <t>Gütersloh</t>
  </si>
  <si>
    <t>https://registry.gdi-de.org/id/de.bw.lubw.inspire.pf//pf-450-4124448-00000000</t>
  </si>
  <si>
    <t>Koehler Oberkirch GmbH</t>
  </si>
  <si>
    <t>Oberkirch</t>
  </si>
  <si>
    <t>https://registry.gdi-de.org/id/de.nw.inspire.pf.bube-eureg/arb-2017-958004-900-0001413</t>
  </si>
  <si>
    <t>R.D.M. Arnsberg GmbH</t>
  </si>
  <si>
    <t>Arnsberg</t>
  </si>
  <si>
    <t>https://registry.gdi-de.org/id/de.by.inspire.pf.ied/S01026</t>
  </si>
  <si>
    <t>Pfeifer Holz GmbH - Werk Unterbernbach</t>
  </si>
  <si>
    <t>Kühbach</t>
  </si>
  <si>
    <t>https://registry.gdi-de.org/id/de.sn.sax4inspire.pf/80011253</t>
  </si>
  <si>
    <t>Model Sachsen Papier GmbH</t>
  </si>
  <si>
    <t>Eilenburg</t>
  </si>
  <si>
    <t>NL.RIVM/000064360.FACILITY</t>
  </si>
  <si>
    <t>Smurfit Kappa Parenco B.V.</t>
  </si>
  <si>
    <t>Renkum</t>
  </si>
  <si>
    <t>NL.RIVM/000004301.FACILITY</t>
  </si>
  <si>
    <t>Smurfit Kappa Roermond Papier BV</t>
  </si>
  <si>
    <t>NL.RIVM/000064335.FACILITY</t>
  </si>
  <si>
    <t>Stora Enso De Hoop B.V.</t>
  </si>
  <si>
    <t>Eerbeek</t>
  </si>
  <si>
    <t>NL.RIVM/000000060.FACILITY</t>
  </si>
  <si>
    <t>Sappi Maastricht BV</t>
  </si>
  <si>
    <t>NL.RIVM/000024302.FACILITY</t>
  </si>
  <si>
    <t>Crown van Gelder B.V.</t>
  </si>
  <si>
    <t>Velsen-Noord</t>
  </si>
  <si>
    <t>UK.SEPA/200000176.Facility</t>
  </si>
  <si>
    <t>Caledonian Paper Mill</t>
  </si>
  <si>
    <t>Irvine</t>
  </si>
  <si>
    <t>UK.SEPA/200000015.Facility</t>
  </si>
  <si>
    <t>Pulp and Board Plant, Cowie</t>
  </si>
  <si>
    <t>Cowie</t>
  </si>
  <si>
    <t>UK.CAED/EW_EA-15375.FACILITY</t>
  </si>
  <si>
    <t>Partington Paper Mill EPR/ZP3736XH</t>
  </si>
  <si>
    <t>Greater Manchester</t>
  </si>
  <si>
    <t>4(e)</t>
  </si>
  <si>
    <t>Installations using a chemical or biological process for the production on an industrial scale of basic pharmaceutical products</t>
  </si>
  <si>
    <t>DK.CAED/000106235.FACILITY</t>
  </si>
  <si>
    <t>LEO PHARMA A/S, Ballerup</t>
  </si>
  <si>
    <t>Ballerup</t>
  </si>
  <si>
    <t>Pharmaceuticals</t>
  </si>
  <si>
    <t>DK.CAED/000110610.FACILITY</t>
  </si>
  <si>
    <t>Xellia Pharmaceuticals ApS</t>
  </si>
  <si>
    <t>København S</t>
  </si>
  <si>
    <t>DK.CAED/000104565.FACILITY</t>
  </si>
  <si>
    <t>H. Lundbeck A/S</t>
  </si>
  <si>
    <t>Nykøbing Sj</t>
  </si>
  <si>
    <t>DK.CAED/000104838.FACILITY</t>
  </si>
  <si>
    <t>Syntese A/S</t>
  </si>
  <si>
    <t>DK.CAED/000082879.FACILITY</t>
  </si>
  <si>
    <t>LEO PHARMA A/S, Esbjerg</t>
  </si>
  <si>
    <t>Esbjerg Ø</t>
  </si>
  <si>
    <t>DK.CAED/000106129.FACILITY</t>
  </si>
  <si>
    <t>ALK-ABELLO A/S</t>
  </si>
  <si>
    <t>DK.CAED/000106227.FACILITY</t>
  </si>
  <si>
    <t>Novo Nordisk A/S Kalundborg</t>
  </si>
  <si>
    <t>https://registry.gdi-de.org/id/de.rp.inspire.pf.bube-eureg/4000095</t>
  </si>
  <si>
    <t>Boehringer Ingelheim Pharma GmbH &amp; Co. KG</t>
  </si>
  <si>
    <t>Ingelheim am Rhein</t>
  </si>
  <si>
    <t>CH.CAED/000000268.Facility</t>
  </si>
  <si>
    <t>LONZA AG</t>
  </si>
  <si>
    <t>CH.CAED/000000016.Facility</t>
  </si>
  <si>
    <t>DSM Nutritional Products AG - Werk Sisseln / Zweigniederlassung Werk Sisseln</t>
  </si>
  <si>
    <t>Sisseln</t>
  </si>
  <si>
    <t>CH.CAED/000000181.Facility</t>
  </si>
  <si>
    <t>Siegfried Evionnaz SA</t>
  </si>
  <si>
    <t>Evionnaz</t>
  </si>
  <si>
    <t>CH.CAED/000000316.Facility</t>
  </si>
  <si>
    <t>OM PHARMA</t>
  </si>
  <si>
    <t>Meyrin / Genève</t>
  </si>
  <si>
    <t>CH.CAED/000000284.Facility</t>
  </si>
  <si>
    <t>Cerbios-Pharma SA</t>
  </si>
  <si>
    <t>Barbengo/Lugano</t>
  </si>
  <si>
    <t>BG.CAED/017000003.FACILITY</t>
  </si>
  <si>
    <t xml:space="preserve">Stomana Industry company for production 
    of ferrous metals </t>
  </si>
  <si>
    <t>Перник</t>
  </si>
  <si>
    <t>CZ.MZP.T802/CZ29145586.FACILITY</t>
  </si>
  <si>
    <t>Provozovna Třinec</t>
  </si>
  <si>
    <t>Třinec</t>
  </si>
  <si>
    <t>CZ.MZP.T806/CZ95150686.FACILITY</t>
  </si>
  <si>
    <t>Liberty Ostrava a.s.</t>
  </si>
  <si>
    <t>Slezská Ostrava</t>
  </si>
  <si>
    <t>http://paikkatiedot.fi/so/1002031/pf/ProductionFacility/0000001913.ProductionFacility</t>
  </si>
  <si>
    <t>SSAB Europe Oy (ent. RUUKKI METALS OY), Raahen terästehdas</t>
  </si>
  <si>
    <t>Raahe</t>
  </si>
  <si>
    <t>http://paikkatiedot.fi/so/1002031/pf/ProductionFacility/0000002110.ProductionFacility</t>
  </si>
  <si>
    <t>Outokumpu Chrome Oy, Outokumpu Stainless Oy, Tornion tehtaat</t>
  </si>
  <si>
    <t>https://registry.gdi-de.org/id/de.ni.mu/01211092310</t>
  </si>
  <si>
    <t>Salzgitter Flachstahl GmbH</t>
  </si>
  <si>
    <t>Salzgitter</t>
  </si>
  <si>
    <t>https://registry.gdi-de.org/id/de.nw.inspire.pf.bube-eureg/arb-2017-112000-100-0077961</t>
  </si>
  <si>
    <t>Hüttenwerke Krupp Mannesmann GmbH</t>
  </si>
  <si>
    <t>https://registry.gdi-de.org/id/de.sl.inspire.pf//0078699-G</t>
  </si>
  <si>
    <t>ROGESA Roheisengesellschaft Saar mbH</t>
  </si>
  <si>
    <t>https://registry.gdi-de.org/id/de.bb.inspire.pf.eureg/23024102</t>
  </si>
  <si>
    <t>ArcelorMittal Eisenhüttenstadt GmbH</t>
  </si>
  <si>
    <t>Eisenhüttenstadt</t>
  </si>
  <si>
    <t>https://registry.gdi-de.org/id/de.nw.inspire.pf.bube-eureg/arb-2017-112000-100-0215455</t>
  </si>
  <si>
    <t>thyssenkrupp Steel Europe AG Werk Hamborn</t>
  </si>
  <si>
    <t>https://registry.gdi-de.org/id/de.nw.inspire.pf.bube-eureg/arb-2017-112000-100-0209707</t>
  </si>
  <si>
    <t>thyssenkrupp Steel Europe AG Werk Beeckerwerth</t>
  </si>
  <si>
    <t>https://registry.gdi-de.org/id/de.nw.inspire.pf.bube-eureg/arb-2017-112000-100-0209697</t>
  </si>
  <si>
    <t>thyssenkrupp Steel Europe AG Werk Bruckhausen</t>
  </si>
  <si>
    <t>https://registry.gdi-de.org/id/de.nw.inspire.pf.bube-eureg/arb-2017-112000-100-0388700</t>
  </si>
  <si>
    <t>DK Recycling und Roheisen GmbH</t>
  </si>
  <si>
    <t>https://registry.gdi-de.org/id/de.nw.inspire.pf.bube-eureg/arb-2017-112000-100-9973329</t>
  </si>
  <si>
    <t>ArcelorMittal Hochfeld GmbH</t>
  </si>
  <si>
    <t>https://registry.gdi-de.org/id/de.ni.mu/10285005160</t>
  </si>
  <si>
    <t>Georgsmarienhütte GmbH</t>
  </si>
  <si>
    <t>Georgsmarienhütte</t>
  </si>
  <si>
    <t>https://registry.gdi-de.org/id/de.bb.inspire.pf.eureg/16018546</t>
  </si>
  <si>
    <t>B.E.S. Brandenburger Elektrostahlwerke GmbH</t>
  </si>
  <si>
    <t>Brandenburg an der Havel</t>
  </si>
  <si>
    <t>https://registry.gdi-de.org/id/de.by.inspire.pf.ied/S01047</t>
  </si>
  <si>
    <t>Lech-Stahlwerke GmbH</t>
  </si>
  <si>
    <t>Meitingen</t>
  </si>
  <si>
    <t>https://registry.gdi-de.org/id/de.ni.mu/01244136460</t>
  </si>
  <si>
    <t>Peiner Träger GmbH</t>
  </si>
  <si>
    <t>Peine</t>
  </si>
  <si>
    <t>NL.RIVM/000023301.FACILITY</t>
  </si>
  <si>
    <t>Tata Steel IJmuiden BV</t>
  </si>
  <si>
    <t>RO.CAED/102GL0001.FACILITY</t>
  </si>
  <si>
    <t>LIBERTY GALATI SA</t>
  </si>
  <si>
    <t>Galati</t>
  </si>
  <si>
    <t>SE.CAED/10014660.Facility</t>
  </si>
  <si>
    <t>SSAB EMEA AB Oxelösund</t>
  </si>
  <si>
    <t>OXELÖSUND</t>
  </si>
  <si>
    <t>SE.CAED/10024561.Facility</t>
  </si>
  <si>
    <t>SSAB EMEA AB i Luleå</t>
  </si>
  <si>
    <t>LULEÅ</t>
  </si>
  <si>
    <t>SE.CAED/10021812.Facility</t>
  </si>
  <si>
    <t>Outokumpu Stainless AB, Avesta</t>
  </si>
  <si>
    <t>AVESTA</t>
  </si>
  <si>
    <t>NO.EEA/192197.FACILITY</t>
  </si>
  <si>
    <t>TiZir Titanium &amp; Iron AS</t>
  </si>
  <si>
    <t>Tyssedal</t>
  </si>
  <si>
    <t>BG.CAED/004000004.FACILITY</t>
  </si>
  <si>
    <t>Cellulose plant Sviloza</t>
  </si>
  <si>
    <t>Свищов</t>
  </si>
  <si>
    <t>https://registry.gdi-de.org/id/de.st.lau.pf.anlagen-ied-euregistry/100276</t>
  </si>
  <si>
    <t>Mercer Stendal GmbH</t>
  </si>
  <si>
    <t>Arneburg</t>
  </si>
  <si>
    <t>SE.CAED/10017446.Facility</t>
  </si>
  <si>
    <t>Nymölla bruk</t>
  </si>
  <si>
    <t>NYMÖLLA</t>
  </si>
  <si>
    <t>UK.CAED/EW_EA-10346.FACILITY</t>
  </si>
  <si>
    <t>Saddlebow Paper Mill</t>
  </si>
  <si>
    <t>Saddlebow</t>
  </si>
  <si>
    <t>BG.CAED/013000002.FACILITY</t>
  </si>
  <si>
    <t>Maritsa East 2 power station</t>
  </si>
  <si>
    <t>Ковачево</t>
  </si>
  <si>
    <t>BG.CAED/013000001.FACILITY</t>
  </si>
  <si>
    <t>Maritsa East 3 Kontur Global power station</t>
  </si>
  <si>
    <t>Медникарово</t>
  </si>
  <si>
    <t>BG.CAED/013000041.FACILITY</t>
  </si>
  <si>
    <t>Maritsa East 1 power station</t>
  </si>
  <si>
    <t>Гълъбово</t>
  </si>
  <si>
    <t>BG.CAED/017000006.FACILITY</t>
  </si>
  <si>
    <t>Bobov dol power station</t>
  </si>
  <si>
    <t>Големо село</t>
  </si>
  <si>
    <t>BG.CAED/012000004.FACILITY</t>
  </si>
  <si>
    <t>Sofia East power station</t>
  </si>
  <si>
    <t>София</t>
  </si>
  <si>
    <t>BG.CAED/012000005.FACILITY</t>
  </si>
  <si>
    <t>Sofia  power station</t>
  </si>
  <si>
    <t>BG.CAED/013000004.FACILITY</t>
  </si>
  <si>
    <t>Brikel power station</t>
  </si>
  <si>
    <t>BG.CAED/010000011.FACILITY</t>
  </si>
  <si>
    <t>Ruse power station</t>
  </si>
  <si>
    <t>Русе</t>
  </si>
  <si>
    <t>BG.CAED/012000011.FACILITY</t>
  </si>
  <si>
    <t>Sofia  Zemliane power station</t>
  </si>
  <si>
    <t>BG.CAED/017000005.FACILITY</t>
  </si>
  <si>
    <t>Republika power station</t>
  </si>
  <si>
    <t>BG.CAED/009000012.FACILITY</t>
  </si>
  <si>
    <t>Plovdiv North power station</t>
  </si>
  <si>
    <t>CY.CAED/0030030000.FACILITY</t>
  </si>
  <si>
    <t>Electricity Authority of Cyprus, Vassilikos Power Station</t>
  </si>
  <si>
    <t>CY.CAED/0020020000.FACILITY</t>
  </si>
  <si>
    <t>Electricity Authority of Cyprus, Dhekelia Power Station</t>
  </si>
  <si>
    <t>CZ.MZP.U424/CZ44746297.FACILITY</t>
  </si>
  <si>
    <t>Elektrárna Počerady</t>
  </si>
  <si>
    <t>Výškov</t>
  </si>
  <si>
    <t>CZ.MZP.U422/CZ49480308.FACILITY</t>
  </si>
  <si>
    <t>Elektrárny Tušimice</t>
  </si>
  <si>
    <t>Kadaň</t>
  </si>
  <si>
    <t>CZ.MZP.U422/CZ34736841.FACILITY</t>
  </si>
  <si>
    <t>Elektrárny Prunéřov</t>
  </si>
  <si>
    <t>CZ.MZP.K413/CZ39774818.FACILITY</t>
  </si>
  <si>
    <t>Sokolovská uhelná,právní nástupce,a.s.-zpracovatelská část</t>
  </si>
  <si>
    <t>Vřesová</t>
  </si>
  <si>
    <t>CZ.MZP.S206/CZ33698019.FACILITY</t>
  </si>
  <si>
    <t>Elektrárna Mělník</t>
  </si>
  <si>
    <t>Horní Počaply</t>
  </si>
  <si>
    <t>CZ.MZP.U426/CZ95978240.FACILITY</t>
  </si>
  <si>
    <t>Elektrárna Ledvice</t>
  </si>
  <si>
    <t>Bílina</t>
  </si>
  <si>
    <t>CZ.MZP.E532/CZ90841608.FACILITY</t>
  </si>
  <si>
    <t>Elektrárna Chvaletice</t>
  </si>
  <si>
    <t>Chvaletice</t>
  </si>
  <si>
    <t>CZ.MZP.T806/CZ01171445.FACILITY</t>
  </si>
  <si>
    <t>Provoz 46 - Teplárna</t>
  </si>
  <si>
    <t>CZ.MZP.T802/CZ10693120.FACILITY</t>
  </si>
  <si>
    <t>Provozy  Teplárny  a  Tepelná  energetika</t>
  </si>
  <si>
    <t>CZ.MZP.E532/CZ66069097.FACILITY</t>
  </si>
  <si>
    <t>Elektrárna Opatovice</t>
  </si>
  <si>
    <t>Opatovice nad Labem</t>
  </si>
  <si>
    <t>CZ.MZP.U424/CZ0117068E.FACILITY</t>
  </si>
  <si>
    <t>Paroplynový zdroj Počerady</t>
  </si>
  <si>
    <t>CZ.MZP.T806/CZ51473353.FACILITY</t>
  </si>
  <si>
    <t>Elektrárna Třebovice</t>
  </si>
  <si>
    <t>Třebovice</t>
  </si>
  <si>
    <t>CZ.MZP.U427/CZ34594641.FACILITY</t>
  </si>
  <si>
    <t>Teplárna Trmice</t>
  </si>
  <si>
    <t>Trmice</t>
  </si>
  <si>
    <t>CZ.MZP.K413/CZ88718507.FACILITY</t>
  </si>
  <si>
    <t>Elektrárna Tisová</t>
  </si>
  <si>
    <t>Březová</t>
  </si>
  <si>
    <t>CZ.MZP.P323/CZ56736663.FACILITY</t>
  </si>
  <si>
    <t>Plzeňská teplárenská, a.s. - areál Teplárna</t>
  </si>
  <si>
    <t>Plzeň 4</t>
  </si>
  <si>
    <t>CZ.MZP.S206/CZ0030745E.FACILITY</t>
  </si>
  <si>
    <t>Teplárna TAMERO INVVEST s.r.o.</t>
  </si>
  <si>
    <t>CZ.MZP.T803/CZ26269297.FACILITY</t>
  </si>
  <si>
    <t>Elektrárna Dětmarovice</t>
  </si>
  <si>
    <t>Dětmarovice</t>
  </si>
  <si>
    <t>CZ.MZP.P323/CZ47150542.FACILITY</t>
  </si>
  <si>
    <t>Teplárna ELÚ III</t>
  </si>
  <si>
    <t>Plzeň 3</t>
  </si>
  <si>
    <t>CZ.MZP.C311/CZ65747796.FACILITY</t>
  </si>
  <si>
    <t>Teplárna České Budějovice-Novohradská ulice</t>
  </si>
  <si>
    <t>České Budějovice</t>
  </si>
  <si>
    <t>CZ.MZP.B642/CZ46810675.FACILITY</t>
  </si>
  <si>
    <t>Teplárny Brno a.s., Provoz Červený Mlýn</t>
  </si>
  <si>
    <t>Brno-Královo Pole</t>
  </si>
  <si>
    <t>CZ.MZP.T806/CZ85250575.FACILITY</t>
  </si>
  <si>
    <t>Teplárna Přívoz</t>
  </si>
  <si>
    <t>CZ.MZP.C317/CZ80135653.FACILITY</t>
  </si>
  <si>
    <t>C-Energy Planá s.r.o.</t>
  </si>
  <si>
    <t>Planá nad Lužnicí</t>
  </si>
  <si>
    <t>CZ.MZP.B642/CZ34883430.FACILITY</t>
  </si>
  <si>
    <t>Teplárny Brno a.s., Provoz Špitálka</t>
  </si>
  <si>
    <t>Brno-střed</t>
  </si>
  <si>
    <t>DK.CAED/000106193.FACILITY</t>
  </si>
  <si>
    <t>Ørsted Bioenergy &amp; Thermal Power A/S,Esbjergværket</t>
  </si>
  <si>
    <t>Esbjerg</t>
  </si>
  <si>
    <t>DK.CAED/000106229.FACILITY</t>
  </si>
  <si>
    <t>Nordjyllandsværket</t>
  </si>
  <si>
    <t>Vodskov</t>
  </si>
  <si>
    <t>DK.CAED/000104665.FACILITY</t>
  </si>
  <si>
    <t>Ørsted Bioenergy &amp; Thermal Power A/S, Studstrupvær</t>
  </si>
  <si>
    <t>Skødstrup</t>
  </si>
  <si>
    <t>DK.CAED/000062156.FACILITY</t>
  </si>
  <si>
    <t>Fjernvarme Fyn Produktion A/S</t>
  </si>
  <si>
    <t>DK.CAED/000082966.FACILITY</t>
  </si>
  <si>
    <t>TOTAL E&amp;P Danmark A/S - Dan F</t>
  </si>
  <si>
    <t>DK.CAED/000199288.FACILITY</t>
  </si>
  <si>
    <t>Kredsløb Halmenergi A/S</t>
  </si>
  <si>
    <t>DK.CAED/000105110.FACILITY</t>
  </si>
  <si>
    <t>TOTAL E&amp;P Danmark A/S - Gorm</t>
  </si>
  <si>
    <t>DK.CAED/000106181.FACILITY</t>
  </si>
  <si>
    <t>Avedøreværket</t>
  </si>
  <si>
    <t>DK.CAED/000105124.FACILITY</t>
  </si>
  <si>
    <t>TOTAL E&amp;P Danmark A/S - Halfdan B</t>
  </si>
  <si>
    <t>DK.CAED/000097993.FACILITY</t>
  </si>
  <si>
    <t>SILKEBORG VARME A/S</t>
  </si>
  <si>
    <t>Silkeborg</t>
  </si>
  <si>
    <t>DK.CAED/000104654.FACILITY</t>
  </si>
  <si>
    <t>TOTAL E&amp;P Danmark A/S - Halfdan D</t>
  </si>
  <si>
    <t>DK.CAED/000071770.FACILITY</t>
  </si>
  <si>
    <t>VIBORG VARME PRODUKTION A/S</t>
  </si>
  <si>
    <t>Viborg</t>
  </si>
  <si>
    <t>DK.CAED/000082929.FACILITY</t>
  </si>
  <si>
    <t>Kyndbyværket</t>
  </si>
  <si>
    <t>Jægerspris</t>
  </si>
  <si>
    <t>DK.CAED/000097307.FACILITY</t>
  </si>
  <si>
    <t>Hillerød Kraftvarmeværk hestehavevej</t>
  </si>
  <si>
    <t>Hillerød</t>
  </si>
  <si>
    <t>DK.CAED/000104564.FACILITY</t>
  </si>
  <si>
    <t>Bornholms El-Produktion  A/S</t>
  </si>
  <si>
    <t>Rønne</t>
  </si>
  <si>
    <t>DK.CAED/000106201.FACILITY</t>
  </si>
  <si>
    <t>H.C. Ørsted  Værket</t>
  </si>
  <si>
    <t>København SV</t>
  </si>
  <si>
    <t>DK.CAED/000104752.FACILITY</t>
  </si>
  <si>
    <t>Svanemølleværket</t>
  </si>
  <si>
    <t>København Ø</t>
  </si>
  <si>
    <t>DK.CAED/000086365.FACILITY</t>
  </si>
  <si>
    <t>DTU Kraftvarmeværk ApS</t>
  </si>
  <si>
    <t>Kongens Lyngby</t>
  </si>
  <si>
    <t>DK.CAED/000098598.FACILITY</t>
  </si>
  <si>
    <t>Nørre Uttrup-Centralen</t>
  </si>
  <si>
    <t>Nørresundby</t>
  </si>
  <si>
    <t>DK.CAED/000106222.FACILITY</t>
  </si>
  <si>
    <t>Ørsted Skærbækværket</t>
  </si>
  <si>
    <t>DK.CAED/000068265.FACILITY</t>
  </si>
  <si>
    <t>DK.CAED/000098592.FACILITY</t>
  </si>
  <si>
    <t>Reservecentral Gasværksvej</t>
  </si>
  <si>
    <t>Aalborg</t>
  </si>
  <si>
    <t>DK.CAED/000082948.FACILITY</t>
  </si>
  <si>
    <t>Ørsted Asnæsværket</t>
  </si>
  <si>
    <t>DK.CAED/000074159.FACILITY</t>
  </si>
  <si>
    <t>Reservecentral Borgmester Jørgensens Vej</t>
  </si>
  <si>
    <t>DK.CAED/000106168.FACILITY</t>
  </si>
  <si>
    <t>TOTAL E&amp;P Danmark A/S - Harald</t>
  </si>
  <si>
    <t>DK.CAED/000082980.FACILITY</t>
  </si>
  <si>
    <t>Verdo Produktion A/S</t>
  </si>
  <si>
    <t>Randers NØ</t>
  </si>
  <si>
    <t>DK.CAED/000103549.FACILITY</t>
  </si>
  <si>
    <t>Svendborgvej Varmecentral</t>
  </si>
  <si>
    <t>DK.CAED/000104576.FACILITY</t>
  </si>
  <si>
    <t>TOTAL E&amp;P Danmark A/S - Tyra E</t>
  </si>
  <si>
    <t>EE.KAUR.TTR/75.FACILITY</t>
  </si>
  <si>
    <t>Enefit Power AS, Eesti elektrijaam</t>
  </si>
  <si>
    <t>EE.KAUR.TTR/41.FACILITY</t>
  </si>
  <si>
    <t>VKG Energia OÜ, Kohtla-Järve Põhja soojuselektrijaam</t>
  </si>
  <si>
    <t>EE.KAUR.TTR/30.FACILITY</t>
  </si>
  <si>
    <t>Enefit Green AS, Iru elektrijaam</t>
  </si>
  <si>
    <t>Maardu linn</t>
  </si>
  <si>
    <t>http://paikkatiedot.fi/so/1002031/pf/ProductionFacility/0100239774.ProductionFacility</t>
  </si>
  <si>
    <t>Raahen Voima Oy, Energiantuotanto</t>
  </si>
  <si>
    <t>http://paikkatiedot.fi/so/1002031/pf/ProductionFacility/0000001172.ProductionFacility</t>
  </si>
  <si>
    <t>Helen Oy, Hanasaari B -voimalaitos</t>
  </si>
  <si>
    <t>http://paikkatiedot.fi/so/1002031/pf/ProductionFacility/0000001115.ProductionFacility</t>
  </si>
  <si>
    <t>Fortum Power and Heat Oy, Suomenojan voimalaitos</t>
  </si>
  <si>
    <t>http://paikkatiedot.fi/so/1002031/pf/ProductionFacility/0100198201.ProductionFacility</t>
  </si>
  <si>
    <t>Alva-yhtiöt Oy, Jyväskylän Voima Oy, Keljonlahden voimalaitos</t>
  </si>
  <si>
    <t>Jyväskylä</t>
  </si>
  <si>
    <t>http://paikkatiedot.fi/so/1002031/pf/ProductionFacility/0000001862.ProductionFacility</t>
  </si>
  <si>
    <t>Fortum Power and Heat Oy, Meri-Porin voimalaitos</t>
  </si>
  <si>
    <t>http://paikkatiedot.fi/so/1002031/pf/ProductionFacility/0000011323.ProductionFacility</t>
  </si>
  <si>
    <t>Helen Oy, Vuosaaren voimalaitokset</t>
  </si>
  <si>
    <t>https://registry.gdi-de.org/id/de.nw.inspire.pf.bube-eureg/arb-2017-162008-100-0248923</t>
  </si>
  <si>
    <t>RWE Power AG - Kraftwerk Neurath</t>
  </si>
  <si>
    <t>Grevenbroich</t>
  </si>
  <si>
    <t>https://registry.gdi-de.org/id/de.sn.sax4inspire.pf/70015796</t>
  </si>
  <si>
    <t>Kraftwerk Boxberg</t>
  </si>
  <si>
    <t>Boxberg/O.L.</t>
  </si>
  <si>
    <t>https://registry.gdi-de.org/id/de.nw.inspire.pf.bube-eureg/arb-2017-362008-300-0326774</t>
  </si>
  <si>
    <t>RWE Power AG Kraftwerk Niederaußem</t>
  </si>
  <si>
    <t>https://registry.gdi-de.org/id/de.bb.inspire.pf.eureg/45025564</t>
  </si>
  <si>
    <t>LEAG, Kraftwerk Jänschwalde</t>
  </si>
  <si>
    <t>Teichland</t>
  </si>
  <si>
    <t>https://registry.gdi-de.org/id/de.nw.inspire.pf.bube-eureg/arb-2017-354012-300-0877384</t>
  </si>
  <si>
    <t>RWE Power AG</t>
  </si>
  <si>
    <t>https://registry.gdi-de.org/id/de.sn.sax4inspire.pf/80011277</t>
  </si>
  <si>
    <t>LEAG Lausitz Energie Kraftwerke AG  Kraftwerk Lippendorf</t>
  </si>
  <si>
    <t>Neukieritzsch</t>
  </si>
  <si>
    <t>https://registry.gdi-de.org/id/de.bb.inspire.pf.eureg/45025611</t>
  </si>
  <si>
    <t>LEAG, Kraftwerk Schwarze Pumpe</t>
  </si>
  <si>
    <t>Spremberg</t>
  </si>
  <si>
    <t>https://registry.gdi-de.org/id/de.bw.lubw.inspire.pf//pf-450-2948214-00000000</t>
  </si>
  <si>
    <t>GKM Grosskraftwerk Mannheim AG</t>
  </si>
  <si>
    <t>Mannheim</t>
  </si>
  <si>
    <t>https://registry.gdi-de.org/id/de.bw.lubw.inspire.pf//pf-450-2797933-00000000</t>
  </si>
  <si>
    <t>EnBW Energie Baden-Württemberg AG (RDK)</t>
  </si>
  <si>
    <t>https://registry.gdi-de.org/id/de.st.lau.pf.anlagen-ied-euregistry/100125</t>
  </si>
  <si>
    <t>Saale Energie GmbH</t>
  </si>
  <si>
    <t>https://registry.gdi-de.org/id/de.nw.inspire.pf.bube-eureg/arb-2017-112000-100-0008504</t>
  </si>
  <si>
    <t>thyssenkrupp Steel Europe AG Kraftwerk Hamborn</t>
  </si>
  <si>
    <t>https://registry.gdi-de.org/id/de.nw.inspire.pf.bube-eureg/arb-2018-562008-500-0915123</t>
  </si>
  <si>
    <t>Uniper Kraftwerke GmbH Kraftwerk Datteln IV</t>
  </si>
  <si>
    <t>Datteln</t>
  </si>
  <si>
    <t>https://registry.gdi-de.org/id/de.nw.inspire.pf.bube-eureg/arb-2017-513000-500-0342658</t>
  </si>
  <si>
    <t>Uniper Kraftwerk Scholven</t>
  </si>
  <si>
    <t>https://registry.gdi-de.org/id/de.nw.inspire.pf.bube-eureg/arb-2017-978024-900-9141660</t>
  </si>
  <si>
    <t>Trianel Kohlekraftwerk Lünen GmbH &amp; Co. KG</t>
  </si>
  <si>
    <t>https://registry.gdi-de.org/id/de.nw.inspire.pf.bube-eureg/arb-2017-112000-100-0220947</t>
  </si>
  <si>
    <t>Hüttenwerke Krupp Mannesmann GmbH KW Huckingen</t>
  </si>
  <si>
    <t>https://registry.gdi-de.org/id/de.nw.inspire.pf.bube-eureg/arb-2017-112000-100-0365906</t>
  </si>
  <si>
    <t>STEAG Power GmbH</t>
  </si>
  <si>
    <t>https://registry.gdi-de.org/id/de.hb//de.hb.pf.bube-eureg.06-04-11/2001178/8/2</t>
  </si>
  <si>
    <t>ArcelorMittal Bremen GmbH / Kraftwerk Mittelsbüren / Block 4</t>
  </si>
  <si>
    <t>https://registry.gdi-de.org/id/de.nw.inspire.pf.bube-eureg/arb-2017-112000-100-0431367</t>
  </si>
  <si>
    <t>thyssenkrupp Steel Europe AG Werk Ruhrort</t>
  </si>
  <si>
    <t>https://registry.gdi-de.org/id/de.he.0945.de7.pf.eu_industrie/30001045</t>
  </si>
  <si>
    <t>Uniper Kraftwerk Staudinger</t>
  </si>
  <si>
    <t>Großkrotzenburg</t>
  </si>
  <si>
    <t>https://registry.gdi-de.org/id/de.nw.inspire.pf.bube-eureg/arb-2017-978004-900-0205103</t>
  </si>
  <si>
    <t>STEAG Power GmbH Kraftwerk Bergkamen</t>
  </si>
  <si>
    <t>https://registry.gdi-de.org/id/de.bw.lubw.inspire.pf//pf-450-1020129-00000000</t>
  </si>
  <si>
    <t>EnBW HKW Heilbronn</t>
  </si>
  <si>
    <t>Heilbronn</t>
  </si>
  <si>
    <t>https://registry.gdi-de.org/id/de.ni.mu/01241117210</t>
  </si>
  <si>
    <t>Volkswagen AG Werk Wolfsburg</t>
  </si>
  <si>
    <t>Wolfsburg</t>
  </si>
  <si>
    <t>https://registry.gdi-de.org/id/de.bb.inspire.pf.eureg/23023645</t>
  </si>
  <si>
    <t>VEO Vulkan-Energiewirtschaft - Oderbrücke GmbH</t>
  </si>
  <si>
    <t>https://registry.gdi-de.org/id/de.by.inspire.pf.ied/S00041</t>
  </si>
  <si>
    <t>SWM Heizkraftwerk Nord</t>
  </si>
  <si>
    <t>Unterföhring</t>
  </si>
  <si>
    <t>https://registry.gdi-de.org/id/de.mv.land.inspire.pf.bube/30000226</t>
  </si>
  <si>
    <t>KNG Kraftwerks- und Netzgesellschaft mbH Kraftwerk Rostock</t>
  </si>
  <si>
    <t>Rostock</t>
  </si>
  <si>
    <t>https://registry.gdi-de.org/id/de.ni.mu/06060316030</t>
  </si>
  <si>
    <t>GKH - Gemeinschaftskraftwerk Hannover GmbH</t>
  </si>
  <si>
    <t>https://registry.gdi-de.org/id/de.ni.mu/09000237910</t>
  </si>
  <si>
    <t>Onyx Kraftwerk Wilhelmshaven GmbH &amp; Co. KG</t>
  </si>
  <si>
    <t>https://registry.gdi-de.org/id/de.nw.inspire.pf.bube-eureg/arb-2017-916000-900-0327252</t>
  </si>
  <si>
    <t>STEAG GmbH</t>
  </si>
  <si>
    <t>Herne</t>
  </si>
  <si>
    <t>https://registry.gdi-de.org/id/de.be.pf.lisa/166928</t>
  </si>
  <si>
    <t>Vattenfall Wärme Berlin AG HKW Reuter-West</t>
  </si>
  <si>
    <t>Berlin</t>
  </si>
  <si>
    <t>https://registry.gdi-de.org/id/de.bw.lubw.inspire.pf//pf-450-1741292-00000000</t>
  </si>
  <si>
    <t>EnBW HKW Altbach</t>
  </si>
  <si>
    <t>Altbach</t>
  </si>
  <si>
    <t>https://registry.gdi-de.org/id/de.by.inspire.pf.ied/S00009</t>
  </si>
  <si>
    <t>Onyx Kraftwerk Zolling GmbH &amp; Co. KGaA</t>
  </si>
  <si>
    <t>Zolling</t>
  </si>
  <si>
    <t>https://registry.gdi-de.org/id/de.nw.inspire.pf.bube-eureg/arb-2017-770028-700-0105516</t>
  </si>
  <si>
    <t>Uniper Kraftwerke GmbH Kraftwerk Heyden</t>
  </si>
  <si>
    <t>Petershagen</t>
  </si>
  <si>
    <t>https://registry.gdi-de.org/id/de.ni.mu/10257673950</t>
  </si>
  <si>
    <t>RWE Generation SE Gaskraftwerk Emsland</t>
  </si>
  <si>
    <t>https://registry.gdi-de.org/id/de.sh//50083712</t>
  </si>
  <si>
    <t>Hamburger Energiewerke GmbH</t>
  </si>
  <si>
    <t>Wedel</t>
  </si>
  <si>
    <t>https://registry.gdi-de.org/id/de.hb//de.hb.pf.bube-eureg.06-04-11/2039669/2/0</t>
  </si>
  <si>
    <t>Onyx Kraftwerk Farge GmbH &amp; Co. KGaA</t>
  </si>
  <si>
    <t>https://registry.gdi-de.org/id/de.hh/pf.bube-eureg_/3277</t>
  </si>
  <si>
    <t>Hamburger Energiewerke GmbH Heizkraftwerk Tiefstack</t>
  </si>
  <si>
    <t>https://registry.gdi-de.org/id/de.sn.sax4inspire.pf/60015149</t>
  </si>
  <si>
    <t>Heizkraftwerk Nord II</t>
  </si>
  <si>
    <t>Chemnitz</t>
  </si>
  <si>
    <t>https://registry.gdi-de.org/id/de.by.inspire.pf.ied/S00048</t>
  </si>
  <si>
    <t>Uniper Kraftwerke GmbH, Kraftwerk Irsching</t>
  </si>
  <si>
    <t>https://registry.gdi-de.org/id/de.sl.inspire.pf//0101000-G</t>
  </si>
  <si>
    <t>Kraftwerk Fenne</t>
  </si>
  <si>
    <t>Völklingen</t>
  </si>
  <si>
    <t>https://registry.gdi-de.org/id/de.sl.inspire.pf//0107401-G</t>
  </si>
  <si>
    <t>GKW -Gichtgaskraftwerk Dillingen GmbH &amp; Co. KG</t>
  </si>
  <si>
    <t>https://registry.gdi-de.org/id/de.ni.mu/01010098080</t>
  </si>
  <si>
    <t>Kraftwerk Mehrum GmbH</t>
  </si>
  <si>
    <t>Hohenhameln</t>
  </si>
  <si>
    <t>https://registry.gdi-de.org/id/de.nw.inspire.pf.bube-eureg/arb-2017-162004-300-9002708</t>
  </si>
  <si>
    <t>RWE Generation SE GuD-Anlage</t>
  </si>
  <si>
    <t>Dormagen</t>
  </si>
  <si>
    <t>https://registry.gdi-de.org/id/de.st.lau.pf.anlagen-ied-euregistry/100030</t>
  </si>
  <si>
    <t>RKB Raffinerie-Kraftwerks Betriebs GmbH</t>
  </si>
  <si>
    <t>https://registry.gdi-de.org/id/de.nw.inspire.pf.bube-eureg/arb-2017-111000-100-0167182</t>
  </si>
  <si>
    <t>Stadtwerke Düsseldorf AG</t>
  </si>
  <si>
    <t>Düsseldorf</t>
  </si>
  <si>
    <t>https://registry.gdi-de.org/id/de.he.0945.de7.pf.eu_industrie/30000036</t>
  </si>
  <si>
    <t>Mainova, HKW West</t>
  </si>
  <si>
    <t>https://registry.gdi-de.org/id/de.nw.inspire.pf.bube-eureg/arb-2017-316000-300-9046797</t>
  </si>
  <si>
    <t>CURRENTA GmbH &amp; Co. OHG</t>
  </si>
  <si>
    <t>https://registry.gdi-de.org/id/de.sl.inspire.pf//0100999-G</t>
  </si>
  <si>
    <t>Kraftwerk Bexbach</t>
  </si>
  <si>
    <t>Bexbach</t>
  </si>
  <si>
    <t>https://registry.gdi-de.org/id/de.nw.inspire.pf.bube-eureg/arb-2017-114000-100-9021016</t>
  </si>
  <si>
    <t>https://registry.gdi-de.org/id/de.be.pf.lisa/172656</t>
  </si>
  <si>
    <t>Vattenfall  Wärme Berlin AG  HKW Marzahn</t>
  </si>
  <si>
    <t>https://registry.gdi-de.org/id/de.hb//de.hb.pf.bube-eureg.06-04-11/2001178/8/0</t>
  </si>
  <si>
    <t>swb Erzeugung AG &amp; Co. KG / Heizkraftwerk Hastedt</t>
  </si>
  <si>
    <t>https://registry.gdi-de.org/id/de.be.pf.lisa/172654</t>
  </si>
  <si>
    <t>Vattenfall Wärme Berlin AG  HKW Mitte</t>
  </si>
  <si>
    <t>https://registry.gdi-de.org/id/de.sn.sax4inspire.pf/70015868</t>
  </si>
  <si>
    <t>DREWAG Gasturbinen-Heizkraftwerk Nossener Brücke</t>
  </si>
  <si>
    <t>Dresden</t>
  </si>
  <si>
    <t>https://registry.gdi-de.org/id/de.rp.inspire.pf.bube-eureg/4000021</t>
  </si>
  <si>
    <t>Kraftwerke Mainz-Wiesbaden AG</t>
  </si>
  <si>
    <t>https://registry.gdi-de.org/id/de.sh//50082038</t>
  </si>
  <si>
    <t>Stadtwerke Flensburg GmbH</t>
  </si>
  <si>
    <t>Flensburg</t>
  </si>
  <si>
    <t>https://registry.gdi-de.org/id/de.ni.mu/01010157480</t>
  </si>
  <si>
    <t>Braunschweiger Versorgungs AG &amp; Co. KG, Heizkraftwerk Mitte</t>
  </si>
  <si>
    <t>Braunschweig</t>
  </si>
  <si>
    <t>https://registry.gdi-de.org/id/de.nw.inspire.pf.bube-eureg/arb-2017-915000-900-9140178</t>
  </si>
  <si>
    <t>Trianel Gaskraftwerk Hamm GmbH &amp; Co. KG</t>
  </si>
  <si>
    <t>Hamm</t>
  </si>
  <si>
    <t>https://registry.gdi-de.org/id/de.be.pf.lisa/234566</t>
  </si>
  <si>
    <t>Vattenfall Wärme  Berlin AG  GuD HKW Lichterfelde</t>
  </si>
  <si>
    <t>https://registry.gdi-de.org/id/de.by.inspire.pf.ied/S00044</t>
  </si>
  <si>
    <t>SWM Heizkraftwerk Süd</t>
  </si>
  <si>
    <t>München</t>
  </si>
  <si>
    <t>https://registry.gdi-de.org/id/de.nw.inspire.pf.bube-eureg/arb-2022-916000-900-0011514</t>
  </si>
  <si>
    <t>GuD Herne GmbH</t>
  </si>
  <si>
    <t>https://registry.gdi-de.org/id/de.be.pf.lisa/169709</t>
  </si>
  <si>
    <t>Vattenfall Wärme Berlin AG HKW Klingenberg</t>
  </si>
  <si>
    <t>https://registry.gdi-de.org/id/de.be.pf.lisa/173145</t>
  </si>
  <si>
    <t>Vattenfall  Wärme Berlin AG  HKW Moabit</t>
  </si>
  <si>
    <t>https://registry.gdi-de.org/id/de.st.lau.pf.anlagen-ied-euregistry/101086</t>
  </si>
  <si>
    <t>CIECH Energy Deutschland GmbH</t>
  </si>
  <si>
    <t>https://registry.gdi-de.org/id/de.by.inspire.pf.ied/S00719</t>
  </si>
  <si>
    <t>N-ERGIE Kraftwerke GmbH, Heizkraftwerke Sandreuth</t>
  </si>
  <si>
    <t>Nürnberg</t>
  </si>
  <si>
    <t>https://registry.gdi-de.org/id/de.nw.inspire.pf.bube-eureg/arb-2017-315000-300-0923949</t>
  </si>
  <si>
    <t>RheinEnergie AG</t>
  </si>
  <si>
    <t>https://registry.gdi-de.org/id/de.nw.inspire.pf.bube-eureg/arb-2017-954020-900-0125939</t>
  </si>
  <si>
    <t>Mark-E Aktiengesellschaft Cuno Heizkraftwerk</t>
  </si>
  <si>
    <t>Herdecke</t>
  </si>
  <si>
    <t>https://registry.gdi-de.org/id/de.st.lau.pf.anlagen-ied-euregistry/100876</t>
  </si>
  <si>
    <t>IKW Wählitz</t>
  </si>
  <si>
    <t>Hohenmölsen</t>
  </si>
  <si>
    <t>https://registry.gdi-de.org/id/de.sl.inspire.pf//0101003-G</t>
  </si>
  <si>
    <t>Kraftwerk Weiher</t>
  </si>
  <si>
    <t>Quierschied</t>
  </si>
  <si>
    <t>https://registry.gdi-de.org/id/de.nw.inspire.pf.bube-eureg/arb-2017-111000-100-0036701</t>
  </si>
  <si>
    <t>Henkel AG &amp; Co. KGaA</t>
  </si>
  <si>
    <t>https://registry.gdi-de.org/id/de.sh//10030084</t>
  </si>
  <si>
    <t>Steinbeis Energie GmbH</t>
  </si>
  <si>
    <t>Glückstadt</t>
  </si>
  <si>
    <t>https://registry.gdi-de.org/id/de.th/5bf25e39-19d5-4254-adac-63f1b1cec499/30013152</t>
  </si>
  <si>
    <t>Stadtwerke Erfurt / HKW Ost</t>
  </si>
  <si>
    <t>Erfurt</t>
  </si>
  <si>
    <t>https://registry.gdi-de.org/id/de.st.lau.pf.anlagen-ied-euregistry/101071</t>
  </si>
  <si>
    <t>SOLVAY Chemicals GmbH</t>
  </si>
  <si>
    <t>Bernburg</t>
  </si>
  <si>
    <t>https://registry.gdi-de.org/id/de.nw.inspire.pf.bube-eureg/arb-2017-112000-100-0229264</t>
  </si>
  <si>
    <t>Stadtwerke Duisburg AG</t>
  </si>
  <si>
    <t>https://registry.gdi-de.org/id/de.nw.inspire.pf.bube-eureg/arb-2017-362028-300-9046030</t>
  </si>
  <si>
    <t>Knapsack Power GmbH &amp; Co. KG</t>
  </si>
  <si>
    <t>https://registry.gdi-de.org/id/de.by.inspire.pf.ied/S00842</t>
  </si>
  <si>
    <t>GKS, Müllheizkraftwerk Schweinfurt</t>
  </si>
  <si>
    <t>Schweinfurt</t>
  </si>
  <si>
    <t>https://registry.gdi-de.org/id/de.by.inspire.pf.ied/S00925</t>
  </si>
  <si>
    <t>Kraftwerk Obernburg GmbH</t>
  </si>
  <si>
    <t>Erlenbach a.Main</t>
  </si>
  <si>
    <t>https://registry.gdi-de.org/id/de.bb.inspire.pf.eureg/16018798</t>
  </si>
  <si>
    <t>Uniper Kraftwerke GmbH</t>
  </si>
  <si>
    <t>https://registry.gdi-de.org/id/de.he.0945.de7.pf.eu_industrie/80000333</t>
  </si>
  <si>
    <t>InfraServ (Kalle-Albert)</t>
  </si>
  <si>
    <t>https://registry.gdi-de.org/id/de.mv.land.inspire.pf.bube/30000298</t>
  </si>
  <si>
    <t>Stadtwerke Rostock AG</t>
  </si>
  <si>
    <t>https://registry.gdi-de.org/id/de.ni.mu/06060117340</t>
  </si>
  <si>
    <t>enercity AG Heizkraftwerk Linden</t>
  </si>
  <si>
    <t>https://registry.gdi-de.org/id/de.he.0945.de7.pf.eu_industrie/50000213</t>
  </si>
  <si>
    <t>VW Kraftwerk GmbH, HKW Baunatal</t>
  </si>
  <si>
    <t>Baunatal</t>
  </si>
  <si>
    <t>https://registry.gdi-de.org/id/de.by.inspire.pf.ied/S00311</t>
  </si>
  <si>
    <t>Kraftwerk Plattling GmbH, Industriekraftwerk Plattling</t>
  </si>
  <si>
    <t>https://registry.gdi-de.org/id/de.st.lau.pf.anlagen-ied-euregistry/100032</t>
  </si>
  <si>
    <t>InfraLeuna GmbH WT 1</t>
  </si>
  <si>
    <t>https://registry.gdi-de.org/id/de.bw.lubw.inspire.pf//pf-450-3042693-00000000</t>
  </si>
  <si>
    <t>Heizkraftwerk Pforzheim</t>
  </si>
  <si>
    <t>Pforzheim</t>
  </si>
  <si>
    <t>https://registry.gdi-de.org/id/de.he.0945.de7.pf.eu_industrie/30000963</t>
  </si>
  <si>
    <t>EVO - Heizkraftwerk Offenbach</t>
  </si>
  <si>
    <t>Offenbach a. M., St.</t>
  </si>
  <si>
    <t>https://registry.gdi-de.org/id/de.nw.inspire.pf.bube-eureg/arb-2017-362028-300-9975553</t>
  </si>
  <si>
    <t>Statkraft Markets GmbH</t>
  </si>
  <si>
    <t>https://registry.gdi-de.org/id/de.st.lau.pf.anlagen-ied-euregistry/100419</t>
  </si>
  <si>
    <t>EVH GmbH, Dieselstr.</t>
  </si>
  <si>
    <t>Halle (Saale)</t>
  </si>
  <si>
    <t>https://registry.gdi-de.org/id/de.sn.sax4inspire.pf/80011256</t>
  </si>
  <si>
    <t>Stadtwerke Leipzig GmbH, HKW Leipzig Nord</t>
  </si>
  <si>
    <t>Leipzig</t>
  </si>
  <si>
    <t>https://registry.gdi-de.org/id/de.hb//de.hb.pf.bube-eureg.06-04-11/2000122/0/0</t>
  </si>
  <si>
    <t>Ingaver GmbH</t>
  </si>
  <si>
    <t>https://registry.gdi-de.org/id/de.nw.inspire.pf.bube-eureg/arb-2017-515000-500-0221194</t>
  </si>
  <si>
    <t>Stadtwerke Münster GmbH</t>
  </si>
  <si>
    <t>Münster</t>
  </si>
  <si>
    <t>https://registry.gdi-de.org/id/de.by.inspire.pf.ied/S00104</t>
  </si>
  <si>
    <t>InfraServ GmbH &amp; Co. Gendorf KG</t>
  </si>
  <si>
    <t>Burgkirchen a.d.Alz</t>
  </si>
  <si>
    <t>https://registry.gdi-de.org/id/de.bw.lubw.inspire.pf//pf-450-9840001-00000000</t>
  </si>
  <si>
    <t>Wärmeverbundkraftwerk Freiburg GmbH</t>
  </si>
  <si>
    <t>Freiburg im Breisgau</t>
  </si>
  <si>
    <t>https://registry.gdi-de.org/id/de.th/5bf25e39-19d5-4254-adac-63f1b1cec499/72012874</t>
  </si>
  <si>
    <t>Heizkraftwerk Jena Süd</t>
  </si>
  <si>
    <t>Jena</t>
  </si>
  <si>
    <t>https://registry.gdi-de.org/id/de.bb.inspire.pf.eureg/23019618</t>
  </si>
  <si>
    <t>1Heiz Energie GmbH Binnenhafen Eberswalde</t>
  </si>
  <si>
    <t>Eberswalde</t>
  </si>
  <si>
    <t>https://registry.gdi-de.org/id/de.bb.inspire.pf.eureg/23022811</t>
  </si>
  <si>
    <t>Stadtwerke Frankfurt (Oder) GmbH</t>
  </si>
  <si>
    <t>Frankfurt (Oder)</t>
  </si>
  <si>
    <t>https://registry.gdi-de.org/id/de.sl.inspire.pf//0105352-G</t>
  </si>
  <si>
    <t>Energie SaarLorLux AG Heizkraftwerk Römerbrücke</t>
  </si>
  <si>
    <t>https://registry.gdi-de.org/id/de.sn.sax4inspire.pf/70015792</t>
  </si>
  <si>
    <t>Sachsenmilch Leppersdorf GmbH</t>
  </si>
  <si>
    <t>Wachau</t>
  </si>
  <si>
    <t>https://registry.gdi-de.org/id/de.ni.mu/10100029340</t>
  </si>
  <si>
    <t>KÄMMERER Energie GmbH</t>
  </si>
  <si>
    <t>Osnabrück</t>
  </si>
  <si>
    <t>https://registry.gdi-de.org/id/de.by.inspire.pf.ied/S00845</t>
  </si>
  <si>
    <t>Heizkraftwerk an der Friedensbrücke</t>
  </si>
  <si>
    <t>Würzburg</t>
  </si>
  <si>
    <t>https://registry.gdi-de.org/id/de.bw.lubw.inspire.pf//pf-450-2142201-00000000</t>
  </si>
  <si>
    <t>EnBW KW Walheim</t>
  </si>
  <si>
    <t>Walheim</t>
  </si>
  <si>
    <t>https://registry.gdi-de.org/id/de.by.inspire.pf.ied/S00007</t>
  </si>
  <si>
    <t>Biomasseheizkraftwerk Zolling GmbH</t>
  </si>
  <si>
    <t>https://registry.gdi-de.org/id/de.nw.inspire.pf.bube-eureg/arb-2017-162004-300-9046923</t>
  </si>
  <si>
    <t>https://registry.gdi-de.org/id/de.st.lau.pf.anlagen-ied-euregistry/100674</t>
  </si>
  <si>
    <t>Pfeifer &amp; Langen GmbH &amp; Co. KG, Werk Könnern</t>
  </si>
  <si>
    <t>Könnern</t>
  </si>
  <si>
    <t>https://registry.gdi-de.org/id/de.st.lau.pf.anlagen-ied-euregistry/101049</t>
  </si>
  <si>
    <t>Stadtwerke Leipzig GmbH</t>
  </si>
  <si>
    <t>Lutherstadt Wittenberg</t>
  </si>
  <si>
    <t>https://registry.gdi-de.org/id/de.th/5bf25e39-19d5-4254-adac-63f1b1cec499/77012924</t>
  </si>
  <si>
    <t>Biomassekraftwerk Bischofferode/Holungen</t>
  </si>
  <si>
    <t>Sonnenstein</t>
  </si>
  <si>
    <t>https://registry.gdi-de.org/id/de.nw.inspire.pf.bube-eureg/arb-2017-314000-300-0838652</t>
  </si>
  <si>
    <t>Energie- und Wasserversorgung Bonn/Rhein-Sieg GmbH</t>
  </si>
  <si>
    <t>Bonn</t>
  </si>
  <si>
    <t>https://registry.gdi-de.org/id/de.sn.sax4inspire.pf/70015959</t>
  </si>
  <si>
    <t>DREWAG AMD EVC 2 EnergyCenter Wilschdorf</t>
  </si>
  <si>
    <t>Moritzburg</t>
  </si>
  <si>
    <t>https://registry.gdi-de.org/id/de.rp.inspire.pf.bube-eureg/5001005</t>
  </si>
  <si>
    <t>Palm Power GmbH &amp; Co. KG</t>
  </si>
  <si>
    <t>Wörth am Rhein</t>
  </si>
  <si>
    <t>https://registry.gdi-de.org/id/de.mv.land.inspire.pf.bube/50000071</t>
  </si>
  <si>
    <t>Heizkraftwerk GuD</t>
  </si>
  <si>
    <t>Neubrandenburg</t>
  </si>
  <si>
    <t>https://registry.gdi-de.org/id/de.bw.lubw.inspire.pf//pf-450-80920445-00000000</t>
  </si>
  <si>
    <t>Palm Power GmbH Co. KG</t>
  </si>
  <si>
    <t>Aalen</t>
  </si>
  <si>
    <t>https://registry.gdi-de.org/id/de.nw.inspire.pf.bube-eureg/arb-2017-978040-900-0220187</t>
  </si>
  <si>
    <t>Open Grid Europe Erdgasverdichterstation Werne</t>
  </si>
  <si>
    <t>Werne</t>
  </si>
  <si>
    <t>https://registry.gdi-de.org/id/de.th/5bf25e39-19d5-4254-adac-63f1b1cec499/86012942</t>
  </si>
  <si>
    <t>TWS Thüringer Wärme Service GmbH</t>
  </si>
  <si>
    <t>Rudolstadt</t>
  </si>
  <si>
    <t>https://registry.gdi-de.org/id/de.he.0945.de7.pf.eu_industrie/30000030</t>
  </si>
  <si>
    <t>Mainova, HKW Niederrad</t>
  </si>
  <si>
    <t>https://registry.gdi-de.org/id/de.sn.sax4inspire.pf/70015926</t>
  </si>
  <si>
    <t>EVC Dresden-Wilschdorf /Reichenberg</t>
  </si>
  <si>
    <t>https://registry.gdi-de.org/id/de.by.inspire.pf.ied/S00045</t>
  </si>
  <si>
    <t>SWM Heizkraftwerk Freimann</t>
  </si>
  <si>
    <t>https://registry.gdi-de.org/id/de.sl.inspire.pf//0105354-G</t>
  </si>
  <si>
    <t>Gas- und Dampfturbinenanlage Gas- und Dampfturbinenanlage Südraum</t>
  </si>
  <si>
    <t>https://registry.gdi-de.org/id/de.by.inspire.pf.ied/S00708</t>
  </si>
  <si>
    <t>Heizkraftwerk Erlangen</t>
  </si>
  <si>
    <t>Erlangen</t>
  </si>
  <si>
    <t>https://registry.gdi-de.org/id/de.nw.inspire.pf.bube-eureg/arb-2017-711000-700-9073508</t>
  </si>
  <si>
    <t>Stadtwerke Bielefeld GmbH</t>
  </si>
  <si>
    <t>Bielefeld</t>
  </si>
  <si>
    <t>https://registry.gdi-de.org/id/de.by.inspire.pf.ied/S00727</t>
  </si>
  <si>
    <t>Uniper Kraftwerke GmbH, Kraftwerk Franken I</t>
  </si>
  <si>
    <t>https://registry.gdi-de.org/id/de.by.inspire.pf.ied/S00233</t>
  </si>
  <si>
    <t>HBB Heizkraftwerk Bauernfeind Betreibergesellschaft mbH</t>
  </si>
  <si>
    <t>Raubling</t>
  </si>
  <si>
    <t>https://registry.gdi-de.org/id/de.sn.sax4inspire.pf/70015917</t>
  </si>
  <si>
    <t>DREWAG HKW Dresden-Reick</t>
  </si>
  <si>
    <t>https://registry.gdi-de.org/id/de.bw.lubw.inspire.pf//pf-450-34064722-00000000</t>
  </si>
  <si>
    <t>Kraftwerk Grenzach-Wyhlen</t>
  </si>
  <si>
    <t>Grenzach-Wyhlen</t>
  </si>
  <si>
    <t>https://registry.gdi-de.org/id/de.rp.inspire.pf.bube-eureg/5000031</t>
  </si>
  <si>
    <t>SWK Stadtwerke Kaiserslautern Versorgung s-AG</t>
  </si>
  <si>
    <t>Kaiserslautern</t>
  </si>
  <si>
    <t>https://registry.gdi-de.org/id/de.st.lau.pf.anlagen-ied-euregistry/102693</t>
  </si>
  <si>
    <t>Progroup Paper PM3 GmbH</t>
  </si>
  <si>
    <t>Sandersdorf-Brehna</t>
  </si>
  <si>
    <t>IE.CAED/P0605.FACILITY</t>
  </si>
  <si>
    <t>Electricity Supply Board (Moneypoint)</t>
  </si>
  <si>
    <t>Clare</t>
  </si>
  <si>
    <t>IE.CAED/P0830.FACILITY</t>
  </si>
  <si>
    <t>Bord Gais Energy Ltd</t>
  </si>
  <si>
    <t>IE.CAED/P0777.FACILITY</t>
  </si>
  <si>
    <t>Energia Power Generation Limited</t>
  </si>
  <si>
    <t>Dublin</t>
  </si>
  <si>
    <t>IE.CAED/P0483.FACILITY</t>
  </si>
  <si>
    <t>Huntstown Power Company Limited</t>
  </si>
  <si>
    <t>IE.CAED/P0561.FACILITY</t>
  </si>
  <si>
    <t>Electricity Supply Board (Aghada)</t>
  </si>
  <si>
    <t>IE.CAED/P0486.FACILITY</t>
  </si>
  <si>
    <t>Synergen Power Limited</t>
  </si>
  <si>
    <t>IE.CAED/P0700.FACILITY</t>
  </si>
  <si>
    <t>Tynagh Energy Limited</t>
  </si>
  <si>
    <t>Galway</t>
  </si>
  <si>
    <t>IE.CAED/P0577.FACILITY</t>
  </si>
  <si>
    <t>Electricity Supply Board (Poolbeg)</t>
  </si>
  <si>
    <t>IE.CAED/P0606.FACILITY</t>
  </si>
  <si>
    <t>SSE Generation Ireland Limited (Great Island)</t>
  </si>
  <si>
    <t>Wexford</t>
  </si>
  <si>
    <t>IE.CAED/P0482.FACILITY</t>
  </si>
  <si>
    <t>Edenderry Power Limited</t>
  </si>
  <si>
    <t>Offaly</t>
  </si>
  <si>
    <t>IE.CAED/P0607.FACILITY</t>
  </si>
  <si>
    <t>SSE Generation Ireland Limited (Tarbert)</t>
  </si>
  <si>
    <t>Kerry</t>
  </si>
  <si>
    <t>NL.RIVM/000203273.FACILITY</t>
  </si>
  <si>
    <t>RWE Eemshaven Holding II B.V.</t>
  </si>
  <si>
    <t>Eemshaven</t>
  </si>
  <si>
    <t>NL.RIVM/000012149.FACILITY</t>
  </si>
  <si>
    <t>Uniper Benelux NV (Maasvlakte)</t>
  </si>
  <si>
    <t>Maasvlakte Rotterdam</t>
  </si>
  <si>
    <t>NL.RIVM/000024003.FACILITY</t>
  </si>
  <si>
    <t>Vattenfall Power Generation B.V. (Velsen)</t>
  </si>
  <si>
    <t>NL.RIVM/000044004.FACILITY</t>
  </si>
  <si>
    <t>Amer Centrale</t>
  </si>
  <si>
    <t>Geertruidenberg</t>
  </si>
  <si>
    <t>NL.RIVM/000204617.FACILITY</t>
  </si>
  <si>
    <t>Power Plant Rotterdam</t>
  </si>
  <si>
    <t>NL.RIVM/000028176.FACILITY</t>
  </si>
  <si>
    <t>Vattenfall Power Generation B.V. (IJmond 1)</t>
  </si>
  <si>
    <t>NL.RIVM/000104001.FACILITY</t>
  </si>
  <si>
    <t>ENGIE Energie Nederland NV</t>
  </si>
  <si>
    <t>NL.RIVM/000114001.FACILITY</t>
  </si>
  <si>
    <t>Maxima-centrale</t>
  </si>
  <si>
    <t>Lelystad</t>
  </si>
  <si>
    <t>NL.RIVM/000203228.FACILITY</t>
  </si>
  <si>
    <t>Vattenfall Power Generation B.V. (Eemshaven)</t>
  </si>
  <si>
    <t>NL.RIVM/000203411.FACILITY</t>
  </si>
  <si>
    <t>Pergen VOF</t>
  </si>
  <si>
    <t>Pernis Rotterdam</t>
  </si>
  <si>
    <t>NL.RIVM/000204654.FACILITY</t>
  </si>
  <si>
    <t>ENECOGEN V.O.F.</t>
  </si>
  <si>
    <t>NL.RIVM/000201386.FACILITY</t>
  </si>
  <si>
    <t>Sloe Centrale BV (Vlissingen)</t>
  </si>
  <si>
    <t>Ritthem</t>
  </si>
  <si>
    <t>NL.RIVM/000024002.FACILITY</t>
  </si>
  <si>
    <t>Vattenfall Power Generation B.V. (Diemen)</t>
  </si>
  <si>
    <t>Diemen</t>
  </si>
  <si>
    <t>NL.RIVM/000004001.FACILITY</t>
  </si>
  <si>
    <t>Clauscentrale</t>
  </si>
  <si>
    <t>Maasbracht</t>
  </si>
  <si>
    <t>NL.RIVM/000075305.FACILITY</t>
  </si>
  <si>
    <t>locatie Boeldershoek</t>
  </si>
  <si>
    <t>Hengelo</t>
  </si>
  <si>
    <t>NL.RIVM/000203220.FACILITY</t>
  </si>
  <si>
    <t>EEW Energy from Waste Delfzijl B.V.</t>
  </si>
  <si>
    <t>NL.RIVM/000024000.FACILITY</t>
  </si>
  <si>
    <t>Vattenfall Power Generation B.V. (Hemweg)</t>
  </si>
  <si>
    <t>Amsterdam</t>
  </si>
  <si>
    <t>NL.RIVM/000202825.FACILITY</t>
  </si>
  <si>
    <t>Eneco Lage Weide</t>
  </si>
  <si>
    <t>Utrecht</t>
  </si>
  <si>
    <t>NL.RIVM/000203505.FACILITY</t>
  </si>
  <si>
    <t>Maasstroom Energie CV</t>
  </si>
  <si>
    <t>NL.RIVM/000104003.FACILITY</t>
  </si>
  <si>
    <t>Delesto B.V.</t>
  </si>
  <si>
    <t>NL.RIVM/000115181.FACILITY</t>
  </si>
  <si>
    <t>Rijnmond Power Plant</t>
  </si>
  <si>
    <t>NL.RIVM/000049006.FACILITY</t>
  </si>
  <si>
    <t>WKC Moerdijk</t>
  </si>
  <si>
    <t>NL.RIVM/000201304.FACILITY</t>
  </si>
  <si>
    <t>BMC Moerdijk BV</t>
  </si>
  <si>
    <t>NL.RIVM/000064005.FACILITY</t>
  </si>
  <si>
    <t>ARN B.V.</t>
  </si>
  <si>
    <t>Weurt</t>
  </si>
  <si>
    <t>NL.RIVM/000071105.FACILITY</t>
  </si>
  <si>
    <t>Nobian Chemicals BV (Hengelo)</t>
  </si>
  <si>
    <t>NL.RIVM/000202419.FACILITY</t>
  </si>
  <si>
    <t>Eneco HWC Nieuwegein</t>
  </si>
  <si>
    <t>Nieuwegein</t>
  </si>
  <si>
    <t>NL.RIVM/000049016.FACILITY</t>
  </si>
  <si>
    <t>BECC B.V.</t>
  </si>
  <si>
    <t>Katwijk Nb</t>
  </si>
  <si>
    <t>NL.RIVM/000115085.FACILITY</t>
  </si>
  <si>
    <t>Enecal Energy VOF</t>
  </si>
  <si>
    <t>NL.RIVM/000114757.FACILITY</t>
  </si>
  <si>
    <t>Eurogen CV</t>
  </si>
  <si>
    <t>NL.RIVM/000010953.FACILITY</t>
  </si>
  <si>
    <t>Uniper Centrale Den Haag</t>
  </si>
  <si>
    <t>S-Gravenhage</t>
  </si>
  <si>
    <t>NL.RIVM/000012150.FACILITY</t>
  </si>
  <si>
    <t>Uniper Centrale RoCa</t>
  </si>
  <si>
    <t>Rotterdam</t>
  </si>
  <si>
    <t>RO.CAED/102GJ0001.FACILITY</t>
  </si>
  <si>
    <t>SC COMPLEXUL ENERGETIC ROVINARI SA (SUCURSALA ELECTROCENTRALE ROVINARI)</t>
  </si>
  <si>
    <t>Rovinari</t>
  </si>
  <si>
    <t>RO.CAED/101GJ0001.FACILITY</t>
  </si>
  <si>
    <t>SUCURSALA ELECTROCENTRALE TURCENI</t>
  </si>
  <si>
    <t>Turceni</t>
  </si>
  <si>
    <t>RO.CAED/104PH0001.FACILITY</t>
  </si>
  <si>
    <t>SC OMV Petrom SA Brazi (cogenerare)</t>
  </si>
  <si>
    <t>sat Negoiesti, Comuna Brazi</t>
  </si>
  <si>
    <t>RO.CAED/101DJ0001.FACILITY</t>
  </si>
  <si>
    <t>SOCIETATEA COMPLEXUL ENERGETIC OLTENIA SA - SUCURSALA ELECTROCENTRALE ISALNITA</t>
  </si>
  <si>
    <t>ISALNITA</t>
  </si>
  <si>
    <t>RO.CAED/102DJ0001.FACILITY</t>
  </si>
  <si>
    <t>SOCIETATEA COMPLEXUL ENERGETIC OLTENIA SA - Sucursala Electrocentrale Craiova II</t>
  </si>
  <si>
    <t>Craiova</t>
  </si>
  <si>
    <t>RO.CAED/101VL0001.FACILITY</t>
  </si>
  <si>
    <t>SC CET GOVORA SA</t>
  </si>
  <si>
    <t>RAMNICU VALCEA</t>
  </si>
  <si>
    <t>RO.CAED/102BB0001.FACILITY</t>
  </si>
  <si>
    <t>SC ELECTROCENTRALE BUCURESTI SA - Cet Bucuresti Sud</t>
  </si>
  <si>
    <t>BUCURESTI</t>
  </si>
  <si>
    <t>RO.CAED/101MS0001.FACILITY</t>
  </si>
  <si>
    <t>SNGN ROMGAZ SA MEDIAS - Sucursala de Productie Energie Electrica Iernut</t>
  </si>
  <si>
    <t>Iernut</t>
  </si>
  <si>
    <t>RO.CAED/103PH0001.FACILITY</t>
  </si>
  <si>
    <t>SC PETROTEL LUKOIL SA- CET</t>
  </si>
  <si>
    <t>PLOIESTI</t>
  </si>
  <si>
    <t>RO.CAED/103BB0001.FACILITY</t>
  </si>
  <si>
    <t>SC ELECTROCENTRALE BUCURESTI SA - Cet Bucuresti Vest</t>
  </si>
  <si>
    <t>RO.CAED/102HD0001.FACILITY</t>
  </si>
  <si>
    <t>Societatea Complexul Energetic Hunedoara SA - SUCURSALA ELECTROCENTRALE PAROSENI</t>
  </si>
  <si>
    <t>VULCAN</t>
  </si>
  <si>
    <t>RO.CAED/101BB0001.FACILITY</t>
  </si>
  <si>
    <t>SC ELECTROCENTRALE BUCURESTI SA - Cet Progresu</t>
  </si>
  <si>
    <t>RO.CAED/101BH0001.FACILITY</t>
  </si>
  <si>
    <t>TERMOFICARE ORADEA SA</t>
  </si>
  <si>
    <t>Oradea</t>
  </si>
  <si>
    <t>RO.CAED/104BB0001.FACILITY</t>
  </si>
  <si>
    <t>SC ELECTROCENTRALE BUCURESTI SA - Cet Grozavesti</t>
  </si>
  <si>
    <t>RO.CAED/102IS0001.FACILITY</t>
  </si>
  <si>
    <t>MUNICIPIUL IASI - CET II</t>
  </si>
  <si>
    <t>Holboca</t>
  </si>
  <si>
    <t>RO.CAED/101TM0001.FACILITY</t>
  </si>
  <si>
    <t>SC COLTERM SA - CET SUD</t>
  </si>
  <si>
    <t>Timisoara</t>
  </si>
  <si>
    <t>RO.CAED/107PH0001.FACILITY</t>
  </si>
  <si>
    <t>SC VEOLIA ENERGIE  PRAHOVA SRL</t>
  </si>
  <si>
    <t>BRAZI</t>
  </si>
  <si>
    <t>RO.CAED/101CT0001.FACILITY</t>
  </si>
  <si>
    <t>SC ROMPETROL ENERGY SA</t>
  </si>
  <si>
    <t>Navodari</t>
  </si>
  <si>
    <t>RO.CAED/102CT0001.FACILITY</t>
  </si>
  <si>
    <t>Societatea ELECTROCENTRALE CONSTANTA S.A. - Centrala Termoelectrica Palas</t>
  </si>
  <si>
    <t>Constanta</t>
  </si>
  <si>
    <t>SI.ARSO/000000017.FACILITY</t>
  </si>
  <si>
    <t>Termoelektrarna Šoštanj</t>
  </si>
  <si>
    <t>Šoštanj</t>
  </si>
  <si>
    <t>SE.CAED/10024576.Facility</t>
  </si>
  <si>
    <t>Luleå kraftvärmeverk LUKAB</t>
  </si>
  <si>
    <t>SE.CAED/10016162.Facility</t>
  </si>
  <si>
    <t>Sandviksverket</t>
  </si>
  <si>
    <t>VÄXJÖ</t>
  </si>
  <si>
    <t>SE.CAED/10023054.Facility</t>
  </si>
  <si>
    <t>Lugnviksverket</t>
  </si>
  <si>
    <t>Östersund</t>
  </si>
  <si>
    <t>SE.CAED/10022115.Facility</t>
  </si>
  <si>
    <t>Bomhus Energi</t>
  </si>
  <si>
    <t>SE.CAED/10013884.Facility</t>
  </si>
  <si>
    <t>JORDBRO KRAFTVÄRMEVERK</t>
  </si>
  <si>
    <t>HANINGE</t>
  </si>
  <si>
    <t>SE.CAED/10019583.Facility</t>
  </si>
  <si>
    <t>Riskullaverket</t>
  </si>
  <si>
    <t>MÖLNDAL</t>
  </si>
  <si>
    <t>SE.CAED/10017066.Facility</t>
  </si>
  <si>
    <t>Karlshamnsverket</t>
  </si>
  <si>
    <t>KARLSHAMN</t>
  </si>
  <si>
    <t>SE.CAED/10022087.Facility</t>
  </si>
  <si>
    <t>Johannes Kraftvärmeverk</t>
  </si>
  <si>
    <t>Gävle</t>
  </si>
  <si>
    <t>UK.CAED/EW_EA-13608.FACILITY</t>
  </si>
  <si>
    <t>Scunthorpe Iron &amp; Steel Works EPR/HP3736AW</t>
  </si>
  <si>
    <t>Scunthorpe</t>
  </si>
  <si>
    <t>UK.CAED/NRW170265.FACILITY</t>
  </si>
  <si>
    <t>Pembroke Power Station</t>
  </si>
  <si>
    <t>Dyfed</t>
  </si>
  <si>
    <t>UK.CAED/EW_EA-10358.FACILITY</t>
  </si>
  <si>
    <t>Staythorpe C Power Station EPR/VP3538XX</t>
  </si>
  <si>
    <t>Staythorpe</t>
  </si>
  <si>
    <t>UK.CAED/EW_EA-1433.FACILITY</t>
  </si>
  <si>
    <t>Immingham CHP Power Station EPR/BJ8022IZ</t>
  </si>
  <si>
    <t>GRIMSBY</t>
  </si>
  <si>
    <t>UK.CAED/EW_EA-2363.FACILITY</t>
  </si>
  <si>
    <t>Saltend Cogeneration Plant EPR/QP3539LE</t>
  </si>
  <si>
    <t>Saltend</t>
  </si>
  <si>
    <t>UK.CAED/EW_EA-1023.FACILITY</t>
  </si>
  <si>
    <t>Grain Power Station EPR/EP3533RY</t>
  </si>
  <si>
    <t>ROCHESTER</t>
  </si>
  <si>
    <t>UK.CAED/EW_EA-3999.FACILITY</t>
  </si>
  <si>
    <t>Didcot B Power Station EPR/YP3930LZ</t>
  </si>
  <si>
    <t>DIDCOT</t>
  </si>
  <si>
    <t>UK.CAED/EW_EA-17044.FACILITY</t>
  </si>
  <si>
    <t>West Burton CCGT Power Station EPR/CP3035MK</t>
  </si>
  <si>
    <t>Retford</t>
  </si>
  <si>
    <t>UK.CAED/EW_EA-122.FACILITY</t>
  </si>
  <si>
    <t>Lynemouth Power Station</t>
  </si>
  <si>
    <t>Ashington</t>
  </si>
  <si>
    <t>UK.CAED/EW_EA-754.FACILITY</t>
  </si>
  <si>
    <t>Humber Oil Refinery EPR/UP3230LR</t>
  </si>
  <si>
    <t>South Killingholme</t>
  </si>
  <si>
    <t>UK.CAED/EW_EA-1362.FACILITY</t>
  </si>
  <si>
    <t>South Humber Bank Power Station EPR/MP3235LY</t>
  </si>
  <si>
    <t>South</t>
  </si>
  <si>
    <t>UK.CAED/EW_EA-2531.FACILITY</t>
  </si>
  <si>
    <t>Spalding Power Station EPR/BK0701IW</t>
  </si>
  <si>
    <t>SPALDING</t>
  </si>
  <si>
    <t>UK.SEPA/200000142.Facility</t>
  </si>
  <si>
    <t>Peterhead Power Station</t>
  </si>
  <si>
    <t>UK.CAED/EW_EA-12827.FACILITY</t>
  </si>
  <si>
    <t>Marchwood Power Station EPR/BL6217IM</t>
  </si>
  <si>
    <t>SOUTHAMPTON</t>
  </si>
  <si>
    <t>UK.CAED/EW_EA-18583.FACILITY</t>
  </si>
  <si>
    <t>Carrington Power Station EPR/RP3438GG</t>
  </si>
  <si>
    <t>Manchester</t>
  </si>
  <si>
    <t>UK.CAED/EW_EA-16737.FACILITY</t>
  </si>
  <si>
    <t>Cottam Power Station EPR/SP3535LT</t>
  </si>
  <si>
    <t>Cottam</t>
  </si>
  <si>
    <t>UK.CAED/EW_EA-7307.FACILITY</t>
  </si>
  <si>
    <t>Rocksavage Power Station EPR/BS5380IC</t>
  </si>
  <si>
    <t>Rocksavage</t>
  </si>
  <si>
    <t>UK.CAED/EW_EA-10174.FACILITY</t>
  </si>
  <si>
    <t>Total Lindsey Oil Refinery EPR/TP3633NH</t>
  </si>
  <si>
    <t>North Killingholme</t>
  </si>
  <si>
    <t>UK.CAED/EW_EA-1562.FACILITY</t>
  </si>
  <si>
    <t>Fiddlers Ferry Power Station EPR/BS8192IV</t>
  </si>
  <si>
    <t>WARRINGTON</t>
  </si>
  <si>
    <t>UK.CAED/P0125_06A.FACILITY</t>
  </si>
  <si>
    <t>AES Ballylumford</t>
  </si>
  <si>
    <t>Larne</t>
  </si>
  <si>
    <t>UK.CAED/EW_EA-2401.FACILITY</t>
  </si>
  <si>
    <t>Seabank Power Station EPR/BV3006IN</t>
  </si>
  <si>
    <t>BRISTOL</t>
  </si>
  <si>
    <t>UK.CAED/EW_EA-2321.FACILITY</t>
  </si>
  <si>
    <t>Little Barford Power Station EPR/AP3630LG</t>
  </si>
  <si>
    <t>ST. NEOTS</t>
  </si>
  <si>
    <t>UK.CAED/P0120_06A.FACILITY</t>
  </si>
  <si>
    <t>Kilroot Power Ltd</t>
  </si>
  <si>
    <t>Carrickfergus</t>
  </si>
  <si>
    <t>UK.CAED/EW_EA-7030.FACILITY</t>
  </si>
  <si>
    <t>Coryton Power Station EPR/EP3833LY</t>
  </si>
  <si>
    <t>STANFORD-LE-HOPE</t>
  </si>
  <si>
    <t>UK.CAED/EW_EA-1021.FACILITY</t>
  </si>
  <si>
    <t>Cottam CDC Power Station EPR/NP3033RD</t>
  </si>
  <si>
    <t>UK.CAED/NRW170087.FACILITY</t>
  </si>
  <si>
    <t>Connah's Quay Power Station</t>
  </si>
  <si>
    <t>Connah'S Quay</t>
  </si>
  <si>
    <t>UK.CAED/EW_EA-6557.FACILITY</t>
  </si>
  <si>
    <t>Great Yarmouth Power Station EPR/KP3531US</t>
  </si>
  <si>
    <t>GREAT YARMOUTH</t>
  </si>
  <si>
    <t>UK.CAED/EW_EA-1563.FACILITY</t>
  </si>
  <si>
    <t>Keadby Power Station EPR/YP3133LL</t>
  </si>
  <si>
    <t>Keadby</t>
  </si>
  <si>
    <t>UK.CAED/EW_EA-896.FACILITY</t>
  </si>
  <si>
    <t>Damhead Creek Power Station EPR/DP3933DN</t>
  </si>
  <si>
    <t>UK.CAED/EW_EA-3048.FACILITY</t>
  </si>
  <si>
    <t>West Burton Power Station EPR/SP3935LW</t>
  </si>
  <si>
    <t>RETFORD</t>
  </si>
  <si>
    <t>UK.CAED/EW_EA-3047.FACILITY</t>
  </si>
  <si>
    <t>Sutton Bridge Power Station EPR/FP3835LS</t>
  </si>
  <si>
    <t>Sutton</t>
  </si>
  <si>
    <t>UK.CAED/EW_EA-12824.FACILITY</t>
  </si>
  <si>
    <t>Langage Energy Centre EPR/AP3633BL</t>
  </si>
  <si>
    <t>PLYMOUTH</t>
  </si>
  <si>
    <t>UK.CAED/EW_EA-1028.FACILITY</t>
  </si>
  <si>
    <t>Ratcliffe-On-Soar Power Station EPR/EP3133RZ</t>
  </si>
  <si>
    <t>NOTTINGHAM</t>
  </si>
  <si>
    <t>UK.CAED/NRW170312.FACILITY</t>
  </si>
  <si>
    <t>Severn Power Station</t>
  </si>
  <si>
    <t>Newport</t>
  </si>
  <si>
    <t>UK.CAED/P0126_06A.FACILITY</t>
  </si>
  <si>
    <t>Coolkeeragh ESB Ltd</t>
  </si>
  <si>
    <t>UK.CAED/EW_EA-6326.FACILITY</t>
  </si>
  <si>
    <t>Medway Power Station EPR/HP3939LN</t>
  </si>
  <si>
    <t>UK.CAED/EW_EA-5766.FACILITY</t>
  </si>
  <si>
    <t>Enfield Power Station EPR/NP3833RC</t>
  </si>
  <si>
    <t>ENFIELD</t>
  </si>
  <si>
    <t>UK.SEPA/200000050.Facility</t>
  </si>
  <si>
    <t>Grangemouth CHP Plant</t>
  </si>
  <si>
    <t>UK.CAED/BEISOffsh-Elgin-PUQ.FACILITY</t>
  </si>
  <si>
    <t>Elgin-PUQ</t>
  </si>
  <si>
    <t>--</t>
  </si>
  <si>
    <t>UK.SEPA/200002494.Facility</t>
  </si>
  <si>
    <t>INEOS Infrastructure (Grangemouth) Ltd</t>
  </si>
  <si>
    <t>UK.CAED/EW_EA-6056.FACILITY</t>
  </si>
  <si>
    <t>Thetford Power Station</t>
  </si>
  <si>
    <t>THETFORD</t>
  </si>
  <si>
    <t>UK.CAED/BEISOffsh-Britannia.FACILITY</t>
  </si>
  <si>
    <t>Britannia</t>
  </si>
  <si>
    <t>UK.CAED/BEISOffsh-Glen-Lyon-FPSO.FACILITY</t>
  </si>
  <si>
    <t>Glen Lyon FPSO</t>
  </si>
  <si>
    <t>UK.CAED/BEISOffsh-Buzzard.FACILITY</t>
  </si>
  <si>
    <t>Buzzard</t>
  </si>
  <si>
    <t>UK.CAED/EW_EA-1010.FACILITY</t>
  </si>
  <si>
    <t>Kemsley Paper Mill CHP Plant EPR/BJ7395IG</t>
  </si>
  <si>
    <t>SITTINGBOURNE</t>
  </si>
  <si>
    <t>UK.CAED/EW_EA-1014.FACILITY</t>
  </si>
  <si>
    <t>Winnington Sodium Carbonate Manufacturing Site EPR/EP3337NY</t>
  </si>
  <si>
    <t>Northwhich</t>
  </si>
  <si>
    <t>UK.CAED/BEISOffsh-Beryl-Alpha.FACILITY</t>
  </si>
  <si>
    <t>Beryl Alpha</t>
  </si>
  <si>
    <t>UK.CAED/NRW170020.FACILITY</t>
  </si>
  <si>
    <t>Baglan Power Station</t>
  </si>
  <si>
    <t>Neath</t>
  </si>
  <si>
    <t>UK.CAED/BEISOffsh-Ninian-Central.FACILITY</t>
  </si>
  <si>
    <t>Ninian Central</t>
  </si>
  <si>
    <t>UK.CAED/EW_EA-18408.FACILITY</t>
  </si>
  <si>
    <t>Brigg Renewable Energy Plant</t>
  </si>
  <si>
    <t>BRIGG</t>
  </si>
  <si>
    <t>UK.CAED/BEISOffsh-ETAP-CPF.FACILITY</t>
  </si>
  <si>
    <t>Marnock ETAP</t>
  </si>
  <si>
    <t>UK.CAED/BEISOffsh-Tiffany.FACILITY</t>
  </si>
  <si>
    <t>Tiffany</t>
  </si>
  <si>
    <t>UK.CAED/BEISOffsh-Armada-Kraken-FPSO.FACILITY</t>
  </si>
  <si>
    <t>Armada Kraken FPSO</t>
  </si>
  <si>
    <t>UK.CAED/BEISOffsh-Brae-Alpha.FACILITY</t>
  </si>
  <si>
    <t>Brae Alpha</t>
  </si>
  <si>
    <t>UK.CAED/BEISOffsh-Alwyn-North-A.FACILITY</t>
  </si>
  <si>
    <t>Alwyn North</t>
  </si>
  <si>
    <t>UK.CAED/EW_EA-16923.FACILITY</t>
  </si>
  <si>
    <t>Blackburn Meadows Renewable Energy Plant</t>
  </si>
  <si>
    <t>Sheffield</t>
  </si>
  <si>
    <t>UK.CAED/EW_EA-2397.FACILITY</t>
  </si>
  <si>
    <t>Rye House Power Station EPR/RP3632SF</t>
  </si>
  <si>
    <t>Rye</t>
  </si>
  <si>
    <t>UK.CAED/BEISOffsh-Shearwater.FACILITY</t>
  </si>
  <si>
    <t>Shearwater</t>
  </si>
  <si>
    <t>UK.CAED/BEISOffsh-Magnus.FACILITY</t>
  </si>
  <si>
    <t>Magnus</t>
  </si>
  <si>
    <t>UK.CAED/EW_EA-1081.FACILITY</t>
  </si>
  <si>
    <t>Elean Power Station EPR/AP3130LY</t>
  </si>
  <si>
    <t>ELY</t>
  </si>
  <si>
    <t>UK.CAED/BEISOffsh-Piper-Bravo.FACILITY</t>
  </si>
  <si>
    <t>Piper Bravo</t>
  </si>
  <si>
    <t>UK.CAED/EW_EA-16885.FACILITY</t>
  </si>
  <si>
    <t>Sleaford Renewable Energy Plant EPR/DP3030XH</t>
  </si>
  <si>
    <t>Sleaford</t>
  </si>
  <si>
    <t>UK.CAED/BEISOffsh-Bruce.FACILITY</t>
  </si>
  <si>
    <t>Bruce</t>
  </si>
  <si>
    <t>UK.CAED/BEISOffsh-Ninian-Southern.FACILITY</t>
  </si>
  <si>
    <t>Ninian Southern</t>
  </si>
  <si>
    <t>UK.CAED/NRW170324.FACILITY</t>
  </si>
  <si>
    <t>SOUTH HOOK LIQUEFIED NATURAL GAS TERMINAL</t>
  </si>
  <si>
    <t>UK.CAED/BEISOffsh-Brent-Charlie.FACILITY</t>
  </si>
  <si>
    <t>Brent Charlie</t>
  </si>
  <si>
    <t>UK.CAED/BEISOffsh-Judy.FACILITY</t>
  </si>
  <si>
    <t>Judy</t>
  </si>
  <si>
    <t>UK.CAED/BEISOffsh-Foinaven-FPSO.FACILITY</t>
  </si>
  <si>
    <t>Foinaven FPSO</t>
  </si>
  <si>
    <t>UK.SEPA/200002620.Facility</t>
  </si>
  <si>
    <t>Shetland Gas Plant</t>
  </si>
  <si>
    <t>Shetland</t>
  </si>
  <si>
    <t>UK.CAED/BEISOffsh-Scott.FACILITY</t>
  </si>
  <si>
    <t>Scott</t>
  </si>
  <si>
    <t>UK.CAED/BEISOffsh-Solepit-Clipper-PT.FACILITY</t>
  </si>
  <si>
    <t>Clipper PT</t>
  </si>
  <si>
    <t>UK.CAED/BEISOffsh-Beryl-Bravo.FACILITY</t>
  </si>
  <si>
    <t>Beryl Bravo</t>
  </si>
  <si>
    <t>UK.CAED/BEISOffsh-Claymore.FACILITY</t>
  </si>
  <si>
    <t>Claymore Alpha</t>
  </si>
  <si>
    <t>UK.CAED/BEISOffsh-Tern-Alpha.FACILITY</t>
  </si>
  <si>
    <t>Tern Alpha</t>
  </si>
  <si>
    <t>UK.CAED/BEISOffsh-Clair-Ridge-Platform.FACILITY</t>
  </si>
  <si>
    <t>Clair Ridge</t>
  </si>
  <si>
    <t>UK.CAED/BEISOffsh-Global-Producer-III.FACILITY</t>
  </si>
  <si>
    <t>Global Producer III FPSO</t>
  </si>
  <si>
    <t>UK.CAED/BEISOffsh-Montrose-Alpha.FACILITY</t>
  </si>
  <si>
    <t>Montrose Alpha</t>
  </si>
  <si>
    <t>UK.SEPA/200001408.Facility</t>
  </si>
  <si>
    <t>Sullom Voe Terminal CHP, Shetland</t>
  </si>
  <si>
    <t>Mossbank</t>
  </si>
  <si>
    <t>UK.CAED/BEISOffsh-Triton-FPSO.FACILITY</t>
  </si>
  <si>
    <t>Triton (Guillemot West) FPSO</t>
  </si>
  <si>
    <t>UK.CAED/BEISOffsh-Nelson.FACILITY</t>
  </si>
  <si>
    <t>Nelson Platform</t>
  </si>
  <si>
    <t>UK.CAED/BEISOffsh-Clair.FACILITY</t>
  </si>
  <si>
    <t>Clair</t>
  </si>
  <si>
    <t>UK.CAED/BEISOffsh-Clyde.FACILITY</t>
  </si>
  <si>
    <t>Clyde Alpha</t>
  </si>
  <si>
    <t>UK.CAED/BEISOffsh-BW-Catcher-FPSO.FACILITY</t>
  </si>
  <si>
    <t>BW Catcher FPSO</t>
  </si>
  <si>
    <t>UK.CAED/EW_EA-18702.FACILITY</t>
  </si>
  <si>
    <t>Ridham Biomass Power Plant</t>
  </si>
  <si>
    <t>UK.CAED/BEISOffsh-Douglas.FACILITY</t>
  </si>
  <si>
    <t>Douglas</t>
  </si>
  <si>
    <t>UK.CAED/EW_EA-1932.FACILITY</t>
  </si>
  <si>
    <t>INEOS Nitriles CHP Plant - EPR/HP3137ZK</t>
  </si>
  <si>
    <t>UK.CAED/EW_EA-1139.FACILITY</t>
  </si>
  <si>
    <t>Glanford Power Station EPR/UP3232SX</t>
  </si>
  <si>
    <t>SCUNTHORPE</t>
  </si>
  <si>
    <t>UK.CAED/BEISOffsh-Alba-Northern.FACILITY</t>
  </si>
  <si>
    <t>Alba Northern</t>
  </si>
  <si>
    <t>UK.CAED/BEISOffsh-Anasuria.FACILITY</t>
  </si>
  <si>
    <t>Anasuria</t>
  </si>
  <si>
    <t>UK.CAED/EW_EA-669.FACILITY</t>
  </si>
  <si>
    <t>Kings Lynn Power Station EPR/BP3239LA</t>
  </si>
  <si>
    <t>KING'S LYNN</t>
  </si>
  <si>
    <t>UK.CAED/BEISOffsh-Tartan-Alpha.FACILITY</t>
  </si>
  <si>
    <t>Tartan Alpha</t>
  </si>
  <si>
    <t>UK.CAED/EW_EA-1011.FACILITY</t>
  </si>
  <si>
    <t>Port Of Liverpool CHP Plant EPR/BK3506IS</t>
  </si>
  <si>
    <t>BOOTLE</t>
  </si>
  <si>
    <t>UK.CAED/BEISOffsh-Gryphon-Alpha.FACILITY</t>
  </si>
  <si>
    <t>Gryphon Alpha PV</t>
  </si>
  <si>
    <t>UK.CAED/BEISOffsh-Thistle.FACILITY</t>
  </si>
  <si>
    <t>Thistle Alpha</t>
  </si>
  <si>
    <t>UK.CAED/BEISOffsh-Cormorant-Alpha.FACILITY</t>
  </si>
  <si>
    <t>Cormorant Alpha</t>
  </si>
  <si>
    <t>UK.CAED/EW_EA-17840.FACILITY</t>
  </si>
  <si>
    <t>Widnes Biomass Facility EPR/JP3132RV</t>
  </si>
  <si>
    <t>WIDNES</t>
  </si>
  <si>
    <t>UK.CAED/BEISOffsh-Golden-Eagle.FACILITY</t>
  </si>
  <si>
    <t>Golden Eagle</t>
  </si>
  <si>
    <t>UK.CAED/BEISOffsh-Leman-49-27-A.FACILITY</t>
  </si>
  <si>
    <t>Leman 49-27a</t>
  </si>
  <si>
    <t>UK.CAED/BEISOffsh-Gannet-Alpha.FACILITY</t>
  </si>
  <si>
    <t>Gannet Alpha</t>
  </si>
  <si>
    <t>UK.CAED/BEISOffsh-Pierce-FPSO.FACILITY</t>
  </si>
  <si>
    <t>Pierce FPSO</t>
  </si>
  <si>
    <t>UK.CAED/BEISOffsh-Bleo-Holm.FACILITY</t>
  </si>
  <si>
    <t>Bleo Holm FPSO</t>
  </si>
  <si>
    <t>UK.CAED/BEISOffsh-Cormorant-North.FACILITY</t>
  </si>
  <si>
    <t>Cormorant North</t>
  </si>
  <si>
    <t>UK.CAED/NRW170120.FACILITY</t>
  </si>
  <si>
    <t>Barry CHP</t>
  </si>
  <si>
    <t>UK.CAED/BEISOffsh-Armada.FACILITY</t>
  </si>
  <si>
    <t>Armada</t>
  </si>
  <si>
    <t>UK.CAED/BEISOffsh-Morecambe-CPC-1.FACILITY</t>
  </si>
  <si>
    <t>Morecambe-CPC-1</t>
  </si>
  <si>
    <t>UK.CAED/BEISOffsh-Stella-FPF-1.FACILITY</t>
  </si>
  <si>
    <t>Stella FPF 1</t>
  </si>
  <si>
    <t>UK.CAED/BEISOffsh-Forties-Charlie.FACILITY</t>
  </si>
  <si>
    <t>Forties Charlie</t>
  </si>
  <si>
    <t>UK.CAED/BEISOffsh-Captain-Platform.FACILITY</t>
  </si>
  <si>
    <t>Captain Platform (WHP &amp; BLP)</t>
  </si>
  <si>
    <t>UK.CAED/BEISOffsh-Andrew.FACILITY</t>
  </si>
  <si>
    <t>Andrew</t>
  </si>
  <si>
    <t>UK.CAED/BEISOffsh-Banff-FPSO.FACILITY</t>
  </si>
  <si>
    <t>Petrojarl Banff</t>
  </si>
  <si>
    <t>UK.CAED/BEISOffsh-Western-Isles-FPSO.FACILITY</t>
  </si>
  <si>
    <t>Western Isles FPSO</t>
  </si>
  <si>
    <t>UK.CAED/BEISOffsh-Forties-Alpha.FACILITY</t>
  </si>
  <si>
    <t>Forties Alpha</t>
  </si>
  <si>
    <t>UK.CAED/BEISOffsh-Lomond.FACILITY</t>
  </si>
  <si>
    <t>Lomond</t>
  </si>
  <si>
    <t>UK.CAED/BEISOffsh-Leman-Alpha.FACILITY</t>
  </si>
  <si>
    <t>Leman Alpha (D1)</t>
  </si>
  <si>
    <t>UK.CAED/BEISOffsh-East-Brae.FACILITY</t>
  </si>
  <si>
    <t>Brae East</t>
  </si>
  <si>
    <t>3(a)</t>
  </si>
  <si>
    <t>Underground mining and related operations</t>
  </si>
  <si>
    <t>https://registry.gdi-de.org/id/de.he.0945.de7.pf.eu_industrie/50002119</t>
  </si>
  <si>
    <t>Werk Werra Standort Hattorf</t>
  </si>
  <si>
    <t>Philippsthal (Werra)</t>
  </si>
  <si>
    <t>Underground mining</t>
  </si>
  <si>
    <t>https://registry.gdi-de.org/id/de.st.lau.pf.anlagen-ied-euregistry/18046</t>
  </si>
  <si>
    <t>Werk  Zielitz</t>
  </si>
  <si>
    <t>Zielitz</t>
  </si>
  <si>
    <t>https://registry.gdi-de.org/id/de.he.0945.de7.pf.eu_industrie/50002126</t>
  </si>
  <si>
    <t>Werk Werra Standort Wintershall</t>
  </si>
  <si>
    <t>Heringen (Werra)</t>
  </si>
  <si>
    <t>https://registry.gdi-de.org/id/de.th/5bf25e39-19d5-4254-adac-63f1b1cec499/62013494</t>
  </si>
  <si>
    <t>K+S Minerals and Agriculture GmbH, Werk Werra, Standort Unterbreizbach</t>
  </si>
  <si>
    <t>Unterbreizbach</t>
  </si>
  <si>
    <t>HU.OKIR/100308168.FACILITY</t>
  </si>
  <si>
    <t>MOL Magyar Olaj- és Gázipari Nyrt.</t>
  </si>
  <si>
    <t>Algyő</t>
  </si>
  <si>
    <t>IT.CAED/850592002.FACILITY</t>
  </si>
  <si>
    <t>Centro Olio Val d'Agri</t>
  </si>
  <si>
    <t>VIGGIANO</t>
  </si>
  <si>
    <t>IT.CAED/850122001.FACILITY</t>
  </si>
  <si>
    <t>CENTRO OLI TEMPA ROSSA</t>
  </si>
  <si>
    <t>Corleto Perticara</t>
  </si>
  <si>
    <t>RO.CAED/106CT0001.FACILITY</t>
  </si>
  <si>
    <t>COMPLEX EXPLOATARE OFFSHORE</t>
  </si>
  <si>
    <t>NO.EEA/191973.FACILITY</t>
  </si>
  <si>
    <t>Åsgard</t>
  </si>
  <si>
    <t>Stavanger</t>
  </si>
  <si>
    <t>NO.EEA/191986.FACILITY</t>
  </si>
  <si>
    <t>Gullfaks</t>
  </si>
  <si>
    <t>NO.EEA/191965.FACILITY</t>
  </si>
  <si>
    <t>Oseberg</t>
  </si>
  <si>
    <t>NO.EEA/191963.FACILITY</t>
  </si>
  <si>
    <t>Statfjord</t>
  </si>
  <si>
    <t>NO.EEA/156849.FACILITY</t>
  </si>
  <si>
    <t>Troll</t>
  </si>
  <si>
    <t>NO.EEA/191987.FACILITY</t>
  </si>
  <si>
    <t>Ekofisk</t>
  </si>
  <si>
    <t>Tananger</t>
  </si>
  <si>
    <t>NO.EEA/192000.FACILITY</t>
  </si>
  <si>
    <t>Sleipner Øst</t>
  </si>
  <si>
    <t>NO.EEA/191964.FACILITY</t>
  </si>
  <si>
    <t>Snorre</t>
  </si>
  <si>
    <t>NO.EEA/192702.FACILITY</t>
  </si>
  <si>
    <t>Skarv</t>
  </si>
  <si>
    <t>NO.EEA/191979.FACILITY</t>
  </si>
  <si>
    <t>Heidrun</t>
  </si>
  <si>
    <t>NO.EEA/191978.FACILITY</t>
  </si>
  <si>
    <t>Norne</t>
  </si>
  <si>
    <t>NO.EEA/191975.FACILITY</t>
  </si>
  <si>
    <t>Kristin</t>
  </si>
  <si>
    <t>NO.EEA/191970.FACILITY</t>
  </si>
  <si>
    <t>Sleipner Vest</t>
  </si>
  <si>
    <t>NO.EEA/241113.FACILITY</t>
  </si>
  <si>
    <t>Edvard Grieg</t>
  </si>
  <si>
    <t>Lysaker</t>
  </si>
  <si>
    <t>NO.EEA/191962.FACILITY</t>
  </si>
  <si>
    <t>Visund</t>
  </si>
  <si>
    <t>NO.EEA/191997.FACILITY</t>
  </si>
  <si>
    <t>Eldfisk</t>
  </si>
  <si>
    <t>NO.EEA/191976.FACILITY</t>
  </si>
  <si>
    <t>Alvheim</t>
  </si>
  <si>
    <t>NO.EEA/191981.FACILITY</t>
  </si>
  <si>
    <t>Grane</t>
  </si>
  <si>
    <t>NO.EEA/191991.FACILITY</t>
  </si>
  <si>
    <t>Oseberg Sør</t>
  </si>
  <si>
    <t>NO.EEA/191983.FACILITY</t>
  </si>
  <si>
    <t>Kvitebjørn</t>
  </si>
  <si>
    <t>NO.EEA/191961.FACILITY</t>
  </si>
  <si>
    <t>Draugen</t>
  </si>
  <si>
    <t>Kristiansund N</t>
  </si>
  <si>
    <t>NO.EEA/191980.FACILITY</t>
  </si>
  <si>
    <t>Ula</t>
  </si>
  <si>
    <t>NO.EEA/191985.FACILITY</t>
  </si>
  <si>
    <t>Brage</t>
  </si>
  <si>
    <t>NO.EEA/241111.FACILITY</t>
  </si>
  <si>
    <t>Knarr</t>
  </si>
  <si>
    <t>NO.EEA/191967.FACILITY</t>
  </si>
  <si>
    <t>Heimdal</t>
  </si>
  <si>
    <t>NO.EEA/191966.FACILITY</t>
  </si>
  <si>
    <t>Jotun</t>
  </si>
  <si>
    <t>NO.EEA/191982.FACILITY</t>
  </si>
  <si>
    <t>Veslefrikk</t>
  </si>
  <si>
    <t>NO.EEA/191977.FACILITY</t>
  </si>
  <si>
    <t>Balder</t>
  </si>
  <si>
    <t>NO.EEA/192618.FACILITY</t>
  </si>
  <si>
    <t>Gjøa</t>
  </si>
  <si>
    <t>Sandnes</t>
  </si>
  <si>
    <t>NO.EEA/191992.FACILITY</t>
  </si>
  <si>
    <t>Oseberg Øst</t>
  </si>
  <si>
    <t>5(f)</t>
  </si>
  <si>
    <t>Urban waste-water treatment plants</t>
  </si>
  <si>
    <t>DK.CAED/900000024.FACILITY</t>
  </si>
  <si>
    <t>Spildevandscenter Avedøre (renseanlæg)</t>
  </si>
  <si>
    <t>Urban waste water</t>
  </si>
  <si>
    <t>CH.CAED/000000368.Facility</t>
  </si>
  <si>
    <t>ara region bern ag</t>
  </si>
  <si>
    <t>Herrenschwanden</t>
  </si>
  <si>
    <t>UK.CAED/EW_EA-2677.FACILITY</t>
  </si>
  <si>
    <t>BECKTON STW</t>
  </si>
  <si>
    <t>Barking</t>
  </si>
  <si>
    <t>BG.CAED/012000002.FACILITY</t>
  </si>
  <si>
    <t>Lime company Ognianovo K</t>
  </si>
  <si>
    <t>CZ.MZP.S202/CZ49789451.FACILITY</t>
  </si>
  <si>
    <t>Vápenka Čertovy schody, a.s.</t>
  </si>
  <si>
    <t>Tmaň</t>
  </si>
  <si>
    <t>CZ.MZP.M715/CZ18806508.FACILITY</t>
  </si>
  <si>
    <t>VÁPENKA VITOŠOV s.r.o.</t>
  </si>
  <si>
    <t>Hrabová</t>
  </si>
  <si>
    <t>CZ.MZP.T804/CZ80742253.FACILITY</t>
  </si>
  <si>
    <t>KOTOUČ ŠTRAMBERK</t>
  </si>
  <si>
    <t>Štramberk</t>
  </si>
  <si>
    <t>https://registry.gdi-de.org/id/de.nw.inspire.pf.bube-eureg/arb-2017-158036-100-0238246</t>
  </si>
  <si>
    <t>Wülfrath</t>
  </si>
  <si>
    <t>https://registry.gdi-de.org/id/de.st.lau.pf.anlagen-ied-euregistry/100486</t>
  </si>
  <si>
    <t>Schwenk Zement KG Bernburg</t>
  </si>
  <si>
    <t>https://registry.gdi-de.org/id/de.st.lau.pf.anlagen-ied-euregistry/100477</t>
  </si>
  <si>
    <t>OPTERRA Zement GmbH</t>
  </si>
  <si>
    <t>Karsdorf</t>
  </si>
  <si>
    <t>https://registry.gdi-de.org/id/de.bw.lubw.inspire.pf//pf-450-4650956-00000000</t>
  </si>
  <si>
    <t>Schwenk Zement</t>
  </si>
  <si>
    <t>Allmendingen</t>
  </si>
  <si>
    <t>https://registry.gdi-de.org/id/de.bw.lubw.inspire.pf//pf-450-4664299-00000000</t>
  </si>
  <si>
    <t>HeidelbergCement</t>
  </si>
  <si>
    <t>Schelklingen</t>
  </si>
  <si>
    <t>https://registry.gdi-de.org/id/de.bw.lubw.inspire.pf//pf-450-1926772-00000000</t>
  </si>
  <si>
    <t>SCHWENK Zement GmbH &amp; Co. KG</t>
  </si>
  <si>
    <t>Heidenheim an der Brenz</t>
  </si>
  <si>
    <t>https://registry.gdi-de.org/id/de.bw.lubw.inspire.pf//pf-450-3265552-00000000</t>
  </si>
  <si>
    <t>OPTERRA Wössingen GmbH Werk Wössingen</t>
  </si>
  <si>
    <t>Walzbachtal</t>
  </si>
  <si>
    <t>https://registry.gdi-de.org/id/de.bw.lubw.inspire.pf//pf-450-7897669-00000000</t>
  </si>
  <si>
    <t>Holcim (Süddeutschland) GmbH</t>
  </si>
  <si>
    <t>Dotternhausen</t>
  </si>
  <si>
    <t>https://registry.gdi-de.org/id/de.st.lau.pf.anlagen-ied-euregistry/100921</t>
  </si>
  <si>
    <t>Kalkwerk Kaltes Tal</t>
  </si>
  <si>
    <t>Oberharz am Brocken</t>
  </si>
  <si>
    <t>https://registry.gdi-de.org/id/de.st.lau.pf.anlagen-ied-euregistry/100933</t>
  </si>
  <si>
    <t>Kalkwerk Rübeland</t>
  </si>
  <si>
    <t>https://registry.gdi-de.org/id/de.ni.mu/01227571140</t>
  </si>
  <si>
    <t>Fels-Werke GmbH Kalkwerk Münchehof</t>
  </si>
  <si>
    <t>Seesen</t>
  </si>
  <si>
    <t>https://registry.gdi-de.org/id/de.by.inspire.pf.ied/S00328</t>
  </si>
  <si>
    <t>Fels-Werke GmbH, Kalkwerk Saal</t>
  </si>
  <si>
    <t>Saal a.d.Donau</t>
  </si>
  <si>
    <t>https://registry.gdi-de.org/id/de.he.0945.de7.pf.eu_industrie/60002258</t>
  </si>
  <si>
    <t>Schaefer Kalk GmbH &amp; Co. KG, Werk Steeden</t>
  </si>
  <si>
    <t>Runkel, St.</t>
  </si>
  <si>
    <t>https://registry.gdi-de.org/id/de.rp.inspire.pf.bube-eureg/1000266</t>
  </si>
  <si>
    <t>Schaefer Kalk  GmbH &amp; Co. KG</t>
  </si>
  <si>
    <t>Hahnstätten</t>
  </si>
  <si>
    <t>https://registry.gdi-de.org/id/de.st.lau.pf.anlagen-ied-euregistry/100920</t>
  </si>
  <si>
    <t>Kalkwerk Hornberg</t>
  </si>
  <si>
    <t>https://registry.gdi-de.org/id/de.bw.lubw.inspire.pf//pf-450-50902148-00000000</t>
  </si>
  <si>
    <t>Efringen-Kirchen</t>
  </si>
  <si>
    <t>https://registry.gdi-de.org/id/de.by.inspire.pf.ied/S00522</t>
  </si>
  <si>
    <t>Walhalla Kalk GmbH &amp; Co. KG</t>
  </si>
  <si>
    <t>Regensburg</t>
  </si>
  <si>
    <t>https://registry.gdi-de.org/id/de.bw.lubw.inspire.pf//pf-450-3192067-00000000</t>
  </si>
  <si>
    <t>HeidelbergCement AG Zementwerk Leimen Zementwerk Leimen</t>
  </si>
  <si>
    <t>Leimen</t>
  </si>
  <si>
    <t>https://registry.gdi-de.org/id/de.by.inspire.pf.ied/S01166</t>
  </si>
  <si>
    <t>Märker Kalk GmbH</t>
  </si>
  <si>
    <t>https://registry.gdi-de.org/id/de.nw.inspire.pf.bube-eureg/arb-2017-566044-500-0109203</t>
  </si>
  <si>
    <t>Calcis Lienen GmbH &amp; Co.KG</t>
  </si>
  <si>
    <t>Lienen</t>
  </si>
  <si>
    <t>https://registry.gdi-de.org/id/de.bw.lubw.inspire.pf//pf-450-2486806-00000000</t>
  </si>
  <si>
    <t>Blaustein</t>
  </si>
  <si>
    <t>https://registry.gdi-de.org/id/de.nw.inspire.pf.bube-eureg/arb-2017-974044-900-0840277</t>
  </si>
  <si>
    <t>Calcis Warstein GmbH &amp; Co. KG</t>
  </si>
  <si>
    <t>Warstein</t>
  </si>
  <si>
    <t>RO.CAED/104AG0001.FACILITY</t>
  </si>
  <si>
    <t>SC HOLCIM ROMANIA SA</t>
  </si>
  <si>
    <t>RO.CAED/109DB0001.FACILITY</t>
  </si>
  <si>
    <t>Fieni</t>
  </si>
  <si>
    <t>SE.CAED/10016819.Facility</t>
  </si>
  <si>
    <t>Kalkproduktion Storugns AB</t>
  </si>
  <si>
    <t>LÄRBRO</t>
  </si>
  <si>
    <t>UK.CAED/EW_EA-2302.FACILITY</t>
  </si>
  <si>
    <t>Rugby Cement Plant</t>
  </si>
  <si>
    <t>Rugby</t>
  </si>
  <si>
    <t>UK.CAED/EW_EA-16879.FACILITY</t>
  </si>
  <si>
    <t>Hope Cement Works</t>
  </si>
  <si>
    <t>Hope Valley</t>
  </si>
  <si>
    <t>UK.CAED/EW_EA-1608.FACILITY</t>
  </si>
  <si>
    <t>Whitwell Works</t>
  </si>
  <si>
    <t>WORKSOP</t>
  </si>
  <si>
    <t>UK.CAED/EW_EA-2303.FACILITY</t>
  </si>
  <si>
    <t>South Ferriby Cement Plant EPR/BL1029IP</t>
  </si>
  <si>
    <t>South Ferriby</t>
  </si>
  <si>
    <t>UK.CAED/EW_EA-789.FACILITY</t>
  </si>
  <si>
    <t>Shapfell Lime Works</t>
  </si>
  <si>
    <t>Penrith</t>
  </si>
  <si>
    <t>UK.CAED/EW_EA-6934.FACILITY</t>
  </si>
  <si>
    <t>Hindlow Quarry Lime Works</t>
  </si>
  <si>
    <t>Sterndale Moor</t>
  </si>
  <si>
    <t>UK.CAED/EW_EA-1691.FACILITY</t>
  </si>
  <si>
    <t>Brierlow Lime Works</t>
  </si>
  <si>
    <t>Buxton</t>
  </si>
  <si>
    <t>DK.CAED/000105461.FACILITY</t>
  </si>
  <si>
    <t>I/S Amager Ressourcecenter</t>
  </si>
  <si>
    <t>DK.CAED/000105660.FACILITY</t>
  </si>
  <si>
    <t>Energnist, Energnist Esbjerg</t>
  </si>
  <si>
    <t>DK.CAED/000105671.FACILITY</t>
  </si>
  <si>
    <t>Nordværk I/S - Energianlægget Aalborg</t>
  </si>
  <si>
    <t>DK.CAED/000057637.FACILITY</t>
  </si>
  <si>
    <t>Energnist Kolding</t>
  </si>
  <si>
    <t>Kolding</t>
  </si>
  <si>
    <t>DK.CAED/000096764.FACILITY</t>
  </si>
  <si>
    <t>I/S Vestforbrænding, Glostrup</t>
  </si>
  <si>
    <t>Glostrup</t>
  </si>
  <si>
    <t>DK.CAED/000105658.FACILITY</t>
  </si>
  <si>
    <t>Fjernvarme Fyn Affaldsenergi</t>
  </si>
  <si>
    <t>DK.CAED/000106172.FACILITY</t>
  </si>
  <si>
    <t>Nordværk I/S - Energianlægget Hjørring</t>
  </si>
  <si>
    <t>Hjørring</t>
  </si>
  <si>
    <t>DK.CAED/000105775.FACILITY</t>
  </si>
  <si>
    <t>Sønderborg Kraftvarme A/S</t>
  </si>
  <si>
    <t>Sønderborg</t>
  </si>
  <si>
    <t>DK.CAED/000105787.FACILITY</t>
  </si>
  <si>
    <t>Svendborg Kraftvarme A/S</t>
  </si>
  <si>
    <t>Svendborg</t>
  </si>
  <si>
    <t>DK.CAED/000105139.FACILITY</t>
  </si>
  <si>
    <t>BIOFOS A/S, Renseanlæg Lynetten</t>
  </si>
  <si>
    <t>København K</t>
  </si>
  <si>
    <t>http://paikkatiedot.fi/so/1002031/pf/ProductionFacility/0100215001.ProductionFacility</t>
  </si>
  <si>
    <t>Vantaan Energia Oy, Jätevoimala</t>
  </si>
  <si>
    <t>https://registry.gdi-de.org/id/de.nw.inspire.pf.bube-eureg/arb-2017-119000-100-0431192</t>
  </si>
  <si>
    <t>GMVA Gemeinschafts-Müllverbrennungsanlage Niederrhein GmbH</t>
  </si>
  <si>
    <t>https://registry.gdi-de.org/id/de.nw.inspire.pf.bube-eureg/arb-2017-562020-500-0414594</t>
  </si>
  <si>
    <t>AGR mbH</t>
  </si>
  <si>
    <t>Herten</t>
  </si>
  <si>
    <t>https://registry.gdi-de.org/id/de.bw.lubw.inspire.pf//pf-450-9169156-00000000</t>
  </si>
  <si>
    <t>MVV Umwelt Asset GmbH - MHKW Mannheim</t>
  </si>
  <si>
    <t>https://registry.gdi-de.org/id/de.st.lau.pf.anlagen-ied-euregistry/100150</t>
  </si>
  <si>
    <t>MHKW Müllheizkraftwerk Rothensee GmbH</t>
  </si>
  <si>
    <t>Magdeburg</t>
  </si>
  <si>
    <t>https://registry.gdi-de.org/id/de.by.inspire.pf.ied/S00499</t>
  </si>
  <si>
    <t>Müllkraftwerk Schwandorf</t>
  </si>
  <si>
    <t>Schwandorf</t>
  </si>
  <si>
    <t>https://registry.gdi-de.org/id/de.be.pf.lisa/760</t>
  </si>
  <si>
    <t>BSR / MHKW</t>
  </si>
  <si>
    <t>https://registry.gdi-de.org/id/de.st.lau.pf.anlagen-ied-euregistry/100995</t>
  </si>
  <si>
    <t>MVV Umwelt Asset GmbH</t>
  </si>
  <si>
    <t>https://registry.gdi-de.org/id/de.he.0945.de7.pf.eu_industrie/30001503</t>
  </si>
  <si>
    <t>Thermal Conversion Compound Industriepark Höchst GmbH</t>
  </si>
  <si>
    <t>https://registry.gdi-de.org/id/de.ni.mu/01000259750</t>
  </si>
  <si>
    <t>EEW Energy from Waste Helmstedt GmbH</t>
  </si>
  <si>
    <t>Büddenstedt</t>
  </si>
  <si>
    <t>https://registry.gdi-de.org/id/de.bw.lubw.inspire.pf//pf-450-1195689-00000000</t>
  </si>
  <si>
    <t>EnBW HKW Stuttgart-Münster (mit MVA) HKW Stuttgart-Münster (mit MVA)</t>
  </si>
  <si>
    <t>Stuttgart</t>
  </si>
  <si>
    <t>https://registry.gdi-de.org/id/de.ni.mu/10000167470</t>
  </si>
  <si>
    <t>EVI Abfallverwertung B.V. &amp; Co. KG</t>
  </si>
  <si>
    <t>Laar</t>
  </si>
  <si>
    <t>https://registry.gdi-de.org/id/de.sh//50080603</t>
  </si>
  <si>
    <t>SWN Stadtwerke Neumünster GmbH</t>
  </si>
  <si>
    <t>Neumünster</t>
  </si>
  <si>
    <t>https://registry.gdi-de.org/id/de.nw.inspire.pf.bube-eureg/arb-2017-111000-100-0407176</t>
  </si>
  <si>
    <t>https://registry.gdi-de.org/id/de.he.0945.de7.pf.eu_industrie/50006414</t>
  </si>
  <si>
    <t>B+T Energie GmbH</t>
  </si>
  <si>
    <t>Witzenhausen</t>
  </si>
  <si>
    <t>https://registry.gdi-de.org/id/de.bb.inspire.pf.eureg/23040177</t>
  </si>
  <si>
    <t>Progroup Power 1 GmbH</t>
  </si>
  <si>
    <t>https://registry.gdi-de.org/id/de.nw.inspire.pf.bube-eureg/arb-2017-315000-300-1350016</t>
  </si>
  <si>
    <t>AVG Abfallentsorgungs- und Verwertungsgesellschaft Köln mbH</t>
  </si>
  <si>
    <t>https://registry.gdi-de.org/id/de.bb.inspire.pf.eureg/45039245</t>
  </si>
  <si>
    <t>Hamburger Rieger GmbH Geschäftsfeld Kraftwerk</t>
  </si>
  <si>
    <t>https://registry.gdi-de.org/id/de.hh/pf.bube-eureg_/6856</t>
  </si>
  <si>
    <t>MVR Müllverwertung Rugenberger Damm GmbH</t>
  </si>
  <si>
    <t>https://registry.gdi-de.org/id/de.sh//50079832</t>
  </si>
  <si>
    <t>EEW Energy from Waste Stapelfeld GmbH</t>
  </si>
  <si>
    <t>Stapelfeld</t>
  </si>
  <si>
    <t>https://registry.gdi-de.org/id/de.bb.inspire.pf.eureg/23021047</t>
  </si>
  <si>
    <t>IKW Rüdersdorf GmbH</t>
  </si>
  <si>
    <t>https://registry.gdi-de.org/id/de.he.0945.de7.pf.eu_industrie/50003355</t>
  </si>
  <si>
    <t>EEW Energy from Waste Heringen GmbH</t>
  </si>
  <si>
    <t>https://registry.gdi-de.org/id/de.nw.inspire.pf.bube-eureg/arb-2017-314000-300-0362088</t>
  </si>
  <si>
    <t>Müllverwertungsanlage Bonn GmbH</t>
  </si>
  <si>
    <t>https://registry.gdi-de.org/id/de.ni.mu/06060181710</t>
  </si>
  <si>
    <t>EEW Energy from Waste Hannover GmbH</t>
  </si>
  <si>
    <t>https://registry.gdi-de.org/id/de.nw.inspire.pf.bube-eureg/arb-2017-915000-900-0302988</t>
  </si>
  <si>
    <t>MHB Hamm Betriebsführungsgesell schaft mbH</t>
  </si>
  <si>
    <t>https://registry.gdi-de.org/id/de.by.inspire.pf.ied/S00971</t>
  </si>
  <si>
    <t>AVA Abfallverwertung Augsburg Kommunalunternehmen</t>
  </si>
  <si>
    <t>Augsburg</t>
  </si>
  <si>
    <t>https://registry.gdi-de.org/id/de.by.inspire.pf.ied/S00052</t>
  </si>
  <si>
    <t>Müllheizkraftwerk Burgkirchen</t>
  </si>
  <si>
    <t>https://registry.gdi-de.org/id/de.by.inspire.pf.ied/S00053</t>
  </si>
  <si>
    <t>Müllverwertungsanlage Ingolstadt</t>
  </si>
  <si>
    <t>Ingolstadt</t>
  </si>
  <si>
    <t>https://registry.gdi-de.org/id/de.bb.inspire.pf.eureg/45035910</t>
  </si>
  <si>
    <t>EEW Energy from Waste Großräschen GmbH</t>
  </si>
  <si>
    <t>Großräschen</t>
  </si>
  <si>
    <t>https://registry.gdi-de.org/id/de.by.inspire.pf.ied/S00706</t>
  </si>
  <si>
    <t>Müllverbrennungsanlage Nürnberg</t>
  </si>
  <si>
    <t>https://registry.gdi-de.org/id/de.he.0945.de7.pf.eu_industrie/30001052</t>
  </si>
  <si>
    <t>EVO - MHKW Offenbach</t>
  </si>
  <si>
    <t>https://registry.gdi-de.org/id/de.ni.mu/04000025140</t>
  </si>
  <si>
    <t>Klingele Papierwerke GmbH &amp; Co. KG Papierfabrik Weener</t>
  </si>
  <si>
    <t>Weener</t>
  </si>
  <si>
    <t>https://registry.gdi-de.org/id/de.rp.inspire.pf.bube-eureg/5000299</t>
  </si>
  <si>
    <t>GML - Gemeinschafts-Müllheizkraftwerk Ludwigshafen GmbH</t>
  </si>
  <si>
    <t>https://registry.gdi-de.org/id/de.nw.inspire.pf.bube-eureg/arb-2017-316000-300-0535035</t>
  </si>
  <si>
    <t>AVEA Entsorgungsbetriebe GmbH &amp; Co. KG</t>
  </si>
  <si>
    <t>https://registry.gdi-de.org/id/de.by.inspire.pf.ied/S00857</t>
  </si>
  <si>
    <t>Müllheizkraftwerk Würzburg</t>
  </si>
  <si>
    <t>https://registry.gdi-de.org/id/de.he.0945.de7.pf.eu_industrie/20000115</t>
  </si>
  <si>
    <t>ENTEGA AG (MHKW)</t>
  </si>
  <si>
    <t>Darmstadt, Stadt</t>
  </si>
  <si>
    <t>https://registry.gdi-de.org/id/de.hh/pf.bube-eureg_/12562</t>
  </si>
  <si>
    <t>VERA Klärschlammverbrennung</t>
  </si>
  <si>
    <t>https://registry.gdi-de.org/id/de.rp.inspire.pf.bube-eureg/5000603</t>
  </si>
  <si>
    <t>EEW Energy from waste Saarbrücken GmbH</t>
  </si>
  <si>
    <t>Pirmasens</t>
  </si>
  <si>
    <t>https://registry.gdi-de.org/id/de.bw.lubw.inspire.pf//pf-450-7024258-00000000</t>
  </si>
  <si>
    <t>EEW MHKW Göppingen</t>
  </si>
  <si>
    <t>Göppingen</t>
  </si>
  <si>
    <t>https://registry.gdi-de.org/id/de.bb.inspire.pf.eureg/16018080</t>
  </si>
  <si>
    <t>EEW Energy from Waste Premnitz GmbH</t>
  </si>
  <si>
    <t>Premnitz</t>
  </si>
  <si>
    <t>https://registry.gdi-de.org/id/de.mv.land.inspire.pf.bube/50002562</t>
  </si>
  <si>
    <t>HKW Altholz</t>
  </si>
  <si>
    <t>Malchin</t>
  </si>
  <si>
    <t>https://registry.gdi-de.org/id/de.by.inspire.pf.ied/S00018</t>
  </si>
  <si>
    <t>Heizkraftwerk Altenstadt GmbH &amp; Co. KG</t>
  </si>
  <si>
    <t>Altenstadt</t>
  </si>
  <si>
    <t>https://registry.gdi-de.org/id/de.by.inspire.pf.ied/S00638</t>
  </si>
  <si>
    <t>Müllheizkraftwerk Bamberg</t>
  </si>
  <si>
    <t>Bamberg</t>
  </si>
  <si>
    <t>https://registry.gdi-de.org/id/de.nw.inspire.pf.bube-eureg/arb-2017-962024-900-0235202</t>
  </si>
  <si>
    <t>AMK Abfallentsorgungsgesellschaft des Märkischen Kreises mbH</t>
  </si>
  <si>
    <t>Iserlohn</t>
  </si>
  <si>
    <t>IE.CAED/W0232.FACILITY</t>
  </si>
  <si>
    <t>Dublin Waste to Energy Limited</t>
  </si>
  <si>
    <t>IE.CAED/W0167.FACILITY</t>
  </si>
  <si>
    <t>Indaver Ireland Limited (Duleek)</t>
  </si>
  <si>
    <t>NL.RIVM/000010063.FACILITY</t>
  </si>
  <si>
    <t>AVR-Afvalverwerking</t>
  </si>
  <si>
    <t>NL.RIVM/000028085.FACILITY</t>
  </si>
  <si>
    <t>NL.RIVM/000028091.FACILITY</t>
  </si>
  <si>
    <t>HVC N.V.</t>
  </si>
  <si>
    <t>Alkmaar</t>
  </si>
  <si>
    <t>NL.RIVM/000044009.FACILITY</t>
  </si>
  <si>
    <t>BV Afvalverbranding Zuid Nederland (AZN)</t>
  </si>
  <si>
    <t>NL.RIVM/000085002.FACILITY</t>
  </si>
  <si>
    <t>Attero BV</t>
  </si>
  <si>
    <t>Wijster</t>
  </si>
  <si>
    <t>NL.RIVM/000044007.FACILITY</t>
  </si>
  <si>
    <t>PreZero Energy Roosendaal B.V.</t>
  </si>
  <si>
    <t>Roosendaal</t>
  </si>
  <si>
    <t>NL.RIVM/000010076.FACILITY</t>
  </si>
  <si>
    <t>HVC AfvalEnergieCentrale Dordrecht</t>
  </si>
  <si>
    <t>Dordrecht</t>
  </si>
  <si>
    <t>NL.RIVM/000203496.FACILITY</t>
  </si>
  <si>
    <t>Reststoffen Energie Centrale (REC)</t>
  </si>
  <si>
    <t>Harlingen</t>
  </si>
  <si>
    <t>NL.RIVM/000012158.FACILITY</t>
  </si>
  <si>
    <t>HVC Slibverbrandingsinstallatie</t>
  </si>
  <si>
    <t>UK.CAED/EW_EA-17781.FACILITY</t>
  </si>
  <si>
    <t>Templeborough Biomass Power Plant</t>
  </si>
  <si>
    <t>Templeborough</t>
  </si>
  <si>
    <t>UK.CAED/EW_EA-18626.FACILITY</t>
  </si>
  <si>
    <t>Ferrybridge Multifuel Plant EPR/SP3239FU</t>
  </si>
  <si>
    <t>Knottingley</t>
  </si>
  <si>
    <t>UK.CAED/EW_EA-13691.FACILITY</t>
  </si>
  <si>
    <t>RIVERSIDE RESOURCE RECOVERY</t>
  </si>
  <si>
    <t>BELVEDERE</t>
  </si>
  <si>
    <t>UK.CAED/EW_EA-16599.FACILITY</t>
  </si>
  <si>
    <t>Bolton Thermal Recovery Facility</t>
  </si>
  <si>
    <t>BOLTON</t>
  </si>
  <si>
    <t>UK.SEPA/200002509.Facility</t>
  </si>
  <si>
    <t>Markinch Biomass CHP</t>
  </si>
  <si>
    <t>Glenrothes</t>
  </si>
  <si>
    <t>UK.SEPA/200001997.Facility</t>
  </si>
  <si>
    <t>Steven's Croft Power Station</t>
  </si>
  <si>
    <t>Nethercleugh, Lockerbie</t>
  </si>
  <si>
    <t>UK.CAED/EW_EA-18795.FACILITY</t>
  </si>
  <si>
    <t>Severnside Energy Recovery Centre EPR/ZP3937KL</t>
  </si>
  <si>
    <t>UK.CAED/EW_EA-16978.FACILITY</t>
  </si>
  <si>
    <t>Suffolk EfW Facility EPR/WP3438HZ</t>
  </si>
  <si>
    <t>IPSWICH</t>
  </si>
  <si>
    <t>UK.CAED/EW_EA-12834.FACILITY</t>
  </si>
  <si>
    <t>Lakeside EfW Facility EPR/BT7116IW</t>
  </si>
  <si>
    <t>SLOUGH</t>
  </si>
  <si>
    <t>UK.SEPA/200002618.Facility</t>
  </si>
  <si>
    <t>Dunbar Energy Recovery Facility</t>
  </si>
  <si>
    <t>East Barns, Dunbar, East Lothian</t>
  </si>
  <si>
    <t>UK.CAED/EW_EA-829.FACILITY</t>
  </si>
  <si>
    <t>Coventry Incinerator EPR/NP3739PD</t>
  </si>
  <si>
    <t>COVENTRY</t>
  </si>
  <si>
    <t>UK.CAED/EW_EA-18716.FACILITY</t>
  </si>
  <si>
    <t>Greatmoor EfW EPR/UP3734HT</t>
  </si>
  <si>
    <t>AYLESBURY</t>
  </si>
  <si>
    <t>UK.CAED/EW_EA-18367.FACILITY</t>
  </si>
  <si>
    <t>Cornwall Energy Recovery Centre EPR/GP3433GH</t>
  </si>
  <si>
    <t>St. Austell</t>
  </si>
  <si>
    <t>UK.CAED/EW_EA-1986.FACILITY</t>
  </si>
  <si>
    <t>SHEFFIELD ENERGY RECOVERY FACILITY</t>
  </si>
  <si>
    <t>UK.CAED/EW_EA-1787.FACILITY</t>
  </si>
  <si>
    <t>Stoke EfW Facility</t>
  </si>
  <si>
    <t>Sideway</t>
  </si>
  <si>
    <t>UK.CAED/EW_EA-18746.FACILITY</t>
  </si>
  <si>
    <t>Devonport Energy from Waste CHP Facility</t>
  </si>
  <si>
    <t>Devonport</t>
  </si>
  <si>
    <t>UK.CAED/EW_EA-13672.FACILITY</t>
  </si>
  <si>
    <t>NEWHAVEN INCINERATOR</t>
  </si>
  <si>
    <t>NEWHAVEN</t>
  </si>
  <si>
    <t>UK.CAED/EW_EA-16079.FACILITY</t>
  </si>
  <si>
    <t>Lincolnshire EfW Facility</t>
  </si>
  <si>
    <t>Lincoln</t>
  </si>
  <si>
    <t>UK.CAED/EW_EA-16783.FACILITY</t>
  </si>
  <si>
    <t>Integra South East Energy Recovery Facility</t>
  </si>
  <si>
    <t>Copnor</t>
  </si>
  <si>
    <t>UK.CAED/EW_EA-17768.FACILITY</t>
  </si>
  <si>
    <t>Ferrybridge Multifuel Plant 2 EPR/XP3833DK</t>
  </si>
  <si>
    <t>UK.CAED/EW_EA-18365.FACILITY</t>
  </si>
  <si>
    <t>Veolia Leeds Recycling and Energy Recovery Facility</t>
  </si>
  <si>
    <t>Leeds</t>
  </si>
  <si>
    <t>UK.CAED/EW_EA-2939.FACILITY</t>
  </si>
  <si>
    <t>Eastcroft EFW Plant</t>
  </si>
  <si>
    <t>UK.CAED/EW_EA-17008.FACILITY</t>
  </si>
  <si>
    <t>Eye Power Station EPR/BP3635LA</t>
  </si>
  <si>
    <t>Eye</t>
  </si>
  <si>
    <t>UK.CAED/EW_EA-16776.FACILITY</t>
  </si>
  <si>
    <t>Goosey Lodge EPR/NP3338SZ</t>
  </si>
  <si>
    <t>RUSHDEN</t>
  </si>
  <si>
    <t>UK.CAED/EW_EA-16798.FACILITY</t>
  </si>
  <si>
    <t>Kirklees EfW EPR/BJ6178IX</t>
  </si>
  <si>
    <t>Huddersfield</t>
  </si>
  <si>
    <t>UK.CAED/EW_EA-1711.FACILITY</t>
  </si>
  <si>
    <t>Edmonton EfW Facility EPR/YP3033BE</t>
  </si>
  <si>
    <t>UK.CAED/EW_EA-2497.FACILITY</t>
  </si>
  <si>
    <t>Slough Heat and Power</t>
  </si>
  <si>
    <t>UK.SEPA/200002651.Facility</t>
  </si>
  <si>
    <t>Millerhill Recycling &amp; Energy Recovery Centre</t>
  </si>
  <si>
    <t>Millerhill, Dalkeith</t>
  </si>
  <si>
    <t>UK.CAED/EW_EA-18767.FACILITY</t>
  </si>
  <si>
    <t>Mercia EnviRecover EPR/XP3935TX</t>
  </si>
  <si>
    <t>KIDDERMINSTER</t>
  </si>
  <si>
    <t>UK.CAED/EW_EA-17731.FACILITY</t>
  </si>
  <si>
    <t>Tilbury Green Power EPR/KP3936ZB</t>
  </si>
  <si>
    <t>Essex</t>
  </si>
  <si>
    <t>UK.CAED/EW_EA-1788.FACILITY</t>
  </si>
  <si>
    <t>Wolverhampton EfW Facility</t>
  </si>
  <si>
    <t>Wolverhampton</t>
  </si>
  <si>
    <t>UK.CAED/EW_EA-1786.FACILITY</t>
  </si>
  <si>
    <t>Dudley Energy from Waste Facility EPR/AP3435SD</t>
  </si>
  <si>
    <t>DUDLEY</t>
  </si>
  <si>
    <t>UK.SEPA/200000046.Facility</t>
  </si>
  <si>
    <t>Dundee Energy Recycling Ltd</t>
  </si>
  <si>
    <t>Dundee</t>
  </si>
  <si>
    <t>ID</t>
  </si>
  <si>
    <t>Biogenic CO2 (ktCO2/yr)</t>
  </si>
  <si>
    <t>Total biogenic CO2 [Mt]</t>
  </si>
  <si>
    <t>Number of current plants</t>
  </si>
  <si>
    <t>Total biomethane output (TWh/yr)</t>
  </si>
  <si>
    <t>Total biogenic CO2 (ktCO2/yr)</t>
  </si>
  <si>
    <t>Total biogenic CO2 (MtCO2/yr)</t>
  </si>
  <si>
    <t>Area of country (km^2)</t>
  </si>
  <si>
    <t>Biogenic CO2 density (tCO2/km^2)</t>
  </si>
  <si>
    <t>Product</t>
  </si>
  <si>
    <t>Project Name</t>
  </si>
  <si>
    <t>Project Developer(s)</t>
  </si>
  <si>
    <t>Country, City</t>
  </si>
  <si>
    <t>e-methanol production Capacity (kilotonnes per year)</t>
  </si>
  <si>
    <t>Projected CO2 requirement (ktCO2/yr)</t>
  </si>
  <si>
    <t>Projected CO2 requirement (MtCO2/yr)</t>
  </si>
  <si>
    <t>eM-Lacq (changing to E-CHO which is a bigger project - it was already the case in 2022)</t>
  </si>
  <si>
    <t>Elyse Energy</t>
  </si>
  <si>
    <t xml:space="preserve">Lacq, France </t>
  </si>
  <si>
    <t>eM-Rhone</t>
  </si>
  <si>
    <t>France, Salaise-sur-Sanne</t>
  </si>
  <si>
    <t>Begonia</t>
  </si>
  <si>
    <t>Alkeymia</t>
  </si>
  <si>
    <t>Spain, Almazán</t>
  </si>
  <si>
    <t>Sophya (together with Pilar and Pilatus the project is also known as Hyberus)</t>
  </si>
  <si>
    <t>Spain, Ascó</t>
  </si>
  <si>
    <t>Finnfjord E-methanol plant</t>
  </si>
  <si>
    <t xml:space="preserve">CRI - Carbon Recycling international (CRI), Stratkraft (no longer involved in this project) </t>
  </si>
  <si>
    <t>Norway, Finnsnes</t>
  </si>
  <si>
    <t>Flagship Three</t>
  </si>
  <si>
    <t>Liquid Wind, Umeå Energi</t>
  </si>
  <si>
    <t>Sweden, Umeå</t>
  </si>
  <si>
    <t>Flagship Two</t>
  </si>
  <si>
    <t>Liquid Wind, Sundsvall Energi</t>
  </si>
  <si>
    <t>Sweden, Sundsval, Korstaverket</t>
  </si>
  <si>
    <t>Sierra sur</t>
  </si>
  <si>
    <t>Spain, La Roda de Andalucía</t>
  </si>
  <si>
    <t>eM-Numancia</t>
  </si>
  <si>
    <t xml:space="preserve">Spain, Garray </t>
  </si>
  <si>
    <t>European Energy Kassø</t>
  </si>
  <si>
    <t>European Energy (developer and joint venture partner)  &amp; Mitsui &amp; Co (joint venture partner)</t>
  </si>
  <si>
    <t>Denmark, Kassø</t>
  </si>
  <si>
    <t>Pilatus (together with Pilar and Sophya the project is also known as Hyberus)</t>
  </si>
  <si>
    <t>Uknown - based on slide deck from Alkeymia could be Caspe area</t>
  </si>
  <si>
    <t>No name</t>
  </si>
  <si>
    <t>European Energy</t>
  </si>
  <si>
    <t>Denmark, Skive</t>
  </si>
  <si>
    <t>GreenLab Skive e-methanol plant</t>
  </si>
  <si>
    <t>ReIntegrate, Advent</t>
  </si>
  <si>
    <t>Project developer(s)</t>
  </si>
  <si>
    <t>Total liquid fuel production capacity [kt/yr]</t>
  </si>
  <si>
    <t>E-kerosene production capacity [kt/yr]</t>
  </si>
  <si>
    <t>Location</t>
  </si>
  <si>
    <t>Galileu</t>
  </si>
  <si>
    <t>Smartenergy</t>
  </si>
  <si>
    <t>Lisbon</t>
  </si>
  <si>
    <t>E-fuel 2</t>
  </si>
  <si>
    <t>Nordic Electrofuel</t>
  </si>
  <si>
    <t>Herøya</t>
  </si>
  <si>
    <t>E-fuel 3</t>
  </si>
  <si>
    <t>Unknown</t>
  </si>
  <si>
    <t>SkyKraft</t>
  </si>
  <si>
    <t>SkyNRG</t>
  </si>
  <si>
    <t>Port of Skellefteå</t>
  </si>
  <si>
    <t>ECO2FLY</t>
  </si>
  <si>
    <t>Ignis P2X</t>
  </si>
  <si>
    <t>Villaluenga de la Sagra (Holcim's existing cement plant south of Madrid)</t>
  </si>
  <si>
    <t>NeoCarb</t>
  </si>
  <si>
    <t>Fos-sur-Mer (Industrial port zone)</t>
  </si>
  <si>
    <t>H2V</t>
  </si>
  <si>
    <t>Dunkerque</t>
  </si>
  <si>
    <t>Fjord PtX</t>
  </si>
  <si>
    <t>Copenhagen Infrastructure Partners</t>
  </si>
  <si>
    <t>SAF + Consortium</t>
  </si>
  <si>
    <t>Le Havre</t>
  </si>
  <si>
    <t>Infinium Norway plant</t>
  </si>
  <si>
    <t>Infinium</t>
  </si>
  <si>
    <t>Ep’HyNE</t>
  </si>
  <si>
    <t>Verso Energy</t>
  </si>
  <si>
    <t>Chavelot (Grand-Est)</t>
  </si>
  <si>
    <t>Oulu Project</t>
  </si>
  <si>
    <t>DéZiR</t>
  </si>
  <si>
    <t>Rouen / Petite Couronne</t>
  </si>
  <si>
    <t>LiCHEN</t>
  </si>
  <si>
    <t>Saillat-sur-Vienne et Etagnac (Limousin)</t>
  </si>
  <si>
    <t>ReSTart</t>
  </si>
  <si>
    <t>Tartas (RYAM site)</t>
  </si>
  <si>
    <t>Tornio Project</t>
  </si>
  <si>
    <t>Tornio (Arctio North industrial site)</t>
  </si>
  <si>
    <t>France KerEAUzen</t>
  </si>
  <si>
    <t>Engie</t>
  </si>
  <si>
    <t>NABOO</t>
  </si>
  <si>
    <t>Arcadia eFuels</t>
  </si>
  <si>
    <t>UK</t>
  </si>
  <si>
    <t>Teesside</t>
  </si>
  <si>
    <t>ENDOR</t>
  </si>
  <si>
    <t>Vordingborg</t>
  </si>
  <si>
    <t>Compostilla Green</t>
  </si>
  <si>
    <t>RIC Energy</t>
  </si>
  <si>
    <t>Cubillos del Sil (Castilla y León)</t>
  </si>
  <si>
    <t>H4 Marseille Fos</t>
  </si>
  <si>
    <t>H2V, Hy2gen</t>
  </si>
  <si>
    <t>Leça</t>
  </si>
  <si>
    <t>Porto</t>
  </si>
  <si>
    <t>Huelva Bay Project</t>
  </si>
  <si>
    <t>Avalon Renewables</t>
  </si>
  <si>
    <t>Port of Huelva</t>
  </si>
  <si>
    <t>Project Alby</t>
  </si>
  <si>
    <t>Norsk e-Fuel</t>
  </si>
  <si>
    <t>Ånge</t>
  </si>
  <si>
    <t>Project Imatra</t>
  </si>
  <si>
    <t>Pelkola, Imatra Municipality</t>
  </si>
  <si>
    <t>Project Rauma</t>
  </si>
  <si>
    <t>Helguvik plant</t>
  </si>
  <si>
    <t>IðunnH2</t>
  </si>
  <si>
    <t>Helguvík Harbour</t>
  </si>
  <si>
    <t>HyFly</t>
  </si>
  <si>
    <t>ORLEN</t>
  </si>
  <si>
    <t>ORLEN refinery</t>
  </si>
  <si>
    <t>Concrete Chemicals</t>
  </si>
  <si>
    <t>Rüdersdorf</t>
  </si>
  <si>
    <t>Norsaf</t>
  </si>
  <si>
    <t>Liepaja Special Economic Zone</t>
  </si>
  <si>
    <t>Take Kair</t>
  </si>
  <si>
    <t>EDF</t>
  </si>
  <si>
    <t>Saint-Nazaire</t>
  </si>
  <si>
    <t>Turboleta SAF</t>
  </si>
  <si>
    <t>Solarig</t>
  </si>
  <si>
    <t>Teruel</t>
  </si>
  <si>
    <t>Numantia</t>
  </si>
  <si>
    <t>Garray, Soria</t>
  </si>
  <si>
    <t>Project Valdepeñas</t>
  </si>
  <si>
    <t>Valdepeñas</t>
  </si>
  <si>
    <t>Project Mosjøen</t>
  </si>
  <si>
    <t>Nesbruket</t>
  </si>
  <si>
    <t>Occi'jet</t>
  </si>
  <si>
    <t>MGH Energy</t>
  </si>
  <si>
    <t>Occitanie</t>
  </si>
  <si>
    <t>Turbe - Phase 2</t>
  </si>
  <si>
    <t>Metafuels, Evos</t>
  </si>
  <si>
    <t>Port of Rotterdam</t>
  </si>
  <si>
    <t>Project ASAP-DAC</t>
  </si>
  <si>
    <t>Carbon Neutral Fuels</t>
  </si>
  <si>
    <t>North West, UK</t>
  </si>
  <si>
    <t>Jangada</t>
  </si>
  <si>
    <t>Hy2gen Deutschland GmbH</t>
  </si>
  <si>
    <t>Brandenburg</t>
  </si>
  <si>
    <t>Accelerator</t>
  </si>
  <si>
    <t>Bilbao industrial plant</t>
  </si>
  <si>
    <t>Enagás Renovable , EVE, Petronor</t>
  </si>
  <si>
    <t>Bilbao</t>
  </si>
  <si>
    <t>CAC ENGINEERING GmbH, TU Bergakademie Freiberg</t>
  </si>
  <si>
    <t>E-fuel 1</t>
  </si>
  <si>
    <t>Plant Zero.2</t>
  </si>
  <si>
    <t>Zero Petroleum</t>
  </si>
  <si>
    <t>Orkney</t>
  </si>
  <si>
    <t>Turbe - Phase 1</t>
  </si>
  <si>
    <t>European Energy, Metafuels</t>
  </si>
  <si>
    <t>Padborg</t>
  </si>
  <si>
    <t>Ineratec</t>
  </si>
  <si>
    <t>Frankfurt Höchst</t>
  </si>
  <si>
    <t>TPP</t>
  </si>
  <si>
    <t>DLR</t>
  </si>
  <si>
    <t>Bilbao pilot plant</t>
  </si>
  <si>
    <t>Fairfuel plant</t>
  </si>
  <si>
    <t>Solarbelt</t>
  </si>
  <si>
    <t>Werlte</t>
  </si>
  <si>
    <t>P2X-Europe</t>
  </si>
  <si>
    <t>Sarroch, Sardinia</t>
  </si>
  <si>
    <t>Liquid Sun</t>
  </si>
  <si>
    <t>Variable</t>
  </si>
  <si>
    <t>LHV e-kerosene</t>
  </si>
  <si>
    <t>MJ/kg</t>
  </si>
  <si>
    <t>LHV e-methanol</t>
  </si>
  <si>
    <t>LHV e-LNG</t>
  </si>
  <si>
    <t>LHV e-diesel</t>
  </si>
  <si>
    <t>toe</t>
  </si>
  <si>
    <t>GJ</t>
  </si>
  <si>
    <t>CO2 e-methanol</t>
  </si>
  <si>
    <t>kgCO2/kg</t>
  </si>
  <si>
    <t>CO2 e-diesel</t>
  </si>
  <si>
    <t>CO2 e-LNG</t>
  </si>
  <si>
    <t>CO2 e-kerosene</t>
  </si>
  <si>
    <t>tCO2/toe</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</si>
</sst>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0.0%"/>
    <numFmt numFmtId="166" formatCode="0.000"/>
  </numFmts>
  <fonts count="44">
    <font>
      <sz val="10.0"/>
      <color rgb="FF000000"/>
      <name val="Arial"/>
      <scheme val="minor"/>
    </font>
    <font>
      <color theme="1"/>
      <name val="Arial"/>
    </font>
    <font>
      <b/>
      <sz val="16.0"/>
      <color rgb="FFC2447A"/>
      <name val="Roboto"/>
    </font>
    <font>
      <b/>
      <sz val="40.0"/>
      <color rgb="FF000000"/>
      <name val="Roboto"/>
    </font>
    <font>
      <b/>
      <sz val="30.0"/>
      <color theme="1"/>
      <name val="Roboto"/>
    </font>
    <font>
      <sz val="19.0"/>
      <color rgb="FF000000"/>
      <name val="Roboto"/>
    </font>
    <font>
      <sz val="11.0"/>
      <color theme="1"/>
      <name val="Roboto"/>
    </font>
    <font>
      <b/>
      <color rgb="FFFFFFFF"/>
      <name val="Roboto"/>
    </font>
    <font>
      <b/>
      <color rgb="FFFFFFFF"/>
      <name val="Arial"/>
      <scheme val="minor"/>
    </font>
    <font>
      <u/>
      <color rgb="FF0000FF"/>
      <name val="Arial"/>
    </font>
    <font>
      <u/>
      <color rgb="FF000000"/>
      <name val="Roboto"/>
    </font>
    <font>
      <color rgb="FF000000"/>
      <name val="Arial"/>
    </font>
    <font>
      <color rgb="FF000000"/>
      <name val="Roboto"/>
    </font>
    <font>
      <u/>
      <color rgb="FF0000FF"/>
    </font>
    <font>
      <color rgb="FF000000"/>
      <name val="Arial"/>
      <scheme val="minor"/>
    </font>
    <font>
      <b/>
      <sz val="15.0"/>
      <color theme="1"/>
      <name val="Roboto"/>
    </font>
    <font>
      <b/>
      <sz val="16.0"/>
      <color theme="1"/>
      <name val="Roboto"/>
    </font>
    <font>
      <b/>
      <sz val="10.0"/>
      <color theme="1"/>
      <name val="Arial"/>
      <scheme val="minor"/>
    </font>
    <font>
      <b/>
      <color theme="1"/>
      <name val="Arial"/>
      <scheme val="minor"/>
    </font>
    <font>
      <sz val="10.0"/>
      <color theme="1"/>
      <name val="Arial"/>
      <scheme val="minor"/>
    </font>
    <font>
      <color theme="1"/>
      <name val="Arial"/>
      <scheme val="minor"/>
    </font>
    <font>
      <u/>
      <color rgb="FF0000FF"/>
    </font>
    <font>
      <u/>
      <color rgb="FF0000FF"/>
    </font>
    <font>
      <sz val="10.0"/>
      <color rgb="FF000000"/>
      <name val="Roboto"/>
    </font>
    <font>
      <u/>
      <color rgb="FF0000FF"/>
      <name val="Arial"/>
    </font>
    <font>
      <sz val="10.0"/>
      <color theme="1"/>
      <name val="Arial"/>
    </font>
    <font>
      <u/>
      <color rgb="FF1155CC"/>
      <name val="Arial"/>
    </font>
    <font>
      <sz val="10.0"/>
      <color rgb="FF000000"/>
      <name val="Arial"/>
    </font>
    <font>
      <b/>
      <sz val="11.0"/>
      <color theme="1"/>
      <name val="Calibri"/>
    </font>
    <font>
      <sz val="11.0"/>
      <color theme="1"/>
      <name val="Calibri"/>
    </font>
    <font>
      <b/>
      <sz val="13.0"/>
      <color theme="1"/>
      <name val="Arial"/>
      <scheme val="minor"/>
    </font>
    <font>
      <b/>
      <sz val="11.0"/>
      <color rgb="FF000000"/>
      <name val="Aptos"/>
    </font>
    <font>
      <sz val="11.0"/>
      <color rgb="FF000000"/>
      <name val="Aptos"/>
    </font>
    <font>
      <sz val="11.0"/>
      <color rgb="FF000000"/>
      <name val="Arial"/>
    </font>
    <font>
      <b/>
      <u/>
      <sz val="14.0"/>
      <color rgb="FF0000FF"/>
    </font>
    <font>
      <b/>
      <u/>
      <sz val="15.0"/>
      <color rgb="FF0000FF"/>
    </font>
    <font>
      <b/>
      <u/>
      <sz val="16.0"/>
      <color rgb="FF0000FF"/>
    </font>
    <font>
      <b/>
      <sz val="16.0"/>
      <color theme="1"/>
      <name val="Arial"/>
      <scheme val="minor"/>
    </font>
    <font>
      <b/>
      <color theme="1"/>
      <name val="Arial"/>
    </font>
    <font>
      <b/>
      <sz val="10.0"/>
      <color theme="1"/>
      <name val="Arial"/>
    </font>
    <font>
      <sz val="10.0"/>
      <color rgb="FF000000"/>
      <name val="&quot;Aptos Narrow&quot;"/>
    </font>
    <font>
      <sz val="11.0"/>
      <color rgb="FF000000"/>
      <name val="Consolas"/>
    </font>
    <font>
      <u/>
      <color rgb="FF1155CC"/>
      <name val="Arial"/>
    </font>
    <font>
      <b/>
      <sz val="11.0"/>
      <color rgb="FF000000"/>
      <name val="Consolas"/>
    </font>
  </fonts>
  <fills count="7">
    <fill>
      <patternFill patternType="none"/>
    </fill>
    <fill>
      <patternFill patternType="lightGray"/>
    </fill>
    <fill>
      <patternFill patternType="solid">
        <fgColor rgb="FFF4CCCC"/>
        <bgColor rgb="FFF4CCCC"/>
      </patternFill>
    </fill>
    <fill>
      <patternFill patternType="solid">
        <fgColor rgb="FFFFFFFF"/>
        <bgColor rgb="FFFFFFFF"/>
      </patternFill>
    </fill>
    <fill>
      <patternFill patternType="solid">
        <fgColor rgb="FFF3F3F3"/>
        <bgColor rgb="FFF3F3F3"/>
      </patternFill>
    </fill>
    <fill>
      <patternFill patternType="solid">
        <fgColor rgb="FF6AA84F"/>
        <bgColor rgb="FF6AA84F"/>
      </patternFill>
    </fill>
    <fill>
      <patternFill patternType="solid">
        <fgColor rgb="FFBDBDBD"/>
        <bgColor rgb="FFBDBDBD"/>
      </patternFill>
    </fill>
  </fills>
  <borders count="2">
    <border/>
    <border>
      <left style="thin">
        <color rgb="FFABABAB"/>
      </left>
      <right style="thin">
        <color rgb="FFABABAB"/>
      </right>
      <top style="thin">
        <color rgb="FFABABAB"/>
      </top>
      <bottom style="thin">
        <color rgb="FFABABAB"/>
      </bottom>
    </border>
  </borders>
  <cellStyleXfs count="1">
    <xf borderId="0" fillId="0" fontId="0" numFmtId="0" applyAlignment="1" applyFont="1"/>
  </cellStyleXfs>
  <cellXfs count="183">
    <xf borderId="0" fillId="0" fontId="0" numFmtId="0" xfId="0" applyAlignment="1" applyFont="1">
      <alignment readingOrder="0" shrinkToFit="0" vertical="bottom" wrapText="0"/>
    </xf>
    <xf borderId="0" fillId="0" fontId="1" numFmtId="0" xfId="0" applyAlignment="1" applyFont="1">
      <alignment vertical="bottom"/>
    </xf>
    <xf borderId="0" fillId="0" fontId="2" numFmtId="0" xfId="0" applyAlignment="1" applyFont="1">
      <alignment readingOrder="0" vertical="bottom"/>
    </xf>
    <xf borderId="0" fillId="0" fontId="3" numFmtId="0" xfId="0" applyAlignment="1" applyFont="1">
      <alignment readingOrder="0"/>
    </xf>
    <xf borderId="0" fillId="0" fontId="4" numFmtId="0" xfId="0" applyAlignment="1" applyFont="1">
      <alignment readingOrder="0" vertical="bottom"/>
    </xf>
    <xf borderId="0" fillId="0" fontId="5" numFmtId="0" xfId="0" applyAlignment="1" applyFont="1">
      <alignment readingOrder="0"/>
    </xf>
    <xf borderId="0" fillId="0" fontId="6" numFmtId="0" xfId="0" applyAlignment="1" applyFont="1">
      <alignment readingOrder="0" vertical="bottom"/>
    </xf>
    <xf borderId="0" fillId="0" fontId="7" numFmtId="0" xfId="0" applyAlignment="1" applyFont="1">
      <alignment readingOrder="0" shrinkToFit="0" vertical="bottom" wrapText="1"/>
    </xf>
    <xf borderId="0" fillId="0" fontId="8" numFmtId="0" xfId="0" applyAlignment="1" applyFont="1">
      <alignment readingOrder="0" shrinkToFit="0" wrapText="1"/>
    </xf>
    <xf borderId="0" fillId="0" fontId="9" numFmtId="0" xfId="0" applyAlignment="1" applyFont="1">
      <alignment vertical="bottom"/>
    </xf>
    <xf borderId="0" fillId="0" fontId="10" numFmtId="0" xfId="0" applyAlignment="1" applyFont="1">
      <alignment shrinkToFit="0" vertical="bottom" wrapText="1"/>
    </xf>
    <xf borderId="0" fillId="0" fontId="11" numFmtId="0" xfId="0" applyAlignment="1" applyFont="1">
      <alignment readingOrder="0" shrinkToFit="0" vertical="bottom" wrapText="1"/>
    </xf>
    <xf borderId="0" fillId="0" fontId="11" numFmtId="0" xfId="0" applyAlignment="1" applyFont="1">
      <alignment readingOrder="0" shrinkToFit="0" vertical="bottom" wrapText="1"/>
    </xf>
    <xf borderId="0" fillId="0" fontId="12" numFmtId="0" xfId="0" applyAlignment="1" applyFont="1">
      <alignment readingOrder="0" shrinkToFit="0" vertical="bottom" wrapText="1"/>
    </xf>
    <xf borderId="0" fillId="0" fontId="12" numFmtId="0" xfId="0" applyAlignment="1" applyFont="1">
      <alignment shrinkToFit="0" vertical="bottom" wrapText="1"/>
    </xf>
    <xf borderId="0" fillId="0" fontId="11" numFmtId="0" xfId="0" applyAlignment="1" applyFont="1">
      <alignment shrinkToFit="0" vertical="bottom" wrapText="1"/>
    </xf>
    <xf borderId="0" fillId="0" fontId="11" numFmtId="0" xfId="0" applyAlignment="1" applyFont="1">
      <alignment readingOrder="0" shrinkToFit="0" vertical="bottom" wrapText="1"/>
    </xf>
    <xf borderId="0" fillId="0" fontId="11" numFmtId="0" xfId="0" applyAlignment="1" applyFont="1">
      <alignment shrinkToFit="0" vertical="bottom" wrapText="1"/>
    </xf>
    <xf borderId="0" fillId="0" fontId="13" numFmtId="0" xfId="0" applyFont="1"/>
    <xf borderId="0" fillId="0" fontId="14" numFmtId="0" xfId="0" applyAlignment="1" applyFont="1">
      <alignment readingOrder="0" shrinkToFit="0" wrapText="1"/>
    </xf>
    <xf borderId="0" fillId="0" fontId="14" numFmtId="0" xfId="0" applyFont="1"/>
    <xf borderId="0" fillId="0" fontId="15" numFmtId="0" xfId="0" applyAlignment="1" applyFont="1">
      <alignment vertical="bottom"/>
    </xf>
    <xf borderId="0" fillId="0" fontId="16" numFmtId="0" xfId="0" applyAlignment="1" applyFont="1">
      <alignment vertical="bottom"/>
    </xf>
    <xf borderId="0" fillId="0" fontId="6" numFmtId="0" xfId="0" applyAlignment="1" applyFont="1">
      <alignment vertical="bottom"/>
    </xf>
    <xf borderId="0" fillId="0" fontId="17" numFmtId="0" xfId="0" applyAlignment="1" applyFont="1">
      <alignment readingOrder="0" shrinkToFit="0" wrapText="1"/>
    </xf>
    <xf borderId="0" fillId="0" fontId="18" numFmtId="0" xfId="0" applyAlignment="1" applyFont="1">
      <alignment readingOrder="0"/>
    </xf>
    <xf borderId="0" fillId="0" fontId="18" numFmtId="0" xfId="0" applyAlignment="1" applyFont="1">
      <alignment horizontal="left" readingOrder="0" shrinkToFit="0" wrapText="1"/>
    </xf>
    <xf borderId="0" fillId="0" fontId="18" numFmtId="0" xfId="0" applyAlignment="1" applyFont="1">
      <alignment horizontal="left" readingOrder="0" shrinkToFit="0" wrapText="1"/>
    </xf>
    <xf borderId="0" fillId="0" fontId="19" numFmtId="0" xfId="0" applyAlignment="1" applyFont="1">
      <alignment readingOrder="0" shrinkToFit="0" wrapText="1"/>
    </xf>
    <xf borderId="0" fillId="0" fontId="20" numFmtId="1" xfId="0" applyAlignment="1" applyFont="1" applyNumberFormat="1">
      <alignment readingOrder="0"/>
    </xf>
    <xf borderId="0" fillId="2" fontId="20" numFmtId="1" xfId="0" applyAlignment="1" applyFill="1" applyFont="1" applyNumberFormat="1">
      <alignment readingOrder="0"/>
    </xf>
    <xf borderId="0" fillId="0" fontId="20" numFmtId="0" xfId="0" applyFont="1"/>
    <xf borderId="0" fillId="0" fontId="20" numFmtId="0" xfId="0" applyAlignment="1" applyFont="1">
      <alignment horizontal="left" readingOrder="0" shrinkToFit="0" wrapText="1"/>
    </xf>
    <xf borderId="0" fillId="0" fontId="20" numFmtId="0" xfId="0" applyAlignment="1" applyFont="1">
      <alignment horizontal="left" shrinkToFit="0" wrapText="1"/>
    </xf>
    <xf borderId="0" fillId="3" fontId="20" numFmtId="9" xfId="0" applyAlignment="1" applyFill="1" applyFont="1" applyNumberFormat="1">
      <alignment readingOrder="0"/>
    </xf>
    <xf borderId="0" fillId="0" fontId="20" numFmtId="0" xfId="0" applyAlignment="1" applyFont="1">
      <alignment readingOrder="0"/>
    </xf>
    <xf borderId="0" fillId="2" fontId="20" numFmtId="9" xfId="0" applyAlignment="1" applyFont="1" applyNumberFormat="1">
      <alignment readingOrder="0"/>
    </xf>
    <xf borderId="0" fillId="0" fontId="21" numFmtId="0" xfId="0" applyAlignment="1" applyFont="1">
      <alignment horizontal="left" readingOrder="0" shrinkToFit="0" wrapText="1"/>
    </xf>
    <xf borderId="0" fillId="0" fontId="1" numFmtId="0" xfId="0" applyAlignment="1" applyFont="1">
      <alignment horizontal="left" readingOrder="0" shrinkToFit="0" vertical="bottom" wrapText="1"/>
    </xf>
    <xf borderId="0" fillId="0" fontId="1" numFmtId="0" xfId="0" applyAlignment="1" applyFont="1">
      <alignment horizontal="left" readingOrder="0" shrinkToFit="0" vertical="bottom" wrapText="1"/>
    </xf>
    <xf borderId="0" fillId="0" fontId="20" numFmtId="9" xfId="0" applyFont="1" applyNumberFormat="1"/>
    <xf borderId="0" fillId="2" fontId="11" numFmtId="9" xfId="0" applyAlignment="1" applyFont="1" applyNumberFormat="1">
      <alignment horizontal="right" readingOrder="0" shrinkToFit="0" vertical="bottom" wrapText="0"/>
    </xf>
    <xf borderId="0" fillId="0" fontId="1" numFmtId="0" xfId="0" applyAlignment="1" applyFont="1">
      <alignment horizontal="right" vertical="bottom"/>
    </xf>
    <xf borderId="0" fillId="0" fontId="20" numFmtId="1" xfId="0" applyFont="1" applyNumberFormat="1"/>
    <xf borderId="0" fillId="2" fontId="20" numFmtId="1" xfId="0" applyFont="1" applyNumberFormat="1"/>
    <xf borderId="0" fillId="0" fontId="20" numFmtId="0" xfId="0" applyFont="1"/>
    <xf borderId="0" fillId="0" fontId="20" numFmtId="0" xfId="0" applyAlignment="1" applyFont="1">
      <alignment readingOrder="0"/>
    </xf>
    <xf borderId="0" fillId="0" fontId="22" numFmtId="0" xfId="0" applyAlignment="1" applyFont="1">
      <alignment readingOrder="0" shrinkToFit="0" wrapText="1"/>
    </xf>
    <xf borderId="0" fillId="0" fontId="20" numFmtId="0" xfId="0" applyAlignment="1" applyFont="1">
      <alignment horizontal="left" readingOrder="0" shrinkToFit="0" wrapText="1"/>
    </xf>
    <xf borderId="0" fillId="0" fontId="23" numFmtId="0" xfId="0" applyAlignment="1" applyFont="1">
      <alignment readingOrder="0" shrinkToFit="0" wrapText="1"/>
    </xf>
    <xf borderId="0" fillId="0" fontId="20" numFmtId="0" xfId="0" applyAlignment="1" applyFont="1">
      <alignment horizontal="left" readingOrder="0" shrinkToFit="0" wrapText="1"/>
    </xf>
    <xf borderId="0" fillId="0" fontId="1" numFmtId="0" xfId="0" applyAlignment="1" applyFont="1">
      <alignment horizontal="right" readingOrder="0" vertical="bottom"/>
    </xf>
    <xf borderId="0" fillId="0" fontId="1" numFmtId="0" xfId="0" applyAlignment="1" applyFont="1">
      <alignment horizontal="right" readingOrder="0" vertical="bottom"/>
    </xf>
    <xf borderId="0" fillId="0" fontId="24" numFmtId="0" xfId="0" applyAlignment="1" applyFont="1">
      <alignment horizontal="left" readingOrder="0" shrinkToFit="0" vertical="bottom" wrapText="1"/>
    </xf>
    <xf borderId="0" fillId="2" fontId="1" numFmtId="0" xfId="0" applyAlignment="1" applyFont="1">
      <alignment horizontal="right" vertical="bottom"/>
    </xf>
    <xf borderId="0" fillId="2" fontId="1" numFmtId="1" xfId="0" applyAlignment="1" applyFont="1" applyNumberFormat="1">
      <alignment horizontal="right" vertical="bottom"/>
    </xf>
    <xf borderId="0" fillId="4" fontId="25" numFmtId="0" xfId="0" applyAlignment="1" applyFill="1" applyFont="1">
      <alignment shrinkToFit="0" vertical="bottom" wrapText="1"/>
    </xf>
    <xf borderId="0" fillId="4" fontId="1" numFmtId="1" xfId="0" applyAlignment="1" applyFont="1" applyNumberFormat="1">
      <alignment vertical="bottom"/>
    </xf>
    <xf borderId="0" fillId="5" fontId="1" numFmtId="0" xfId="0" applyAlignment="1" applyFill="1" applyFont="1">
      <alignment horizontal="center" vertical="bottom"/>
    </xf>
    <xf borderId="0" fillId="4" fontId="26" numFmtId="0" xfId="0" applyAlignment="1" applyFont="1">
      <alignment shrinkToFit="0" vertical="bottom" wrapText="1"/>
    </xf>
    <xf borderId="0" fillId="4" fontId="1" numFmtId="0" xfId="0" applyAlignment="1" applyFont="1">
      <alignment vertical="bottom"/>
    </xf>
    <xf borderId="0" fillId="2" fontId="1" numFmtId="1" xfId="0" applyAlignment="1" applyFont="1" applyNumberFormat="1">
      <alignment horizontal="right" readingOrder="0" vertical="bottom"/>
    </xf>
    <xf borderId="0" fillId="0" fontId="20" numFmtId="0" xfId="0" applyAlignment="1" applyFont="1">
      <alignment shrinkToFit="0" wrapText="1"/>
    </xf>
    <xf borderId="0" fillId="0" fontId="1" numFmtId="9" xfId="0" applyAlignment="1" applyFont="1" applyNumberFormat="1">
      <alignment horizontal="right" readingOrder="0" vertical="bottom"/>
    </xf>
    <xf borderId="0" fillId="0" fontId="1" numFmtId="9" xfId="0" applyAlignment="1" applyFont="1" applyNumberFormat="1">
      <alignment horizontal="right" readingOrder="0" vertical="bottom"/>
    </xf>
    <xf borderId="0" fillId="0" fontId="20" numFmtId="0" xfId="0" applyAlignment="1" applyFont="1">
      <alignment readingOrder="0"/>
    </xf>
    <xf borderId="0" fillId="2" fontId="1" numFmtId="9" xfId="0" applyAlignment="1" applyFont="1" applyNumberFormat="1">
      <alignment horizontal="right" readingOrder="0" vertical="bottom"/>
    </xf>
    <xf borderId="0" fillId="0" fontId="20" numFmtId="0" xfId="0" applyAlignment="1" applyFont="1">
      <alignment horizontal="left" readingOrder="0" shrinkToFit="0" wrapText="1"/>
    </xf>
    <xf borderId="0" fillId="0" fontId="27" numFmtId="0" xfId="0" applyAlignment="1" applyFont="1">
      <alignment readingOrder="0" shrinkToFit="0" wrapText="1"/>
    </xf>
    <xf borderId="0" fillId="0" fontId="1" numFmtId="3" xfId="0" applyAlignment="1" applyFont="1" applyNumberFormat="1">
      <alignment horizontal="right" readingOrder="0" vertical="bottom"/>
    </xf>
    <xf borderId="0" fillId="0" fontId="20" numFmtId="3" xfId="0" applyAlignment="1" applyFont="1" applyNumberFormat="1">
      <alignment readingOrder="0"/>
    </xf>
    <xf borderId="0" fillId="2" fontId="1" numFmtId="3" xfId="0" applyAlignment="1" applyFont="1" applyNumberFormat="1">
      <alignment horizontal="right" readingOrder="0" vertical="bottom"/>
    </xf>
    <xf borderId="0" fillId="0" fontId="19" numFmtId="0" xfId="0" applyAlignment="1" applyFont="1">
      <alignment shrinkToFit="0" wrapText="1"/>
    </xf>
    <xf borderId="0" fillId="0" fontId="20" numFmtId="0" xfId="0" applyAlignment="1" applyFont="1">
      <alignment horizontal="left" shrinkToFit="0" wrapText="1"/>
    </xf>
    <xf borderId="0" fillId="0" fontId="28" numFmtId="0" xfId="0" applyAlignment="1" applyFont="1">
      <alignment horizontal="center" readingOrder="0" shrinkToFit="0" vertical="bottom" wrapText="1"/>
    </xf>
    <xf borderId="0" fillId="0" fontId="18" numFmtId="0" xfId="0" applyAlignment="1" applyFont="1">
      <alignment readingOrder="0" shrinkToFit="0" wrapText="1"/>
    </xf>
    <xf borderId="0" fillId="0" fontId="18" numFmtId="0" xfId="0" applyAlignment="1" applyFont="1">
      <alignment readingOrder="0" shrinkToFit="0" wrapText="1"/>
    </xf>
    <xf borderId="0" fillId="0" fontId="29" numFmtId="0" xfId="0" applyAlignment="1" applyFont="1">
      <alignment horizontal="center" readingOrder="0" vertical="bottom"/>
    </xf>
    <xf borderId="0" fillId="2" fontId="20" numFmtId="164" xfId="0" applyFont="1" applyNumberFormat="1"/>
    <xf borderId="0" fillId="0" fontId="20" numFmtId="164" xfId="0" applyFont="1" applyNumberFormat="1"/>
    <xf borderId="0" fillId="0" fontId="28" numFmtId="1" xfId="0" applyAlignment="1" applyFont="1" applyNumberFormat="1">
      <alignment horizontal="center" readingOrder="0" shrinkToFit="0" vertical="bottom" wrapText="1"/>
    </xf>
    <xf borderId="0" fillId="0" fontId="28" numFmtId="0" xfId="0" applyAlignment="1" applyFont="1">
      <alignment horizontal="center" shrinkToFit="0" vertical="bottom" wrapText="1"/>
    </xf>
    <xf borderId="0" fillId="0" fontId="28" numFmtId="0" xfId="0" applyAlignment="1" applyFont="1">
      <alignment horizontal="center" readingOrder="0" vertical="bottom"/>
    </xf>
    <xf borderId="0" fillId="0" fontId="20" numFmtId="0" xfId="0" applyAlignment="1" applyFont="1">
      <alignment readingOrder="0" shrinkToFit="0" wrapText="1"/>
    </xf>
    <xf borderId="0" fillId="2" fontId="20" numFmtId="164" xfId="0" applyAlignment="1" applyFont="1" applyNumberFormat="1">
      <alignment readingOrder="0"/>
    </xf>
    <xf borderId="0" fillId="0" fontId="20" numFmtId="164" xfId="0" applyAlignment="1" applyFont="1" applyNumberFormat="1">
      <alignment readingOrder="0"/>
    </xf>
    <xf borderId="0" fillId="0" fontId="20" numFmtId="164" xfId="0" applyFont="1" applyNumberFormat="1"/>
    <xf borderId="0" fillId="0" fontId="30" numFmtId="1" xfId="0" applyAlignment="1" applyFont="1" applyNumberFormat="1">
      <alignment readingOrder="0"/>
    </xf>
    <xf borderId="0" fillId="0" fontId="20" numFmtId="1" xfId="0" applyAlignment="1" applyFont="1" applyNumberFormat="1">
      <alignment readingOrder="0"/>
    </xf>
    <xf borderId="0" fillId="0" fontId="31" numFmtId="0" xfId="0" applyAlignment="1" applyFont="1">
      <alignment readingOrder="0"/>
    </xf>
    <xf borderId="1" fillId="0" fontId="32" numFmtId="0" xfId="0" applyAlignment="1" applyBorder="1" applyFont="1">
      <alignment horizontal="left" shrinkToFit="0" vertical="bottom" wrapText="0"/>
    </xf>
    <xf borderId="1" fillId="0" fontId="32" numFmtId="0" xfId="0" applyAlignment="1" applyBorder="1" applyFont="1">
      <alignment horizontal="center" readingOrder="0" shrinkToFit="0" vertical="top" wrapText="1"/>
    </xf>
    <xf borderId="1" fillId="0" fontId="32" numFmtId="0" xfId="0" applyAlignment="1" applyBorder="1" applyFont="1">
      <alignment horizontal="left" readingOrder="0" shrinkToFit="0" vertical="bottom" wrapText="0"/>
    </xf>
    <xf borderId="1" fillId="0" fontId="32" numFmtId="164" xfId="0" applyAlignment="1" applyBorder="1" applyFont="1" applyNumberFormat="1">
      <alignment horizontal="right" readingOrder="0" shrinkToFit="0" vertical="bottom" wrapText="0"/>
    </xf>
    <xf borderId="1" fillId="0" fontId="33" numFmtId="0" xfId="0" applyAlignment="1" applyBorder="1" applyFont="1">
      <alignment horizontal="left" readingOrder="0" shrinkToFit="0" vertical="bottom" wrapText="0"/>
    </xf>
    <xf borderId="0" fillId="0" fontId="18" numFmtId="0" xfId="0" applyAlignment="1" applyFont="1">
      <alignment readingOrder="0"/>
    </xf>
    <xf borderId="0" fillId="0" fontId="20" numFmtId="0" xfId="0" applyFont="1"/>
    <xf borderId="0" fillId="0" fontId="18" numFmtId="0" xfId="0" applyAlignment="1" applyFont="1">
      <alignment horizontal="center" readingOrder="0"/>
    </xf>
    <xf borderId="0" fillId="0" fontId="34" numFmtId="0" xfId="0" applyAlignment="1" applyFont="1">
      <alignment readingOrder="0"/>
    </xf>
    <xf borderId="0" fillId="0" fontId="18" numFmtId="0" xfId="0" applyAlignment="1" applyFont="1">
      <alignment horizontal="center" readingOrder="0" shrinkToFit="0" wrapText="1"/>
    </xf>
    <xf borderId="0" fillId="0" fontId="18" numFmtId="0" xfId="0" applyAlignment="1" applyFont="1">
      <alignment horizontal="center" readingOrder="0"/>
    </xf>
    <xf borderId="0" fillId="0" fontId="18" numFmtId="0" xfId="0" applyAlignment="1" applyFont="1">
      <alignment horizontal="left" readingOrder="0"/>
    </xf>
    <xf borderId="0" fillId="0" fontId="18" numFmtId="0" xfId="0" applyAlignment="1" applyFont="1">
      <alignment horizontal="center" readingOrder="0" shrinkToFit="0" wrapText="1"/>
    </xf>
    <xf borderId="0" fillId="0" fontId="20" numFmtId="0" xfId="0" applyAlignment="1" applyFont="1">
      <alignment shrinkToFit="0" wrapText="1"/>
    </xf>
    <xf borderId="0" fillId="0" fontId="35" numFmtId="0" xfId="0" applyAlignment="1" applyFont="1">
      <alignment readingOrder="0"/>
    </xf>
    <xf borderId="0" fillId="0" fontId="20" numFmtId="9" xfId="0" applyAlignment="1" applyFont="1" applyNumberFormat="1">
      <alignment readingOrder="0"/>
    </xf>
    <xf borderId="0" fillId="0" fontId="36" numFmtId="0" xfId="0" applyAlignment="1" applyFont="1">
      <alignment readingOrder="0"/>
    </xf>
    <xf borderId="0" fillId="0" fontId="37" numFmtId="0" xfId="0" applyAlignment="1" applyFont="1">
      <alignment readingOrder="0"/>
    </xf>
    <xf borderId="0" fillId="0" fontId="18" numFmtId="0" xfId="0" applyFont="1"/>
    <xf borderId="0" fillId="2" fontId="20" numFmtId="0" xfId="0" applyFont="1"/>
    <xf borderId="0" fillId="2" fontId="18" numFmtId="1" xfId="0" applyAlignment="1" applyFont="1" applyNumberFormat="1">
      <alignment shrinkToFit="0" wrapText="1"/>
    </xf>
    <xf borderId="0" fillId="0" fontId="18" numFmtId="0" xfId="0" applyAlignment="1" applyFont="1">
      <alignment shrinkToFit="0" wrapText="1"/>
    </xf>
    <xf borderId="0" fillId="0" fontId="18" numFmtId="0" xfId="0" applyFont="1"/>
    <xf borderId="0" fillId="2" fontId="20" numFmtId="164" xfId="0" applyAlignment="1" applyFont="1" applyNumberFormat="1">
      <alignment readingOrder="0" shrinkToFit="0" wrapText="1"/>
    </xf>
    <xf borderId="0" fillId="0" fontId="20" numFmtId="1" xfId="0" applyFont="1" applyNumberFormat="1"/>
    <xf borderId="0" fillId="0" fontId="20" numFmtId="4" xfId="0" applyFont="1" applyNumberFormat="1"/>
    <xf borderId="0" fillId="0" fontId="20" numFmtId="4" xfId="0" applyFont="1" applyNumberFormat="1"/>
    <xf borderId="0" fillId="6" fontId="38" numFmtId="0" xfId="0" applyAlignment="1" applyFill="1" applyFont="1">
      <alignment shrinkToFit="0" vertical="bottom" wrapText="1"/>
    </xf>
    <xf borderId="0" fillId="6" fontId="39" numFmtId="0" xfId="0" applyAlignment="1" applyFont="1">
      <alignment shrinkToFit="0" vertical="bottom" wrapText="1"/>
    </xf>
    <xf borderId="0" fillId="6" fontId="39" numFmtId="0" xfId="0" applyAlignment="1" applyFont="1">
      <alignment readingOrder="0" shrinkToFit="0" vertical="bottom" wrapText="1"/>
    </xf>
    <xf borderId="0" fillId="0" fontId="39" numFmtId="0" xfId="0" applyAlignment="1" applyFont="1">
      <alignment shrinkToFit="0" vertical="bottom" wrapText="1"/>
    </xf>
    <xf borderId="0" fillId="0" fontId="39" numFmtId="0" xfId="0" applyAlignment="1" applyFont="1">
      <alignment readingOrder="0" shrinkToFit="0" vertical="bottom" wrapText="1"/>
    </xf>
    <xf borderId="0" fillId="3" fontId="1" numFmtId="0" xfId="0" applyAlignment="1" applyFont="1">
      <alignment vertical="bottom"/>
    </xf>
    <xf borderId="0" fillId="3" fontId="1" numFmtId="1" xfId="0" applyAlignment="1" applyFont="1" applyNumberFormat="1">
      <alignment horizontal="right" vertical="bottom"/>
    </xf>
    <xf borderId="0" fillId="3" fontId="25" numFmtId="1" xfId="0" applyAlignment="1" applyFont="1" applyNumberFormat="1">
      <alignment horizontal="right" vertical="bottom"/>
    </xf>
    <xf borderId="0" fillId="3" fontId="25" numFmtId="0" xfId="0" applyAlignment="1" applyFont="1">
      <alignment readingOrder="0" vertical="bottom"/>
    </xf>
    <xf borderId="0" fillId="3" fontId="25" numFmtId="164" xfId="0" applyAlignment="1" applyFont="1" applyNumberFormat="1">
      <alignment readingOrder="0" vertical="bottom"/>
    </xf>
    <xf borderId="0" fillId="2" fontId="27" numFmtId="9" xfId="0" applyAlignment="1" applyFont="1" applyNumberFormat="1">
      <alignment horizontal="right" vertical="bottom"/>
    </xf>
    <xf borderId="0" fillId="2" fontId="40" numFmtId="165" xfId="0" applyAlignment="1" applyFont="1" applyNumberFormat="1">
      <alignment shrinkToFit="0" vertical="bottom" wrapText="0"/>
    </xf>
    <xf borderId="0" fillId="2" fontId="0" numFmtId="165" xfId="0" applyFont="1" applyNumberFormat="1"/>
    <xf borderId="0" fillId="4" fontId="1" numFmtId="1" xfId="0" applyAlignment="1" applyFont="1" applyNumberFormat="1">
      <alignment horizontal="right" vertical="bottom"/>
    </xf>
    <xf borderId="0" fillId="3" fontId="25" numFmtId="0" xfId="0" applyAlignment="1" applyFont="1">
      <alignment vertical="bottom"/>
    </xf>
    <xf borderId="0" fillId="2" fontId="40" numFmtId="9" xfId="0" applyAlignment="1" applyFont="1" applyNumberFormat="1">
      <alignment shrinkToFit="0" vertical="bottom" wrapText="0"/>
    </xf>
    <xf borderId="0" fillId="4" fontId="25" numFmtId="0" xfId="0" applyAlignment="1" applyFont="1">
      <alignment vertical="bottom"/>
    </xf>
    <xf borderId="0" fillId="4" fontId="25" numFmtId="164" xfId="0" applyAlignment="1" applyFont="1" applyNumberFormat="1">
      <alignment readingOrder="0" vertical="bottom"/>
    </xf>
    <xf borderId="0" fillId="4" fontId="25" numFmtId="0" xfId="0" applyAlignment="1" applyFont="1">
      <alignment readingOrder="0" vertical="bottom"/>
    </xf>
    <xf borderId="0" fillId="0" fontId="18" numFmtId="166" xfId="0" applyAlignment="1" applyFont="1" applyNumberFormat="1">
      <alignment shrinkToFit="0" wrapText="1"/>
    </xf>
    <xf borderId="0" fillId="0" fontId="20" numFmtId="166" xfId="0" applyFont="1" applyNumberFormat="1"/>
    <xf borderId="0" fillId="0" fontId="20" numFmtId="9" xfId="0" applyFont="1" applyNumberFormat="1"/>
    <xf borderId="0" fillId="0" fontId="20" numFmtId="2" xfId="0" applyFont="1" applyNumberFormat="1"/>
    <xf borderId="0" fillId="0" fontId="18" numFmtId="164" xfId="0" applyAlignment="1" applyFont="1" applyNumberFormat="1">
      <alignment readingOrder="0"/>
    </xf>
    <xf borderId="0" fillId="0" fontId="20" numFmtId="164" xfId="0" applyAlignment="1" applyFont="1" applyNumberFormat="1">
      <alignment readingOrder="0"/>
    </xf>
    <xf borderId="0" fillId="0" fontId="18" numFmtId="1" xfId="0" applyFont="1" applyNumberFormat="1"/>
    <xf borderId="0" fillId="0" fontId="18" numFmtId="1" xfId="0" applyAlignment="1" applyFont="1" applyNumberFormat="1">
      <alignment readingOrder="0"/>
    </xf>
    <xf borderId="0" fillId="0" fontId="20" numFmtId="10" xfId="0" applyFont="1" applyNumberFormat="1"/>
    <xf borderId="0" fillId="0" fontId="28" numFmtId="0" xfId="0" applyAlignment="1" applyFont="1">
      <alignment horizontal="center" vertical="bottom"/>
    </xf>
    <xf borderId="0" fillId="0" fontId="29" numFmtId="0" xfId="0" applyAlignment="1" applyFont="1">
      <alignment vertical="bottom"/>
    </xf>
    <xf borderId="0" fillId="0" fontId="29" numFmtId="0" xfId="0" applyAlignment="1" applyFont="1">
      <alignment horizontal="center" readingOrder="0" shrinkToFit="0" vertical="bottom" wrapText="1"/>
    </xf>
    <xf borderId="0" fillId="0" fontId="29" numFmtId="0" xfId="0" applyAlignment="1" applyFont="1">
      <alignment horizontal="center" readingOrder="0" vertical="bottom"/>
    </xf>
    <xf borderId="0" fillId="0" fontId="29" numFmtId="0" xfId="0" applyAlignment="1" applyFont="1">
      <alignment shrinkToFit="0" vertical="bottom" wrapText="1"/>
    </xf>
    <xf borderId="0" fillId="0" fontId="29" numFmtId="0" xfId="0" applyAlignment="1" applyFont="1">
      <alignment vertical="bottom"/>
    </xf>
    <xf borderId="0" fillId="0" fontId="29" numFmtId="0" xfId="0" applyAlignment="1" applyFont="1">
      <alignment readingOrder="0" vertical="bottom"/>
    </xf>
    <xf borderId="0" fillId="0" fontId="29" numFmtId="164" xfId="0" applyAlignment="1" applyFont="1" applyNumberFormat="1">
      <alignment horizontal="center" readingOrder="0" vertical="bottom"/>
    </xf>
    <xf borderId="0" fillId="0" fontId="29" numFmtId="0" xfId="0" applyAlignment="1" applyFont="1">
      <alignment shrinkToFit="0" vertical="bottom" wrapText="1"/>
    </xf>
    <xf borderId="0" fillId="0" fontId="38" numFmtId="0" xfId="0" applyAlignment="1" applyFont="1">
      <alignment shrinkToFit="0" vertical="bottom" wrapText="1"/>
    </xf>
    <xf borderId="0" fillId="0" fontId="38" numFmtId="0" xfId="0" applyAlignment="1" applyFont="1">
      <alignment readingOrder="0" shrinkToFit="0" vertical="bottom" wrapText="1"/>
    </xf>
    <xf borderId="0" fillId="0" fontId="41" numFmtId="0" xfId="0" applyAlignment="1" applyFont="1">
      <alignment readingOrder="0"/>
    </xf>
    <xf borderId="0" fillId="0" fontId="1" numFmtId="0" xfId="0" applyAlignment="1" applyFont="1">
      <alignment vertical="bottom"/>
    </xf>
    <xf borderId="0" fillId="0" fontId="1" numFmtId="0" xfId="0" applyAlignment="1" applyFont="1">
      <alignment horizontal="right" vertical="bottom"/>
    </xf>
    <xf borderId="0" fillId="0" fontId="41" numFmtId="0" xfId="0" applyFont="1"/>
    <xf borderId="0" fillId="0" fontId="1" numFmtId="0" xfId="0" applyAlignment="1" applyFont="1">
      <alignment readingOrder="0" vertical="bottom"/>
    </xf>
    <xf borderId="0" fillId="0" fontId="1" numFmtId="0" xfId="0" applyAlignment="1" applyFont="1">
      <alignment horizontal="center" vertical="bottom"/>
    </xf>
    <xf borderId="0" fillId="0" fontId="42" numFmtId="0" xfId="0" applyAlignment="1" applyFont="1">
      <alignment vertical="bottom"/>
    </xf>
    <xf borderId="0" fillId="0" fontId="1" numFmtId="11" xfId="0" applyAlignment="1" applyFont="1" applyNumberFormat="1">
      <alignment horizontal="right" vertical="bottom"/>
    </xf>
    <xf borderId="0" fillId="0" fontId="20" numFmtId="11" xfId="0" applyAlignment="1" applyFont="1" applyNumberFormat="1">
      <alignment readingOrder="0"/>
    </xf>
    <xf quotePrefix="1" borderId="0" fillId="0" fontId="1" numFmtId="0" xfId="0" applyAlignment="1" applyFont="1">
      <alignment vertical="bottom"/>
    </xf>
    <xf borderId="0" fillId="0" fontId="43" numFmtId="0" xfId="0" applyAlignment="1" applyFont="1">
      <alignment readingOrder="0"/>
    </xf>
    <xf borderId="0" fillId="0" fontId="38" numFmtId="0" xfId="0" applyAlignment="1" applyFont="1">
      <alignment vertical="bottom"/>
    </xf>
    <xf borderId="0" fillId="0" fontId="11" numFmtId="0" xfId="0" applyAlignment="1" applyFont="1">
      <alignment vertical="bottom"/>
    </xf>
    <xf borderId="0" fillId="6" fontId="18" numFmtId="0" xfId="0" applyAlignment="1" applyFont="1">
      <alignment readingOrder="0" shrinkToFit="0" wrapText="1"/>
    </xf>
    <xf borderId="0" fillId="3" fontId="20" numFmtId="0" xfId="0" applyAlignment="1" applyFont="1">
      <alignment readingOrder="0"/>
    </xf>
    <xf borderId="0" fillId="3" fontId="20" numFmtId="0" xfId="0" applyAlignment="1" applyFont="1">
      <alignment readingOrder="0"/>
    </xf>
    <xf borderId="0" fillId="4" fontId="20" numFmtId="0" xfId="0" applyAlignment="1" applyFont="1">
      <alignment readingOrder="0"/>
    </xf>
    <xf borderId="0" fillId="4" fontId="20" numFmtId="0" xfId="0" applyAlignment="1" applyFont="1">
      <alignment readingOrder="0"/>
    </xf>
    <xf borderId="0" fillId="4" fontId="20" numFmtId="0" xfId="0" applyFont="1"/>
    <xf borderId="0" fillId="3" fontId="20" numFmtId="0" xfId="0" applyFont="1"/>
    <xf borderId="0" fillId="0" fontId="20" numFmtId="0" xfId="0" applyAlignment="1" applyFont="1">
      <alignment horizontal="left" readingOrder="0"/>
    </xf>
    <xf borderId="0" fillId="0" fontId="20" numFmtId="164" xfId="0" applyAlignment="1" applyFont="1" applyNumberFormat="1">
      <alignment horizontal="right" readingOrder="0"/>
    </xf>
    <xf borderId="0" fillId="0" fontId="29" numFmtId="164" xfId="0" applyAlignment="1" applyFont="1" applyNumberFormat="1">
      <alignment horizontal="right" readingOrder="0" vertical="bottom"/>
    </xf>
    <xf borderId="0" fillId="0" fontId="29" numFmtId="0" xfId="0" applyAlignment="1" applyFont="1">
      <alignment horizontal="left" readingOrder="0" vertical="bottom"/>
    </xf>
    <xf borderId="0" fillId="0" fontId="29" numFmtId="0" xfId="0" applyAlignment="1" applyFont="1">
      <alignment horizontal="left" readingOrder="0" vertical="bottom"/>
    </xf>
    <xf borderId="0" fillId="0" fontId="29" numFmtId="164" xfId="0" applyAlignment="1" applyFont="1" applyNumberFormat="1">
      <alignment horizontal="right" readingOrder="0" vertical="bottom"/>
    </xf>
    <xf borderId="0" fillId="0" fontId="29" numFmtId="0" xfId="0" applyAlignment="1" applyFont="1">
      <alignment readingOrder="0" vertical="bottom"/>
    </xf>
  </cellXfs>
  <cellStyles count="1">
    <cellStyle xfId="0" name="Normal" builtinId="0"/>
  </cellStyles>
  <dxfs count="8">
    <dxf>
      <font/>
      <fill>
        <patternFill patternType="none"/>
      </fill>
      <border/>
    </dxf>
    <dxf>
      <font/>
      <fill>
        <patternFill patternType="solid">
          <fgColor rgb="FFC2447A"/>
          <bgColor rgb="FFC2447A"/>
        </patternFill>
      </fill>
      <border/>
    </dxf>
    <dxf>
      <font/>
      <fill>
        <patternFill patternType="solid">
          <fgColor rgb="FFFFFFFF"/>
          <bgColor rgb="FFFFFFFF"/>
        </patternFill>
      </fill>
      <border/>
    </dxf>
    <dxf>
      <font/>
      <fill>
        <patternFill patternType="solid">
          <fgColor rgb="FFFCE5CD"/>
          <bgColor rgb="FFFCE5CD"/>
        </patternFill>
      </fill>
      <border/>
    </dxf>
    <dxf>
      <font/>
      <fill>
        <patternFill patternType="solid">
          <fgColor rgb="FF6AA84F"/>
          <bgColor rgb="FF6AA84F"/>
        </patternFill>
      </fill>
      <border/>
    </dxf>
    <dxf>
      <font/>
      <fill>
        <patternFill patternType="solid">
          <fgColor rgb="FFE06666"/>
          <bgColor rgb="FFE06666"/>
        </patternFill>
      </fill>
      <border/>
    </dxf>
    <dxf>
      <font/>
      <fill>
        <patternFill patternType="solid">
          <fgColor rgb="FFBDBDBD"/>
          <bgColor rgb="FFBDBDBD"/>
        </patternFill>
      </fill>
      <border/>
    </dxf>
    <dxf>
      <font/>
      <fill>
        <patternFill patternType="solid">
          <fgColor rgb="FFF3F3F3"/>
          <bgColor rgb="FFF3F3F3"/>
        </patternFill>
      </fill>
      <border/>
    </dxf>
  </dxfs>
  <tableStyles count="24">
    <tableStyle count="3" pivot="0" name="cover-style">
      <tableStyleElement dxfId="1" type="headerRow"/>
      <tableStyleElement dxfId="2" type="firstRowStripe"/>
      <tableStyleElement dxfId="3" type="secondRowStripe"/>
    </tableStyle>
    <tableStyle count="3" pivot="0" name="statements-style">
      <tableStyleElement dxfId="6" type="headerRow"/>
      <tableStyleElement dxfId="2" type="firstRowStripe"/>
      <tableStyleElement dxfId="7" type="secondRowStripe"/>
    </tableStyle>
    <tableStyle count="3" pivot="0" name="flourish_0-style">
      <tableStyleElement dxfId="6" type="headerRow"/>
      <tableStyleElement dxfId="2" type="firstRowStripe"/>
      <tableStyleElement dxfId="7" type="secondRowStripe"/>
    </tableStyle>
    <tableStyle count="3" pivot="0" name="flourish_1-style">
      <tableStyleElement dxfId="6" type="headerRow"/>
      <tableStyleElement dxfId="2" type="firstRowStripe"/>
      <tableStyleElement dxfId="7" type="secondRowStripe"/>
    </tableStyle>
    <tableStyle count="3" pivot="0" name="data_1-style">
      <tableStyleElement dxfId="6" type="headerRow"/>
      <tableStyleElement dxfId="2" type="firstRowStripe"/>
      <tableStyleElement dxfId="7" type="secondRowStripe"/>
    </tableStyle>
    <tableStyle count="3" pivot="0" name="data_1-style 2">
      <tableStyleElement dxfId="6" type="headerRow"/>
      <tableStyleElement dxfId="2" type="firstRowStripe"/>
      <tableStyleElement dxfId="7" type="secondRowStripe"/>
    </tableStyle>
    <tableStyle count="3" pivot="0" name="flourish_2-style">
      <tableStyleElement dxfId="6" type="headerRow"/>
      <tableStyleElement dxfId="2" type="firstRowStripe"/>
      <tableStyleElement dxfId="7" type="secondRowStripe"/>
    </tableStyle>
    <tableStyle count="3" pivot="0" name="data_2-style">
      <tableStyleElement dxfId="6" type="headerRow"/>
      <tableStyleElement dxfId="2" type="firstRowStripe"/>
      <tableStyleElement dxfId="7" type="secondRowStripe"/>
    </tableStyle>
    <tableStyle count="3" pivot="0" name="data_2-style 2">
      <tableStyleElement dxfId="6" type="headerRow"/>
      <tableStyleElement dxfId="2" type="firstRowStripe"/>
      <tableStyleElement dxfId="7" type="secondRowStripe"/>
    </tableStyle>
    <tableStyle count="3" pivot="0" name="data_2-style 3">
      <tableStyleElement dxfId="6" type="headerRow"/>
      <tableStyleElement dxfId="2" type="firstRowStripe"/>
      <tableStyleElement dxfId="7" type="secondRowStripe"/>
    </tableStyle>
    <tableStyle count="3" pivot="0" name="data_2-style 4">
      <tableStyleElement dxfId="6" type="headerRow"/>
      <tableStyleElement dxfId="2" type="firstRowStripe"/>
      <tableStyleElement dxfId="7" type="secondRowStripe"/>
    </tableStyle>
    <tableStyle count="3" pivot="0" name="flourish_3-style">
      <tableStyleElement dxfId="6" type="headerRow"/>
      <tableStyleElement dxfId="2" type="firstRowStripe"/>
      <tableStyleElement dxfId="7" type="secondRowStripe"/>
    </tableStyle>
    <tableStyle count="3" pivot="0" name="flourish_4_a-style">
      <tableStyleElement dxfId="6" type="headerRow"/>
      <tableStyleElement dxfId="2" type="firstRowStripe"/>
      <tableStyleElement dxfId="7" type="secondRowStripe"/>
    </tableStyle>
    <tableStyle count="3" pivot="0" name="flourish_4_b-style">
      <tableStyleElement dxfId="6" type="headerRow"/>
      <tableStyleElement dxfId="2" type="firstRowStripe"/>
      <tableStyleElement dxfId="7" type="secondRowStripe"/>
    </tableStyle>
    <tableStyle count="3" pivot="0" name="flourish_5-style">
      <tableStyleElement dxfId="6" type="headerRow"/>
      <tableStyleElement dxfId="2" type="firstRowStripe"/>
      <tableStyleElement dxfId="7" type="secondRowStripe"/>
    </tableStyle>
    <tableStyle count="3" pivot="0" name="flourish_6-style">
      <tableStyleElement dxfId="6" type="headerRow"/>
      <tableStyleElement dxfId="2" type="firstRowStripe"/>
      <tableStyleElement dxfId="7" type="secondRowStripe"/>
    </tableStyle>
    <tableStyle count="3" pivot="0" name="data_6-style">
      <tableStyleElement dxfId="6" type="headerRow"/>
      <tableStyleElement dxfId="2" type="firstRowStripe"/>
      <tableStyleElement dxfId="7" type="secondRowStripe"/>
    </tableStyle>
    <tableStyle count="3" pivot="0" name="flourish_7-style">
      <tableStyleElement dxfId="6" type="headerRow"/>
      <tableStyleElement dxfId="2" type="firstRowStripe"/>
      <tableStyleElement dxfId="7" type="secondRowStripe"/>
    </tableStyle>
    <tableStyle count="3" pivot="0" name="flourish_8-style">
      <tableStyleElement dxfId="6" type="headerRow"/>
      <tableStyleElement dxfId="2" type="firstRowStripe"/>
      <tableStyleElement dxfId="7" type="secondRowStripe"/>
    </tableStyle>
    <tableStyle count="3" pivot="0" name="data_aviation-style">
      <tableStyleElement dxfId="6" type="headerRow"/>
      <tableStyleElement dxfId="2" type="firstRowStripe"/>
      <tableStyleElement dxfId="7" type="secondRowStripe"/>
    </tableStyle>
    <tableStyle count="3" pivot="0" name="data_all_emissions-style">
      <tableStyleElement dxfId="6" type="headerRow"/>
      <tableStyleElement dxfId="2" type="firstRowStripe"/>
      <tableStyleElement dxfId="7" type="secondRowStripe"/>
    </tableStyle>
    <tableStyle count="3" pivot="0" name="data_ethanol-style">
      <tableStyleElement dxfId="6" type="headerRow"/>
      <tableStyleElement dxfId="2" type="firstRowStripe"/>
      <tableStyleElement dxfId="7" type="secondRowStripe"/>
    </tableStyle>
    <tableStyle count="3" pivot="0" name="data_biomethane-style">
      <tableStyleElement dxfId="6" type="headerRow"/>
      <tableStyleElement dxfId="2" type="firstRowStripe"/>
      <tableStyleElement dxfId="7" type="secondRowStripe"/>
    </tableStyle>
    <tableStyle count="3" pivot="0" name="config-style">
      <tableStyleElement dxfId="6" type="headerRow"/>
      <tableStyleElement dxfId="2" type="firstRowStripe"/>
      <tableStyleElement dxfId="7"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7" Type="http://schemas.openxmlformats.org/officeDocument/2006/relationships/pivotCacheDefinition" Target="pivotCache/pivotCacheDefinition1.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857875" cy="17907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876300</xdr:colOff>
      <xdr:row>1</xdr:row>
      <xdr:rowOff>28575</xdr:rowOff>
    </xdr:from>
    <xdr:ext cx="6457950" cy="73723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457200</xdr:colOff>
      <xdr:row>93</xdr:row>
      <xdr:rowOff>114300</xdr:rowOff>
    </xdr:from>
    <xdr:ext cx="5514975" cy="448627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904875</xdr:colOff>
      <xdr:row>33</xdr:row>
      <xdr:rowOff>104775</xdr:rowOff>
    </xdr:from>
    <xdr:ext cx="10353675" cy="64008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466725</xdr:colOff>
      <xdr:row>63</xdr:row>
      <xdr:rowOff>47625</xdr:rowOff>
    </xdr:from>
    <xdr:ext cx="11544300" cy="48291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A2255" sheet="data_all_emissions"/>
  </cacheSource>
  <cacheFields>
    <cacheField name="Country" numFmtId="0">
      <sharedItems>
        <s v="Czechia"/>
        <s v="France"/>
        <s v="Hungary"/>
        <s v="United Kingdom"/>
        <s v="Netherlands"/>
        <s v="Belgium"/>
        <s v="Spain"/>
        <s v="Austria"/>
        <s v="Slovakia"/>
        <s v="Germany"/>
        <s v="Poland"/>
        <s v="Sweden"/>
        <s v="Estonia"/>
        <s v="Italy"/>
        <s v="Ireland"/>
        <s v="Romania"/>
        <s v="Finland"/>
        <s v="Bulgaria"/>
        <s v="Denmark"/>
        <s v="Croatia"/>
        <s v="Cyprus"/>
        <s v="Greece"/>
        <s v="Iceland"/>
        <s v="Latvia"/>
        <s v="Lithuania"/>
        <s v="Luxembourg"/>
        <s v="Malta"/>
        <s v="Norway"/>
        <s v="Portugal"/>
        <s v="Slovenia"/>
        <s v="Switzerland"/>
      </sharedItems>
    </cacheField>
    <cacheField name="EPRTRSectorCode" numFmtId="0">
      <sharedItems containsString="0" containsBlank="1" containsNumber="1" containsInteger="1">
        <m/>
        <n v="1.0"/>
        <n v="5.0"/>
        <n v="6.0"/>
        <n v="2.0"/>
        <n v="4.0"/>
        <n v="8.0"/>
        <n v="3.0"/>
        <n v="9.0"/>
        <n v="7.0"/>
      </sharedItems>
    </cacheField>
    <cacheField name="eprtrSectorName" numFmtId="0">
      <sharedItems containsBlank="1">
        <m/>
        <s v="Energy sector"/>
        <s v="Waste and wastewater management"/>
        <s v="Paper and wood production and processing"/>
        <s v="Production and processing of metals"/>
        <s v="Chemical industry"/>
        <s v="Animal and vegetable products from the food and beverage sector"/>
        <s v="Mineral industry"/>
        <s v="Other activities"/>
        <s v="Intensive livestock production and aquaculture"/>
      </sharedItems>
    </cacheField>
    <cacheField name="EPRTRAnnexIMainActivityCode" numFmtId="0">
      <sharedItems containsBlank="1">
        <m/>
        <s v="1(c)"/>
        <s v="5(b)"/>
        <s v="6(a)"/>
        <s v="6(b)"/>
        <s v="5(a)"/>
        <s v="2(a)"/>
        <s v="4(b)"/>
        <s v="8(b)(ii)"/>
        <s v="2(e)(i)"/>
        <s v="3(c)"/>
        <s v="3(c)(i)"/>
        <s v="2(e)"/>
        <s v="4(b)(iv)"/>
        <s v="3(c)(ii)"/>
        <s v="8(b)(i)"/>
        <s v="4(b)(v)"/>
        <s v="3(c)(iii)"/>
        <s v="1(a)"/>
        <s v="4(b)(ii)"/>
        <s v="5(e)"/>
        <s v="5(g)"/>
        <s v="2(e)(ii)"/>
        <s v="4(d)"/>
        <s v="2(b)"/>
        <s v="8(c)"/>
        <s v="4(a)(xi)"/>
        <s v="4(a)(viii)"/>
        <s v="3(g)"/>
        <s v="1(e)"/>
        <s v="1(d)"/>
        <s v="4(a)(x)"/>
        <s v="2(c)(i)"/>
        <s v="2(d)"/>
        <s v="2(c)(iii)"/>
        <s v="2(c)"/>
        <s v="2(c)(ii)"/>
        <s v="4(c)"/>
        <s v="4(b)(i)"/>
        <s v="1(b)"/>
        <s v="3(f)"/>
        <s v="3(e)"/>
        <s v="9(d)"/>
        <s v="9(c)"/>
        <s v="7(b)"/>
        <s v="5(d)"/>
        <s v="1(f)"/>
        <s v="5(c)"/>
        <s v="3(b)"/>
        <s v="4(a)(vi)"/>
        <s v="4(a)(iv)"/>
        <s v="4(a)(iii)"/>
        <s v="4(a)(ix)"/>
        <s v="4(a)(v)"/>
        <s v="4(a)(ii)"/>
        <s v="4(a)(i)"/>
        <s v="4(a)"/>
        <s v="8(b)"/>
        <s v="2(f)"/>
        <s v="4(e)"/>
        <s v="3(a)"/>
        <s v="5(f)"/>
      </sharedItems>
    </cacheField>
    <cacheField name="EPRTRAnnexIMainActivityLabel" numFmtId="0">
      <sharedItems containsBlank="1">
        <m/>
        <s v="Thermal power stations and other combustion installations"/>
        <s v="Installations for the incineration of non-hazardous waste in the scope of Directive 2000/76/EC of the European Parliament and of the Council of 4 December 2000 on the incineration of waste"/>
        <s v="Industrial plants for the production of pulp from timber or similar fibrous materials"/>
        <s v="Industrial plants for the production of paper and board and other primary wood products (such as chipboard, fibreboard and plywood)"/>
        <s v="Installations for the recovery or disposal of hazardous waste"/>
        <s v="Metal ore (including sulphide ore) roasting or sintering installations"/>
        <s v="Chemical installations for the production on an industrial scale of basic inorganic chemicals. Note to reporters, use Level 3 activity e.g. 4(b)(i), in preference to 4(b). Level 2 activity class (i.e. 4(b)) only to be used where Level 3 is not available."/>
        <s v="Treatment and processing intended for the production of food and beverage products from vegetable raw materials"/>
        <s v="Installation for the production of non-ferrous crude metals from ore, concentrates or secondary raw materials by metallurgical, chemical or electrolytic processes"/>
        <s v="Installations for the production of cement clinker in rotary kilns, lime in rotary kilns, cement or lime in other furnaces. Note to reporters, use Level 3 activity e.g. 3(c)(i), in preference to 3(c). Level 2 activity class (i.e. 3(c)) only to be used whe"/>
        <s v="Installations for the production of cement clinker in rotary kilns"/>
        <s v="Installations for the production and/or smelting of non-ferrous metals. Note to reporters, use Level 3 activity e.g. 2(e)(i), in preference to 2(e). Level 2 activity class (i.e. 2(e)) only to be used where Level 3 is not available."/>
        <s v="Chemical installations for the production on an industrial scale of basic inorganic chemicals: Salts, such as ammonium chloride, potassium chlorate, potassium carbonate, sodium carbonate, perborate, silver nitrate"/>
        <s v="Installations for the production of lime in rotary kilns"/>
        <s v="Treatment and processing intended for the production of food and beverage products from animal raw materials (other than milk)"/>
        <s v="Chemical installations for the production on an industrial scale of basic inorganic chemicals: Non-metals, metal oxides or other inorganic compounds such as calcium carbide, silicon, silicon carbide"/>
        <s v="Installations for the production of cement clinker or lime in other furnaces"/>
        <s v="Mineral oil and gas refineries"/>
        <s v="Chemical installations for the production on an industrial scale of basic inorganic chemicals: Acids, such as chromic acid, hydrofluoric acid, phosphoric acid, nitric acid, hydrochloric acid, sulphuric acid, oleum, sulphurous acids"/>
        <s v="Installations for the disposal or recycling of animal carcasses and animal waste"/>
        <s v="Independently operated industrial waste-water treatment plants which serve one or more activities covered in annex 1 of Regulation 166/2006"/>
        <s v="Installation for the smelting, including the alloying, of non-ferrous metals, including recovered products (refining, foundry casting, etc.)"/>
        <s v="Chemical installations for the production on an industrial scale of basic plant health products and of biocides"/>
        <s v="Installations for the production of pig iron or steel (primary or secondary melting) including continuous casting"/>
        <s v="Treatment and processing of milk"/>
        <s v="Chemical installations for the production on an industrial scale of basic organic chemicals: Surface-active agents and surfactants"/>
        <s v="Chemical installations for the production on an industrial scale of basic organic chemicals: Basic plastic materials (polymers, synthetic fibres and cellulose-based fibres)"/>
        <s v="Installations for the manufacture of ceramic products by firing, in particular roofing tiles, bricks, refractory bricks, tiles, stoneware or porcelain"/>
        <s v="Coal rolling mills with a capacity of 1 tonne per hour"/>
        <s v="Coke ovens"/>
        <s v="Chemical installations for the production on an industrial scale of basic organic chemicals: Dyes and pigments"/>
        <s v="Installations for the processing of ferrous metals, Hot-rolling mills"/>
        <s v="Ferrous metal foundries with a production capacity of 20 tonnes per day"/>
        <s v="Installations for the processing of ferrous metals, Application of protective fused metal coats"/>
        <s v="Installations for the processing of ferrous metals. Note to reporters, use Level 3 activity e.g. 2(c)(i), in preference to 2(c). Level 2 activity class (i.e. 2(c)) only to be used where Level 3 is not available."/>
        <s v="Installations for the processing of ferrous metals, Smitheries with hammers"/>
        <s v="Chemical installations for the production on an industrial scale of phosphorous, nitrogen or potassium based fertilisers (simple or compound fertilisers)"/>
        <s v="Chemical installations for the production on an industrial scale of basic inorganic chemicals: Gases, such as ammonia, chlorine or hydrogen chloride, fluorine or hydrogen fluoride, carbon oxides, sulphur compounds, nitrogen oxides, hydrogen, sulphur dioxi"/>
        <s v="Installations for gasification and liquefaction"/>
        <s v="Installations for melting mineral substances, including the production of mineral fibres"/>
        <s v="Installations for the manufacture of glass, including glass fibre"/>
        <s v="Installations for the production of carbon (hard-burnt coal) or electro-graphite by means of incineration or graphitisation"/>
        <s v="Installations for the surface treatment of substances, objects or products using organic solvents, in particular for dressing, printing, coating, degreasing, waterproofing, sizing, painting, cleaning or impregnating"/>
        <s v="Intensive aquaculture"/>
        <s v="Landfills (excluding landfills of inert waste and landfills, which were definitely closed before 16.7.2001 or for which the after-care phase required by the competent authorities according to Article 13 of Council Directive 1999/31/EC of 26 April 1999 on "/>
        <s v="Installations for the manufacture of coal products and solid smokeless fuel"/>
        <s v="Installations for the disposal of non-hazardous waste"/>
        <s v="Opencast mining and quarrying"/>
        <s v="Chemical installations for the production on an industrial scale of basic organic chemicals: Halogenic hydrocarbons"/>
        <s v="Chemical installations for the production on an industrial scale of basic organic chemicals: Nitrogenous hydrocarbons such as amines, amides, nitrous compounds, nitro compounds or nitrate compounds, nitriles, cyanates, isocyanates"/>
        <s v="Chemical installations for the production on an industrial scale of basic organic chemicals: Sulphurous hydrocarbons"/>
        <s v="Chemical installations for the production on an industrial scale of basic organic chemicals: Synthetic rubbers"/>
        <s v="Chemical installations for the production on an industrial scale of basic organic chemicals: Phosphorus-containing hydrocarbons"/>
        <s v="Chemical installations for the production on an industrial scale of basic organic chemicals: Oxygen-containing hydrocarbons such as alcohols, aldehydes, ketones, carboxylic acids, esters, acetates, ethers, peroxides, epoxy resins"/>
        <s v="Chemical installations for the production on an industrial scale of basic organic chemicals: Simple hydrocarbons (linear or cyclic, saturated or unsaturated, aliphatic or aromatic)"/>
        <s v="Chemical installations for the production on an industrial scale of basic organic chemicals. Note to reporters, use Level 3 activity e.g. 4(a)(iii), in preference to 4(a). Level 2 activity class (i.e. 4(a)) only to be used where Level 3 is not available."/>
        <s v="Treatment and processing intended for the production of food and beverage products. Note to reporters, use Level 3 activity e.g. 8(b)(i), in preference to 8(b). Level 2 activity class (i.e. 8(b)) only to be used where Level 3 is not available."/>
        <s v="Installations for surface treatment of metals and plastic materials using an electrolytic or chemical process"/>
        <s v="Installations using a chemical or biological process for the production on an industrial scale of basic pharmaceutical products"/>
        <s v="Underground mining and related operations"/>
        <s v="Urban waste-water treatment plants"/>
      </sharedItems>
    </cacheField>
    <cacheField name="FacilityInspireID" numFmtId="0">
      <sharedItems containsBlank="1">
        <m/>
        <s v="UK.CAED/EW_EA-67.FACILITY"/>
        <s v="FR.CAED/7002.FACILITY"/>
        <s v="http://paikkatiedot.fi/so/1002031/pf/ProductionFacility/0100252736.ProductionFacility"/>
        <s v="PL.MŚ/000000349.FACILITY"/>
        <s v="http://paikkatiedot.fi/so/1002031/pf/ProductionFacility/0000001254.ProductionFacility"/>
        <s v="SE.CAED/10022299.Facility"/>
        <s v="SE.CAED/10016489.Facility"/>
        <s v="SE.CAED/10018676.Facility"/>
        <s v="CZ.MZP.U423/CZ63876696.FACILITY"/>
        <s v="http://paikkatiedot.fi/so/1002031/pf/ProductionFacility/0000001348.ProductionFacility"/>
        <s v="SE.CAED/10020389.Facility"/>
        <s v="SE.CAED/10022491.Facility"/>
        <s v="PT.CAED/PT.APA05765162.CI"/>
        <s v="http://paikkatiedot.fi/so/1002031/pf/ProductionFacility/0000001111.ProductionFacility"/>
        <s v="http://paikkatiedot.fi/so/1002031/pf/ProductionFacility/0000001269.ProductionFacility"/>
        <s v="http://paikkatiedot.fi/so/1002031/pf/ProductionFacility/0000001919.ProductionFacility"/>
        <s v="ES.CAED/003378000.FACILITY"/>
        <s v="SE.CAED/10014311.Facility"/>
        <s v="SE.CAED/10022062.Facility"/>
        <s v="SE.CAED/10024717.Facility"/>
        <s v="http://paikkatiedot.fi/so/1002031/pf/ProductionFacility/0000001780.ProductionFacility"/>
        <s v="SE.CAED/10017067.Facility"/>
        <s v="PL.MŚ/000000031.FACILITY"/>
        <s v="AT.CAED/9008390614785.FACILITY"/>
        <s v="http://paikkatiedot.fi/so/1002031/pf/ProductionFacility/0000001560.ProductionFacility"/>
        <s v="BE.WA/103010000.FACILITY"/>
        <s v="SE.CAED/10014055.Facility"/>
        <s v="SE.CAED/10020366.Facility"/>
        <s v="PT.CAED/PT.APA05774482.CI"/>
        <s v="http://paikkatiedot.fi/so/1002031/pf/ProductionFacility/0000001592.ProductionFacility"/>
        <s v="SE.CAED/10022227.Facility"/>
        <s v="PL.MŚ/000000350.FACILITY"/>
        <s v="SE.CAED/10015075.Facility"/>
        <s v="SE.CAED/10024325.Facility"/>
        <s v="SE.CAED/10021163.Facility"/>
        <s v="FR.CAED/662.FACILITY"/>
        <s v="PT.CAED/PT.APA05765202.CI"/>
        <s v="http://paikkatiedot.fi/so/1002031/pf/ProductionFacility/0000001409.ProductionFacility"/>
        <s v="SE.CAED/10020999.Facility"/>
        <s v="PL.MŚ/000000260.FACILITY"/>
        <s v="SE.CAED/10024718.Facility"/>
        <s v="http://paikkatiedot.fi/so/1002031/pf/ProductionFacility/0000001728.ProductionFacility"/>
        <s v="http://paikkatiedot.fi/so/1002031/pf/ProductionFacility/0000018120.ProductionFacility"/>
        <s v="SE.CAED/10022449.Facility"/>
        <s v="FR.CAED/10011.FACILITY"/>
        <s v="SE.CAED/10022175.Facility"/>
        <s v="PT.CAED/PT.APA05765222.CI"/>
        <s v="PT.CAED/PT.APA05764382.CI"/>
        <s v="http://paikkatiedot.fi/so/1002031/pf/ProductionFacility/0000063404.ProductionFacility"/>
        <s v="IT.CAED/721001002.FACILITY"/>
        <s v="SE.CAED/10020499.Facility"/>
        <s v="PL.MŚ/000000468.FACILITY"/>
        <s v="SE.CAED/10014121.Facility"/>
        <s v="SE.CAED/10023612.Facility"/>
        <s v="UK.CAED/EW_EA-16950.FACILITY"/>
        <s v="SE.CAED/10014053.Facility"/>
        <s v="FR.CAED/788.FACILITY"/>
        <s v="http://paikkatiedot.fi/so/1002031/pf/ProductionFacility/0100304897.ProductionFacility"/>
        <s v="CZ.MZP.B645/CZ68607441.FACILITY"/>
        <s v="SE.CAED/10022490.Facility"/>
        <s v="FR.CAED/7588.FACILITY"/>
        <s v="EL.CAED/100029.FACILITY"/>
        <s v="SE.CAED/10020871.Facility"/>
        <s v="IT.CAED/000531002.FACILITY"/>
        <s v="AT.CAED/9008390973059.FACILITY"/>
        <s v="SE.CAED/10020777.Facility"/>
        <s v="https://data.ied_registry.omgeving.vlaanderen.be/id/productionfacility//BE.VL.000000640.FACILITY"/>
        <s v="CZ.MZP.H525/CZ18989196.FACILITY"/>
        <s v="AT.CAED/9008390968734.FACILITY"/>
        <s v="FR.CAED/4602.FACILITY"/>
        <s v="SE.CAED/10015102.Facility"/>
        <s v="IT.CAED/101372002.FACILITY"/>
        <s v="SE.CAED/10014262.Facility"/>
        <s v="SE.CAED/10014984.Facility"/>
        <s v="SE.CAED/10019386.Facility"/>
        <s v="FR.CAED/8549.FACILITY"/>
        <s v="http://paikkatiedot.fi/so/1002031/pf/ProductionFacility/0100180527.ProductionFacility"/>
        <s v="https://registry.gdi-de.org/id/de.nw.inspire.pf.bube-eureg/arb-2017-113000-100-0204710"/>
        <s v="SE.CAED/10014775.Facility"/>
        <s v="SE.CAED/10017666.Facility"/>
        <s v="https://registry.gdi-de.org/id/de.hb//de.hb.pf.bube-eureg.06-04-11/2013754/1/0"/>
        <s v="https://registry.gdi-de.org/id/de.hh/pf.bube-eureg_/8159"/>
        <s v="SE.CAED/10020475.Facility"/>
        <s v="HU.OKIR/100327538.FACILITY"/>
        <s v="FR.CAED/10960.FACILITY"/>
        <s v="FR.CAED/3176.FACILITY"/>
        <s v="PL.MŚ/000000058.FACILITY"/>
        <s v="https://registry.gdi-de.org/id/de.bw.lubw.inspire.pf//pf-450-2719142-00000000"/>
        <s v="SE.CAED/10015586.Facility"/>
        <s v="SE.CAED/10018336.Facility"/>
        <s v="BE.BRU/100010004.FACILITY"/>
        <s v="ES.CAED/000132000.FACILITY"/>
        <s v="IT.CAED/741231003.FACILITY"/>
        <s v="PT.CAED/PT.APA05764642.CI"/>
        <s v="ES.CAED/002762000.FACILITY"/>
        <s v="PL.MŚ/000000130.FACILITY"/>
        <s v="FR.CAED/12109.FACILITY"/>
        <s v="https://data.ied_registry.omgeving.vlaanderen.be/id/productionfacility//BE.VL.000000714.FACILITY"/>
        <s v="PL.MŚ/000000153.FACILITY"/>
        <s v="SE.CAED/10021814.Facility"/>
        <s v="EE.KAUR.TTR/213.FACILITY"/>
        <s v="FR.CAED/8527.FACILITY"/>
        <s v="EE.KAUR.TTR/156.FACILITY"/>
        <s v="http://paikkatiedot.fi/so/1002031/pf/ProductionFacility/0100183092.ProductionFacility"/>
        <s v="EE.KAUR.TTR/125.FACILITY"/>
        <s v="http://paikkatiedot.fi/so/1002031/pf/ProductionFacility/0000001177.ProductionFacility"/>
        <s v="http://paikkatiedot.fi/so/1002031/pf/ProductionFacility/0000003238.ProductionFacility"/>
        <s v="EE.KAUR.TTR/192.FACILITY"/>
        <s v="http://paikkatiedot.fi/so/1002031/pf/ProductionFacility/0000001170.ProductionFacility"/>
        <s v="http://paikkatiedot.fi/so/1002031/pf/ProductionFacility/0000003574.ProductionFacility"/>
        <s v="http://paikkatiedot.fi/so/1002031/pf/ProductionFacility/0000001262.ProductionFacility"/>
        <s v="https://data.gov.sk/set/data/so/57011803_minzp/pf:ProductionFacility/57011803.NRZ.FACILITY"/>
        <s v="BE.WA/003010000.FACILITY"/>
        <s v="FR.CAED/7945.FACILITY"/>
        <s v="SE.CAED/10022522.Facility"/>
        <s v="EE.KAUR.TTR/74.FACILITY"/>
        <s v="PL.MŚ/000000010.FACILITY"/>
        <s v="http://paikkatiedot.fi/so/1002031/pf/ProductionFacility/0000001406.ProductionFacility"/>
        <s v="http://paikkatiedot.fi/so/1002031/pf/ProductionFacility/0000002677.ProductionFacility"/>
        <s v="http://paikkatiedot.fi/so/1002031/pf/ProductionFacility/0000001861.ProductionFacility"/>
        <s v="http://paikkatiedot.fi/so/1002031/pf/ProductionFacility/0000001784.ProductionFacility"/>
        <s v="UK.CAED/NRW170059.FACILITY"/>
        <s v="https://registry.gdi-de.org/id/de.nw.inspire.pf.bube-eureg/arb-2017-124000-100-0113340"/>
        <s v="HU.OKIR/100293428.FACILITY"/>
        <s v="IT.CAED/030402001.FACILITY"/>
        <s v="https://registry.gdi-de.org/id/de.he.0945.de7.pf.eu_industrie/30000112"/>
        <s v="IT.CAED/070461001.FACILITY"/>
        <s v="PL.MŚ/000000163.FACILITY"/>
        <s v="SE.CAED/10023763.Facility"/>
        <s v="http://paikkatiedot.fi/so/1002031/pf/ProductionFacility/0000001162.ProductionFacility"/>
        <s v="IT.CAED/301761002.FACILITY"/>
        <s v="SE.CAED/10014459.Facility"/>
        <s v="PT.CAED/PT.APA05770322.CI"/>
        <s v="BE.WA/004010000.FACILITY"/>
        <s v="https://registry.gdi-de.org/id/de.hb//de.hb.pf.bube-eureg.06-04-11/2001178/8/6"/>
        <s v="http://paikkatiedot.fi/so/1002031/pf/ProductionFacility/0000001992.ProductionFacility"/>
        <s v="SE.CAED/10017848.Facility"/>
        <s v="EE.KAUR.TTR/88.FACILITY"/>
        <s v="NO.EEA/192040.FACILITY"/>
        <s v="FR.CAED/11114.FACILITY"/>
        <s v="PT.CAED/PT.APA05770942.CI"/>
        <s v="http://paikkatiedot.fi/so/1002031/pf/ProductionFacility/0000001294.ProductionFacility"/>
        <s v="HU.OKIR/100392330.FACILITY"/>
        <s v="IT.CAED/201532001.FACILITY"/>
        <s v="http://paikkatiedot.fi/so/1002031/pf/ProductionFacility/0000001495.ProductionFacility"/>
        <s v="NO.EEA/192335.FACILITY"/>
        <s v="EE.KAUR.TTR/135.FACILITY"/>
        <s v="https://registry.gdi-de.org/id/de.nw.inspire.pf.bube-eureg/arb-2017-170032-100-0989137"/>
        <s v="CZ.MZP.J632/CZ42968796.FACILITY"/>
        <s v="ES.CAED/002928000.FACILITY"/>
        <s v="IT.CAED/270321001.FACILITY"/>
        <s v="CH.CAED/000000417.Facility"/>
        <s v="http://paikkatiedot.fi/so/1002031/pf/ProductionFacility/0000011208.ProductionFacility"/>
        <s v="http://paikkatiedot.fi/so/1002031/pf/ProductionFacility/0100050963.ProductionFacility"/>
        <s v="FR.CAED/5125.FACILITY"/>
        <s v="SE.CAED/10021702.Facility"/>
        <s v="SE.CAED/10019131.Facility"/>
        <s v="SE.CAED/10014627.Facility"/>
        <s v="NO.EEA/192002.FACILITY"/>
        <s v="IT.CAED/721001005.FACILITY"/>
        <s v="http://paikkatiedot.fi/so/1002031/pf/ProductionFacility/0000002160.ProductionFacility"/>
        <s v="AT.CAED/9008390933787.FACILITY"/>
        <s v="https://registry.gdi-de.org/id/de.rp.inspire.pf.bube-eureg/4000267"/>
        <s v="SE.CAED/10014983.Facility"/>
        <s v="http://paikkatiedot.fi/so/1002031/pf/ProductionFacility/0000002157.ProductionFacility"/>
        <s v="https://registry.gdi-de.org/id/de.nw.inspire.pf.bube-eureg/arb-2017-362028-300-9968049"/>
        <s v="CH.CAED/000000110.Facility"/>
        <s v="SE.CAED/10014118.Facility"/>
        <s v="http://paikkatiedot.fi/so/1002031/pf/ProductionFacility/0000001216.ProductionFacility"/>
        <s v="SE.CAED/10024059.Facility"/>
        <s v="PL.MŚ/000000705.FACILITY"/>
        <s v="CH.CAED/000000206.Facility"/>
        <s v="PL.MŚ/000004638.FACILITY"/>
        <s v="http://paikkatiedot.fi/so/1002031/pf/ProductionFacility/0100198358.ProductionFacility"/>
        <s v="http://paikkatiedot.fi/so/1002031/pf/ProductionFacility/0000002591.ProductionFacility"/>
        <s v="PT.CAED/PT.APA05766442.CI"/>
        <s v="ES.CAED/004857000.FACILITY"/>
        <s v="CZ.MZP.S207/CZ92220409.FACILITY"/>
        <s v="UK.CAED/EW_EA-2764.FACILITY"/>
        <s v="FR.CAED/9528.FACILITY"/>
        <s v="AT.CAED/9008390707227.FACILITY"/>
        <s v="https://registry.gdi-de.org/id/de.hb//de.hb.pf.bube-eureg.06-04-12/2177562/6/0"/>
        <s v="https://registry.gdi-de.org/id/de.by.inspire.pf.ied/S00894"/>
        <s v="NO.EEA/192383.FACILITY"/>
        <s v="UK.CAED/EW_EA-16008.FACILITY"/>
        <s v="CH.CAED/000000286.Facility"/>
        <s v="SE.CAED/10016795.Facility"/>
        <s v="http://paikkatiedot.fi/so/1002031/pf/ProductionFacility/0100203967.ProductionFacility"/>
        <s v="EE.KAUR.TTR/155.FACILITY"/>
        <s v="http://paikkatiedot.fi/so/1002031/pf/ProductionFacility/0000001300.ProductionFacility"/>
        <s v="SE.CAED/10014500.Facility"/>
        <s v="https://registry.gdi-de.org/id/de.nw.inspire.pf.bube-eureg/arb-2017-354012-300-9001747"/>
        <s v="RO.CAED/102SV0001.FACILITY"/>
        <s v="UK.CAED/EW_EA-2520.FACILITY"/>
        <s v="https://data.ied_registry.omgeving.vlaanderen.be/id/productionfacility//BE.VL.000000931.FACILITY"/>
        <s v="LT.CAED/301276531.FACILITY"/>
        <s v="NO.EEA/192160.FACILITY"/>
        <s v="IT.CAED/270202001.FACILITY"/>
        <s v="http://paikkatiedot.fi/so/1002031/pf/ProductionFacility/0000002336.ProductionFacility"/>
        <s v="CH.CAED/000000274.Facility"/>
        <s v="SE.CAED/10018098.Facility"/>
        <s v="EE.KAUR.TTR/38.FACILITY"/>
        <s v="SE.CAED/10014052.Facility"/>
        <s v="IT.CAED/960101002.FACILITY"/>
        <s v="CH.CAED/000000283.Facility"/>
        <s v="AT.CAED/9008391215707.FACILITY"/>
        <s v="SI.ARSO/000000018.FACILITY"/>
        <s v="http://paikkatiedot.fi/so/1002031/pf/ProductionFacility/0100184511.ProductionFacility"/>
        <s v="ES.CAED/001983000.FACILITY"/>
        <s v="SE.CAED/10015046.Facility"/>
        <s v="PL.MŚ/000000104.FACILITY"/>
        <s v="FR.CAED/8610.FACILITY"/>
        <s v="http://paikkatiedot.fi/so/1002031/pf/ProductionFacility/0000052805.ProductionFacility"/>
        <s v="AT.CAED/9008390537091.FACILITY"/>
        <s v="PL.MŚ/000001902.FACILITY"/>
        <s v="PL.MŚ/000000162.FACILITY"/>
        <s v="IT.CAED/980441001.FACILITY"/>
        <s v="SE.CAED/10019441.Facility"/>
        <s v="UK.CAED/EW_EA-18706.FACILITY"/>
        <s v="FR.CAED/146.FACILITY"/>
        <s v="UK.CAED/EW_EA-16899.FACILITY"/>
        <s v="IT.CAED/481231006.FACILITY"/>
        <s v="https://data.gov.sk/set/data/so/47056307_minzp/pf:ProductionFacility/47056307.NRZ.FACILITY"/>
        <s v="FR.CAED/9964.FACILITY"/>
        <s v="FR.CAED/32898.FACILITY"/>
        <s v="PL.MŚ/000000212.FACILITY"/>
        <s v="ES.CAED/003531000.FACILITY"/>
        <s v="PT.CAED/PT.APA05771942.CI"/>
        <s v="IT.CAED/461001003.FACILITY"/>
        <s v="https://registry.gdi-de.org/id/de.sl.inspire.pf//0075674-G"/>
        <s v="https://data.ied_registry.omgeving.vlaanderen.be/id/productionfacility//BE.VL.000001873.FACILITY"/>
        <s v="CH.CAED/000000227.Facility"/>
        <s v="SE.CAED/10017854.Facility"/>
        <s v="CZ.MZP.J632/CZ13996896.FACILITY"/>
        <s v="AT.CAED/9008391215769.FACILITY"/>
        <s v="FR.CAED/5469.FACILITY"/>
        <s v="IT.CAED/330501001.FACILITY"/>
        <s v="SE.CAED/10020920.Facility"/>
        <s v="PL.MŚ/000000391.FACILITY"/>
        <s v="CY.CAED/0060500000.FACILITY"/>
        <s v="FR.CAED/9479.FACILITY"/>
        <s v="CH.CAED/000000287.Facility"/>
        <s v="http://paikkatiedot.fi/so/1002031/pf/ProductionFacility/0000016028.ProductionFacility"/>
        <s v="http://paikkatiedot.fi/so/1002031/pf/ProductionFacility/0000003607.ProductionFacility"/>
        <s v="CH.CAED/000000289.Facility"/>
        <s v="ES.CAED/002927000.FACILITY"/>
        <s v="ES.CAED/006644000.FACILITY"/>
        <s v="FR.CAED/6708.FACILITY"/>
        <s v="ES.CAED/001985000.FACILITY"/>
        <s v="CH.CAED/000000280.Facility"/>
        <s v="IT.CAED/411222010.FACILITY"/>
        <s v="IT.CAED/400351001.FACILITY"/>
        <s v="IT.CAED/290151001.FACILITY"/>
        <s v="https://data.ied_registry.omgeving.vlaanderen.be/id/productionfacility//BE.VL.000000991.FACILITY"/>
        <s v="https://registry.gdi-de.org/id/de.nw.inspire.pf.bube-eureg/arb-2017-170020-100-0501870"/>
        <s v="SE.CAED/10022364.Facility"/>
        <s v="EL.CAED/100687.FACILITY"/>
        <s v="https://data.ied_registry.omgeving.vlaanderen.be/id/productionfacility//BE.VL.000000642.FACILITY"/>
        <s v="IT.CAED/268361001.FACILITY"/>
        <s v="FR.CAED/659.FACILITY"/>
        <s v="AT.CAED/9008390972489.FACILITY"/>
        <s v="IT.CAED/240442001.FACILITY"/>
        <s v="PL.MŚ/000000123.FACILITY"/>
        <s v="FR.CAED/13703.FACILITY"/>
        <s v="CZ.MZP.A100/CZ26416675.FACILITY"/>
        <s v="IT.CAED/400572001.FACILITY"/>
        <s v="IT.CAED/200562001.FACILITY"/>
        <s v="IT.CAED/351272002.FACILITY"/>
        <s v="CH.CAED/000000362.Facility"/>
        <s v="AT.CAED/9008390974230.FACILITY"/>
        <s v="LU.CAED/000007000.FACILITY"/>
        <s v="PL.MŚ/000000141.FACILITY"/>
        <s v="ES.CAED/001868000.FACILITY"/>
        <s v="FR.CAED/4111.FACILITY"/>
        <s v="FR.CAED/7659.FACILITY"/>
        <s v="PT.CAED/PT.APA05766202.CI"/>
        <s v="CH.CAED/000000410.Facility"/>
        <s v="PL.MŚ/000001405.FACILITY"/>
        <s v="FR.CAED/8403.FACILITY"/>
        <s v="ES.CAED/001600000.FACILITY"/>
        <s v="ES.CAED/001767000.FACILITY"/>
        <s v="IT.CAED/880501001.FACILITY"/>
        <s v="IT.CAED/090101001.FACILITY"/>
        <s v="http://paikkatiedot.fi/so/1002031/pf/ProductionFacility/0000003626.ProductionFacility"/>
        <s v="SE.CAED/10021743.Facility"/>
        <s v="http://paikkatiedot.fi/so/1002031/pf/ProductionFacility/0000002674.ProductionFacility"/>
        <s v="https://registry.gdi-de.org/id/de.th/5bf25e39-19d5-4254-adac-63f1b1cec499/77012792"/>
        <s v="http://paikkatiedot.fi/so/1002031/pf/ProductionFacility/0000020744.ProductionFacility"/>
        <s v="FR.CAED/6144.FACILITY"/>
        <s v="FR.CAED/7420.FACILITY"/>
        <s v="ES.CAED/007150000.FACILITY"/>
        <s v="SE.CAED/10017499.Facility"/>
        <s v="DK.CAED/000105324.FACILITY"/>
        <s v="IT.CAED/900181001.FACILITY"/>
        <s v="https://registry.gdi-de.org/id/de.nw.inspire.pf.bube-eureg/arb-2017-978024-900-9000377"/>
        <s v="CH.CAED/000000230.Facility"/>
        <s v="ES.CAED/003067000.FACILITY"/>
        <s v="CZ.MZP.M714/CZ44196175.FACILITY"/>
        <s v="NO.EEA/192083.FACILITY"/>
        <s v="ES.CAED/002761000.FACILITY"/>
        <s v="AT.CAED/9008391178545.FACILITY"/>
        <s v="HR.CAED/000000019.FACILITY"/>
        <s v="SE.CAED/10024810.Facility"/>
        <s v="FR.CAED/7494.FACILITY"/>
        <s v="ES.CAED/008330000.FACILITY"/>
        <s v="https://registry.gdi-de.org/id/de.sn.sax4inspire.pf/70019073"/>
        <s v="PL.MŚ/000000034.FACILITY"/>
        <s v="AT.CAED/9008390397176.FACILITY"/>
        <s v="https://data.ied_registry.omgeving.vlaanderen.be/id/productionfacility//BE.VL.000000687.FACILITY"/>
        <s v="ES.CAED/004848000.FACILITY"/>
        <s v="ES.CAED/007626000.FACILITY"/>
        <s v="FR.CAED/10012.FACILITY"/>
        <s v="EL.CAED/100048.FACILITY"/>
        <s v="CH.CAED/000000231.Facility"/>
        <s v="PL.MŚ/000004579.FACILITY"/>
        <s v="PT.CAED/PT.APA05771462.CI"/>
        <s v="FR.CAED/11375.FACILITY"/>
        <s v="https://registry.gdi-de.org/id/de.by.inspire.pf.ied/S00984"/>
        <s v="PL.MŚ/000000140.FACILITY"/>
        <s v="PL.MŚ/000000693.FACILITY"/>
        <s v="CZ.MZP.U423/CZ47356419.FACILITY"/>
        <s v="NO.EEA/192008.FACILITY"/>
        <s v="IT.CAED/391002004.FACILITY"/>
        <s v="https://registry.gdi-de.org/id/de.rp.inspire.pf.bube-eureg/1000878"/>
        <s v="http://paikkatiedot.fi/so/1002031/pf/ProductionFacility/0000011179.ProductionFacility"/>
        <s v="IT.CAED/870421001.FACILITY"/>
        <s v="IT.CAED/481231001.FACILITY"/>
        <s v="IT.CAED/100241001.FACILITY"/>
        <s v="AT.CAED/9008391215691.FACILITY"/>
        <s v="SE.CAED/10018458.Facility"/>
        <s v="IT.CAED/100341001.FACILITY"/>
        <s v="IT.CAED/051002003.FACILITY"/>
        <s v="EL.CAED/100072.FACILITY"/>
        <s v="PL.MŚ/000000916.FACILITY"/>
        <s v="IT.CAED/341472001.FACILITY"/>
        <s v="IT.CAED/130461001.FACILITY"/>
        <s v="FR.CAED/13341.FACILITY"/>
        <s v="IT.CAED/441221001.FACILITY"/>
        <s v="EL.CAED/100004.FACILITY"/>
        <s v="IT.CAED/170471001.FACILITY"/>
        <s v="FR.CAED/11135.FACILITY"/>
        <s v="CZ.MZP.E531/CZ27995052.FACILITY"/>
        <s v="IT.CAED/471222018.FACILITY"/>
        <s v="AT.CAED/9008391215714.FACILITY"/>
        <s v="SE.CAED/10020018.Facility"/>
        <s v="FR.CAED/2190.FACILITY"/>
        <s v="PL.MŚ/000000067.FACILITY"/>
        <s v="IT.CAED/268211001.FACILITY"/>
        <s v="FR.CAED/5246.FACILITY"/>
        <s v="NO.EEA/192262.FACILITY"/>
        <s v="PL.MŚ/000000429.FACILITY"/>
        <s v="DK.CAED/000106482.FACILITY"/>
        <s v="FR.CAED/5447.FACILITY"/>
        <s v="CH.CAED/000000270.Facility"/>
        <s v="IT.CAED/478532001.FACILITY"/>
        <s v="IT.CAED/441242002.FACILITY"/>
        <s v="SI.ARSO/000000011.FACILITY"/>
        <s v="https://registry.gdi-de.org/id/de.by.inspire.pf.ied/S00637"/>
        <s v="ES.CAED/006516000.FACILITY"/>
        <s v="IT.CAED/238682003.FACILITY"/>
        <s v="ES.CAED/005989000.FACILITY"/>
        <s v="FR.CAED/9662.FACILITY"/>
        <s v="SE.CAED/10019896.Facility"/>
        <s v="SE.CAED/10019709.Facility"/>
        <s v="NO.EEA/192037.FACILITY"/>
        <s v="https://data.ied_registry.omgeving.vlaanderen.be/id/productionfacility//BE.VL.000000503.FACILITY"/>
        <s v="FR.CAED/8463.FACILITY"/>
        <s v="IT.CAED/860772001.FACILITY"/>
        <s v="https://registry.gdi-de.org/id/de.nw.inspire.pf.bube-eureg/arb-2017-566040-500-0106867"/>
        <s v="CH.CAED/000000282.Facility"/>
        <s v="CZ.MZP.B643/CZ23625775.FACILITY"/>
        <s v="AT.CAED/9008390853801.FACILITY"/>
        <s v="ES.CAED/002112000.FACILITY"/>
        <s v="FR.CAED/13901.FACILITY"/>
        <s v="IT.CAED/270581001.FACILITY"/>
        <s v="BG.CAED/005000005.FACILITY"/>
        <s v="FR.CAED/12507.FACILITY"/>
        <s v="CH.CAED/000000279.Facility"/>
        <s v="CH.CAED/000000367.Facility"/>
        <s v="IT.CAED/960101001.FACILITY"/>
        <s v="IT.CAED/200621001.FACILITY"/>
        <s v="ES.CAED/003536000.FACILITY"/>
        <s v="CZ.MZP.T802/CZ33886785.FACILITY"/>
        <s v="EL.CAED/100099.FACILITY"/>
        <s v="IT.CAED/810561001.FACILITY"/>
        <s v="IT.CAED/030392001.FACILITY"/>
        <s v="CH.CAED/000000278.Facility"/>
        <s v="IT.CAED/570161001.FACILITY"/>
        <s v="FR.CAED/6388.FACILITY"/>
        <s v="BE.WA/001010000.FACILITY"/>
        <s v="https://registry.gdi-de.org/id/de.sh//50081814"/>
        <s v="IT.CAED/340112001.FACILITY"/>
        <s v="NO.EEA/192012.FACILITY"/>
        <s v="HU.OKIR/101690594.FACILITY"/>
        <s v="FR.CAED/8261.FACILITY"/>
        <s v="IT.CAED/710161001.FACILITY"/>
        <s v="FR.CAED/22915.FACILITY"/>
        <s v="NO.EEA/192328.FACILITY"/>
        <s v="FR.CAED/8230.FACILITY"/>
        <s v="FR.CAED/3601.FACILITY"/>
        <s v="FR.CAED/6155.FACILITY"/>
        <s v="UK.CAED/EW_EA-654.FACILITY"/>
        <s v="AT.CAED/9008390967331.FACILITY"/>
        <s v="PL.MŚ/000000138.FACILITY"/>
        <s v="PL.MŚ/000000685.FACILITY"/>
        <s v="PL.MŚ/000003652.FACILITY"/>
        <s v="PL.MŚ/000000346.FACILITY"/>
        <s v="PL.MŚ/000000147.FACILITY"/>
        <s v="IT.CAED/301761001.FACILITY"/>
        <s v="HR.CAED/000000028.FACILITY"/>
        <s v="FR.CAED/8246.FACILITY"/>
        <s v="LT.CAED/303792888.FACILITY"/>
        <s v="https://registry.gdi-de.org/id/de.by.inspire.pf.ied/S00400"/>
        <s v="FR.CAED/1884.FACILITY"/>
        <s v="CH.CAED/000000223.Facility"/>
        <s v="ES.CAED/001960000.FACILITY"/>
        <s v="FR.CAED/11460.FACILITY"/>
        <s v="CH.CAED/000000290.Facility"/>
        <s v="https://registry.gdi-de.org/id/de.sl.inspire.pf//0078532-G"/>
        <s v="FR.CAED/6792.FACILITY"/>
        <s v="PL.MŚ/000000687.FACILITY"/>
        <s v="DK.CAED/000105551.FACILITY"/>
        <s v="FR.CAED/8264.FACILITY"/>
        <s v="EL.CAED/100076.FACILITY"/>
        <s v="ES.CAED/003182000.FACILITY"/>
        <s v="IT.CAED/221002005.FACILITY"/>
        <s v="IT.CAED/101511001.FACILITY"/>
        <s v="FR.CAED/8201.FACILITY"/>
        <s v="FR.CAED/8363.FACILITY"/>
        <s v="PL.MŚ/000000146.FACILITY"/>
        <s v="https://data.gov.sk/set/data/so/37021405_minzp/pf:ProductionFacility/37021405.NRZ.FACILITY"/>
        <s v="IT.CAED/100401001.FACILITY"/>
        <s v="FR.CAED/673.FACILITY"/>
        <s v="ES.CAED/006515000.FACILITY"/>
        <s v="FR.CAED/437.FACILITY"/>
        <s v="FR.CAED/132.FACILITY"/>
        <s v="EL.CAED/100090.FACILITY"/>
        <s v="FR.CAED/10862.FACILITY"/>
        <s v="ES.CAED/008402000.FACILITY"/>
        <s v="FR.CAED/6402.FACILITY"/>
        <s v="https://registry.gdi-de.org/id/de.rp.inspire.pf.bube-eureg/5000164"/>
        <s v="EL.CAED/100100.FACILITY"/>
        <s v="IT.CAED/291222006.FACILITY"/>
        <s v="https://data.ied_registry.omgeving.vlaanderen.be/id/productionfacility//BE.VL.000001755.FACILITY"/>
        <s v="FR.CAED/10883.FACILITY"/>
        <s v="FR.CAED/5004.FACILITY"/>
        <s v="http://paikkatiedot.fi/so/1002031/pf/ProductionFacility/0100088039.ProductionFacility"/>
        <s v="IT.CAED/570161004.FACILITY"/>
        <s v="https://data.ied_registry.omgeving.vlaanderen.be/id/productionfacility//BE.VL.000000665.FACILITY"/>
        <s v="FR.CAED/5491.FACILITY"/>
        <s v="IT.CAED/208322001.FACILITY"/>
        <s v="IT.CAED/460281001.FACILITY"/>
        <s v="PL.MŚ/000000898.FACILITY"/>
        <s v="FR.CAED/11416.FACILITY"/>
        <s v="IT.CAED/330282002.FACILITY"/>
        <s v="IT.CAED/890161001.FACILITY"/>
        <s v="PL.MŚ/000000215.FACILITY"/>
        <s v="FR.CAED/771.FACILITY"/>
        <s v="SE.CAED/10024476.Facility"/>
        <s v="FR.CAED/7963.FACILITY"/>
        <s v="IT.CAED/660521001.FACILITY"/>
        <s v="PT.CAED/PT.APA05763522.CI"/>
        <s v="FR.CAED/5506.FACILITY"/>
        <s v="PL.MŚ/000000363.FACILITY"/>
        <s v="http://paikkatiedot.fi/so/1002031/pf/ProductionFacility/0000002096.ProductionFacility"/>
        <s v="ES.CAED/000136000.FACILITY"/>
        <s v="PL.MŚ/000000686.FACILITY"/>
        <s v="EL.CAED/100037.FACILITY"/>
        <s v="LT.CAED/110012450.FACILITY"/>
        <s v="ES.CAED/003518000.FACILITY"/>
        <s v="PL.MŚ/000000973.FACILITY"/>
        <s v="PL.MŚ/000002010.FACILITY"/>
        <s v="IT.CAED/710241001.FACILITY"/>
        <s v="FR.CAED/13734.FACILITY"/>
        <s v="BE.WA/112010000.FACILITY"/>
        <s v="HU.OKIR/100372804.FACILITY"/>
        <s v="ES.CAED/003408000.FACILITY"/>
        <s v="PL.MŚ/000000425.FACILITY"/>
        <s v="FR.CAED/3183.FACILITY"/>
        <s v="SI.ARSO/000000022.FACILITY"/>
        <s v="AT.CAED/9008391181606.FACILITY"/>
        <s v="AT.CAED/9008390956830.FACILITY"/>
        <s v="IT.CAED/291211001.FACILITY"/>
        <s v="EL.CAED/100080.FACILITY"/>
        <s v="UK.CAED/EW_EA-365.FACILITY"/>
        <s v="PL.MŚ/000000232.FACILITY"/>
        <s v="PL.MŚ/000000033.FACILITY"/>
        <s v="IT.CAED/340741001.FACILITY"/>
        <s v="PL.MŚ/000001999.FACILITY"/>
        <s v="HU.OKIR/100423302.FACILITY"/>
        <s v="PT.CAED/PT.APA05766542.CI"/>
        <s v="https://data.ied_registry.omgeving.vlaanderen.be/id/productionfacility//BE.VL.000000516.FACILITY"/>
        <s v="BE.WA/026010000.FACILITY"/>
        <s v="https://data.gov.sk/set/data/so/57102807_minzp/pf:ProductionFacility/57102807.NRZ.FACILITY"/>
        <s v="BE.WA/027010000.FACILITY"/>
        <s v="EL.CAED/100082.FACILITY"/>
        <s v="LT.CAED/153009143.FACILITY"/>
        <s v="https://registry.gdi-de.org/id/de.nw.inspire.pf.bube-eureg/arb-2017-366044-300-0079450"/>
        <s v="FR.CAED/5892.FACILITY"/>
        <s v="HR.CAED/000000055.FACILITY"/>
        <s v="PL.MŚ/000000362.FACILITY"/>
        <s v="EL.CAED/100089.FACILITY"/>
        <s v="EL.CAED/100020.FACILITY"/>
        <s v="PL.MŚ/000000122.FACILITY"/>
        <s v="ES.CAED/009575000.FACILITY"/>
        <s v="https://data.ied_registry.omgeving.vlaanderen.be/id/productionfacility//BE.VL.000000876.FACILITY"/>
        <s v="HU.OKIR/100368287.FACILITY"/>
        <s v="https://data.ied_registry.omgeving.vlaanderen.be/id/productionfacility//BE.VL.000000194.FACILITY"/>
        <s v="LT.CAED/111760831.FACILITY1"/>
        <s v="FR.CAED/8007.FACILITY"/>
        <s v="BE.WA/225010000.FACILITY"/>
        <s v="IT.CAED/250862002.FACILITY"/>
        <s v="EL.CAED/100017.FACILITY"/>
        <s v="EL.CAED/100095.FACILITY"/>
        <s v="AT.CAED/9008390951965.FACILITY"/>
        <s v="NL.RIVM/000000148.FACILITY"/>
        <s v="IE.CAED/P0378.FACILITY"/>
        <s v="IT.CAED/040111001.FACILITY"/>
        <s v="MT.ERA/000000183.FACILITY"/>
        <s v="IT.CAED/000531001.FACILITY"/>
        <s v="EL.CAED/100088.FACILITY"/>
        <s v="HU.OKIR/100351304.FACILITY"/>
        <s v="IT.CAED/520221001.FACILITY"/>
        <s v="HU.OKIR/102144241.FACILITY"/>
        <s v="HR.CAED/000000025.FACILITY"/>
        <s v="FR.CAED/5236.FACILITY"/>
        <s v="ES.CAED/007198000.FACILITY"/>
        <s v="IT.CAED/888311001.FACILITY"/>
        <s v="PL.MŚ/000000125.FACILITY"/>
        <s v="EL.CAED/100078.FACILITY"/>
        <s v="FR.CAED/11428.FACILITY"/>
        <s v="FR.CAED/6581.FACILITY"/>
        <s v="IT.CAED/801461001.FACILITY"/>
        <s v="FR.CAED/10599.FACILITY"/>
        <s v="IT.CAED/120172001.FACILITY"/>
        <s v="UK.CAED/EW_EA-656.FACILITY"/>
        <s v="ES.CAED/000296000.FACILITY"/>
        <s v="FR.CAED/10600.FACILITY"/>
        <s v="ES.CAED/008423000.FACILITY"/>
        <s v="ES.CAED/001988000.FACILITY"/>
        <s v="https://data.gov.sk/set/data/so/37084106_minzp/pf:ProductionFacility/37084106.NRZ.FACILITY"/>
        <s v="ES.CAED/003036000.FACILITY"/>
        <s v="CZ.MZP.A100/CZ43518031.FACILITY"/>
        <s v="LV.LVGMC.PRTR/310017.Facility"/>
        <s v="AT.CAED/9008390971345.FACILITY"/>
        <s v="PL.MŚ/000000599.FACILITY"/>
        <s v="FR.CAED/5161.FACILITY"/>
        <s v="ES.CAED/004922000.FACILITY"/>
        <s v="FR.CAED/8544.FACILITY"/>
        <s v="IT.CAED/240332003.FACILITY"/>
        <s v="PT.CAED/PT.APA05766522.CI"/>
        <s v="HU.OKIR/100368276.FACILITY"/>
        <s v="FR.CAED/3507.FACILITY"/>
        <s v="FR.CAED/12044.FACILITY"/>
        <s v="BE.WA/029010000.FACILITY"/>
        <s v="PL.MŚ/000000486.FACILITY"/>
        <s v="FR.CAED/7633.FACILITY"/>
        <s v="FR.CAED/5900.FACILITY"/>
        <s v="BE.WA/028010000.FACILITY"/>
        <s v="IT.CAED/700261001.FACILITY"/>
        <s v="PT.CAED/PT.APA05764282.CI"/>
        <s v="ES.CAED/001998000.FACILITY"/>
        <s v="FR.CAED/3437.FACILITY"/>
        <s v="IS.CAED/570297-2609"/>
        <s v="PL.MŚ/000000041.FACILITY"/>
        <s v="ES.CAED/007460000.FACILITY"/>
        <s v="ES.CAED/003587000.FACILITY"/>
        <s v="PL.MŚ/000001886.FACILITY"/>
        <s v="https://data.ied_registry.omgeving.vlaanderen.be/id/productionfacility//BE.VL.000000711.FACILITY"/>
        <s v="IT.CAED/860782001.FACILITY"/>
        <s v="ES.CAED/006528000.FACILITY"/>
        <s v="https://registry.gdi-de.org/id/de.he.0945.de7.pf.eu_industrie/30000163"/>
        <s v="IT.CAED/860391001.FACILITY"/>
        <s v="BE.WA/119010000.FACILITY"/>
        <s v="https://data.gov.sk/set/data/so/57084805_minzp/pf:ProductionFacility/57084805.NRZ.FACILITY"/>
        <s v="FR.CAED/10785.FACILITY"/>
        <s v="FR.CAED/7381.FACILITY"/>
        <s v="FR.CAED/10743.FACILITY"/>
        <s v="ES.CAED/002468000.FACILITY"/>
        <s v="PL.MŚ/000000156.FACILITY"/>
        <s v="LV.LVGMC.PRTR/056901.Facility"/>
        <s v="FR.CAED/1252.FACILITY"/>
        <s v="PL.MŚ/000003640.FACILITY"/>
        <s v="HU.OKIR/100318695.FACILITY"/>
        <s v="https://registry.gdi-de.org/id/de.nw.inspire.pf.bube-eureg/arb-2017-974016-900-0014855"/>
        <s v="ES.CAED/008068000.FACILITY"/>
        <s v="AT.CAED/9008391597537.FACILITY"/>
        <s v="IT.CAED/200291001.FACILITY"/>
        <s v="ES.CAED/001759000.FACILITY"/>
        <s v="EL.CAED/100079.FACILITY"/>
        <s v="HR.CAED/000000073.FACILITY"/>
        <s v="ES.CAED/010852000.FACILITY"/>
        <s v="https://data.ied_registry.omgeving.vlaanderen.be/id/productionfacility//BE.VL.000000113.FACILITY"/>
        <s v="ES.CAED/001757000.FACILITY"/>
        <s v="EL.CAED/100075.FACILITY"/>
        <s v="FR.CAED/5097.FACILITY"/>
        <s v="NO.EEA/192295.FACILITY"/>
        <s v="PL.MŚ/000000356.FACILITY"/>
        <s v="IT.CAED/460401001.FACILITY"/>
        <s v="ES.CAED/008153000.FACILITY"/>
        <s v="FR.CAED/8528.FACILITY"/>
        <s v="ES.CAED/001507000.FACILITY"/>
        <s v="BE.WA/215010000.FACILITY"/>
        <s v="IT.CAED/980571002.FACILITY"/>
        <s v="FR.CAED/330.FACILITY"/>
        <s v="FR.CAED/5914.FACILITY"/>
        <s v="ES.CAED/000138000.FACILITY"/>
        <s v="BE.WA/033010000.FACILITY"/>
        <s v="ES.CAED/001573000.FACILITY"/>
        <s v="FR.CAED/9517.FACILITY"/>
        <s v="PT.CAED/PT.APA07272643.CI"/>
        <s v="ES.CAED/001914000.FACILITY"/>
        <s v="IT.CAED/810301001.FACILITY"/>
        <s v="HU.OKIR/101537691.FACILITY"/>
        <s v="FR.CAED/10820.FACILITY"/>
        <s v="SE.CAED/10020849.Facility"/>
        <s v="PL.MŚ/000000272.FACILITY"/>
        <s v="CZ.MZP.Z724/CZ15297397.FACILITY"/>
        <s v="IT.CAED/210322001.FACILITY"/>
        <s v="https://data.ied_registry.omgeving.vlaanderen.be/id/productionfacility//BE.VL.000000717.FACILITY"/>
        <s v="ES.CAED/001916000.FACILITY"/>
        <s v="HR.CAED/000000052.FACILITY"/>
        <s v="CH.CAED/000000115.Facility"/>
        <s v="AT.CAED/9008391745020.FACILITY"/>
        <s v="FR.CAED/3936.FACILITY"/>
        <s v="ES.CAED/004984000.FACILITY"/>
        <s v="ES.CAED/000910000.FACILITY"/>
        <s v="LU.CAED/000004000.FACILITY"/>
        <s v="IT.CAED/090181001.FACILITY"/>
        <s v="IT.CAED/210202005.FACILITY"/>
        <s v="FR.CAED/13309.FACILITY"/>
        <s v="IT.CAED/550162001.FACILITY"/>
        <s v="IT.CAED/060242001.FACILITY"/>
        <s v="FR.CAED/11610.FACILITY"/>
        <s v="PL.MŚ/000000340.FACILITY"/>
        <s v="FR.CAED/33009.FACILITY"/>
        <s v="FR.CAED/7225.FACILITY"/>
        <s v="CH.CAED/000000136.Facility"/>
        <s v="AT.CAED/9008390509852.FACILITY"/>
        <s v="PT.CAED/PT.APA05770962.CI"/>
        <s v="IT.CAED/000122001.FACILITY"/>
        <s v="ES.CAED/001481000.FACILITY"/>
        <s v="EL.CAED/100039.FACILITY"/>
        <s v="IT.CAED/290102006.FACILITY"/>
        <s v="FR.CAED/12029.FACILITY"/>
        <s v="FR.CAED/9415.FACILITY"/>
        <s v="https://data.gov.sk/set/data/so/77042302_minzp/pf:ProductionFacility/77042302.NRZ.FACILITY"/>
        <s v="HU.OKIR/100431466.FACILITY"/>
        <s v="FR.CAED/7783.FACILITY"/>
        <s v="https://data.gov.sk/set/data/so/57104807_minzp/pf:ProductionFacility/57104807.NRZ.FACILITY"/>
        <s v="HU.OKIR/100452988.FACILITY"/>
        <s v="CZ.MZP.S203/CZ84874607.FACILITY"/>
        <s v="IT.CAED/281002007.FACILITY"/>
        <s v="NO.EEA/192199.FACILITY"/>
        <s v="PL.MŚ/000000136.FACILITY"/>
        <s v="FR.CAED/82.FACILITY"/>
        <s v="BE.WA/114010000.FACILITY"/>
        <s v="EL.CAED/100009.FACILITY"/>
        <s v="CZ.MZP.M712/CZ79386174.FACILITY"/>
        <s v="FR.CAED/7444.FACILITY"/>
        <s v="BE.WA/032010000.FACILITY"/>
        <s v="HU.OKIR/101716090.FACILITY"/>
        <s v="FR.CAED/3848.FACILITY"/>
        <s v="PL.MŚ/000000357.FACILITY"/>
        <s v="FR.CAED/12062.FACILITY"/>
        <s v="HU.OKIR/100401517.FACILITY"/>
        <s v="CH.CAED/000000175.Facility"/>
        <s v="https://data.gov.sk/set/data/so/47025613_minzp/pf:ProductionFacility/47025613.NRZ.FACILITY"/>
        <s v="https://data.gov.sk/set/data/so/77001503_minzp/pf:ProductionFacility/77001503.NRZ.FACILITY"/>
        <s v="HU.OKIR/100329299.FACILITY"/>
        <s v="ES.CAED/000143000.FACILITY"/>
        <s v="FR.CAED/8921.FACILITY"/>
        <s v="FR.CAED/8958.FACILITY"/>
        <s v="IT.CAED/960112003.FACILITY"/>
        <s v="PL.MŚ/000000129.FACILITY"/>
        <s v="CH.CAED/000000177.Facility"/>
        <s v="IT.CAED/960101003.FACILITY"/>
        <s v="ES.CAED/007945000.FACILITY"/>
        <s v="HU.OKIR/100379364.FACILITY"/>
        <s v="HU.OKIR/101626353.FACILITY"/>
        <s v="https://data.ied_registry.omgeving.vlaanderen.be/id/productionfacility//BE.VL.000000987.FACILITY"/>
        <s v="HU.OKIR/100985361.FACILITY"/>
        <s v="IS.CAED/680466-0179"/>
        <s v="PL.MŚ/000000190.FACILITY"/>
        <s v="FR.CAED/10017.FACILITY"/>
        <s v="ES.CAED/001829000.FACILITY"/>
        <s v="IT.CAED/520162001.FACILITY"/>
        <s v="ES.CAED/002586000.FACILITY"/>
        <s v="IT.CAED/060661001.FACILITY"/>
        <s v="BG.CAED/008000002.FACILITY"/>
        <s v="SE.CAED/10020098.Facility"/>
        <s v="IT.CAED/751002001.FACILITY"/>
        <s v="HU.OKIR/100352666.FACILITY"/>
        <s v="PL.MŚ/000004844.FACILITY"/>
        <s v="AT.CAED/9008391215837.FACILITY"/>
        <s v="https://data.gov.sk/set/data/so/57105803_minzp/pf:ProductionFacility/57105803.NRZ.FACILITY"/>
        <s v="PL.MŚ/000000358.FACILITY"/>
        <s v="PT.CAED/PT.APA05764262.CI"/>
        <s v="FR.CAED/6046.FACILITY"/>
        <s v="IT.CAED/291222003.FACILITY"/>
        <s v="HU.OKIR/100501563.FACILITY"/>
        <s v="LT.CAED/147031669.FACILITY"/>
        <s v="FR.CAED/8288.FACILITY"/>
        <s v="PT.CAED/PT.APA05769542.CI"/>
        <s v="https://data.gov.sk/set/data/so/77065511_minzp/pf:ProductionFacility/77065511.NRZ.FACILITY"/>
        <s v="ES.CAED/009567000.FACILITY"/>
        <s v="EE.KAUR.TTR/67.FACILITY"/>
        <s v="https://registry.gdi-de.org/id/de.nw.inspire.pf.bube-eureg/arb-2017-974020-900-0009912"/>
        <s v="NO.EEA/192369.FACILITY"/>
        <s v="FR.CAED/3572.FACILITY"/>
        <s v="EL.CAED/100626.FACILITY"/>
        <s v="CH.CAED/000000285.Facility"/>
        <s v="CH.CAED/000000176.Facility"/>
        <s v="BE.WA/034010000.FACILITY"/>
        <s v="FR.CAED/5509.FACILITY"/>
        <s v="FR.CAED/12675.FACILITY"/>
        <s v="https://data.ied_registry.omgeving.vlaanderen.be/id/productionfacility//BE.VL.000000997.FACILITY"/>
        <s v="ES.CAED/000144000.FACILITY"/>
        <s v="PL.MŚ/000000794.FACILITY"/>
        <s v="ES.CAED/001594000.FACILITY"/>
        <s v="AT.CAED/9008391591573.FACILITY"/>
        <s v="IT.CAED/570162008.FACILITY"/>
        <s v="FR.CAED/5978.FACILITY"/>
        <s v="PL.MŚ/000000095.FACILITY"/>
        <s v="ES.CAED/000135000.FACILITY"/>
        <s v="NO.EEA/192417.FACILITY"/>
        <s v="IT.CAED/350432003.FACILITY"/>
        <s v="IT.CAED/090101002.FACILITY"/>
        <s v="FR.CAED/5952.FACILITY"/>
        <s v="FR.CAED/6265.FACILITY"/>
        <s v="IT.CAED/130442002.FACILITY"/>
        <s v="FR.CAED/13773.FACILITY"/>
        <s v="FR.CAED/4039.FACILITY"/>
        <s v="LV.LVGMC.PRTR/ROUXQO.Facility"/>
        <s v="https://data.gov.sk/set/data/so/57047713a_minzp/pf:ProductionFacility/57047713a.NRZ.FACILITY"/>
        <s v="PL.MŚ/000000278.FACILITY"/>
        <s v="HU.OKIR/100400015.FACILITY"/>
        <s v="ES.CAED/001497000.FACILITY"/>
        <s v="FR.CAED/10838.FACILITY"/>
        <s v="HR.CAED/000000033.FACILITY"/>
        <s v="CH.CAED/000000344.Facility"/>
        <s v="IT.CAED/310402007.FACILITY"/>
        <s v="FR.CAED/3466.FACILITY"/>
        <s v="ES.CAED/001282000.FACILITY"/>
        <s v="PL.MŚ/000000070.FACILITY"/>
        <s v="AT.CAED/9008390975244.FACILITY"/>
        <s v="ES.CAED/003718000.FACILITY"/>
        <s v="IT.CAED/000342001.FACILITY"/>
        <s v="FR.CAED/12066.FACILITY"/>
        <s v="ES.CAED/003375000.FACILITY"/>
        <s v="IT.CAED/441221002.FACILITY"/>
        <s v="IT.CAED/971002002.FACILITY"/>
        <s v="FR.CAED/3678.FACILITY"/>
        <s v="FR.CAED/4998.FACILITY"/>
        <s v="IT.CAED/120392002.FACILITY"/>
        <s v="CH.CAED/000000174.Facility"/>
        <s v="ES.CAED/005986000.FACILITY"/>
        <s v="ES.CAED/006333000.FACILITY"/>
        <s v="IT.CAED/330922001.FACILITY"/>
        <s v="PT.CAED/PT.APA05762862.CI"/>
        <s v="EL.CAED/100015.FACILITY"/>
        <s v="FR.CAED/7788.FACILITY"/>
        <s v="https://data.gov.sk/set/data/so/75081806_minzp/pf:ProductionFacility/75081806.NRZ.FACILITY"/>
        <s v="PL.MŚ/000000510.FACILITY"/>
        <s v="HU.OKIR/100326726.FACILITY"/>
        <s v="ES.CAED/002072000.FACILITY"/>
        <s v="EL.CAED/100083.FACILITY"/>
        <s v="PL.MŚ/000000128.FACILITY"/>
        <s v="https://registry.gdi-de.org/id/de.he.0945.de7.pf.eu_industrie/50001960"/>
        <s v="FR.CAED/30364.FACILITY"/>
        <s v="HU.OKIR/100284965.FACILITY"/>
        <s v="https://data.ied_registry.omgeving.vlaanderen.be/id/productionfacility//BE.VL.000000169.FACILITY"/>
        <s v="CH.CAED/000000179.Facility"/>
        <s v="AT.CAED/9008391215622.FACILITY"/>
        <s v="ES.CAED/002580000.FACILITY"/>
        <s v="FR.CAED/10757.FACILITY"/>
        <s v="HU.OKIR/101281761.FACILITY"/>
        <s v="IT.CAED/060242002.FACILITY"/>
        <s v="PL.MŚ/000000127.FACILITY"/>
        <s v="ES.CAED/005514000.FACILITY"/>
        <s v="AT.CAED/9008391215585.FACILITY"/>
        <s v="PL.MŚ/000000454.FACILITY"/>
        <s v="https://data.gov.sk/set/data/so/47050608_minzp/pf:ProductionFacility/47050608.NRZ.FACILITY"/>
        <s v="PL.MŚ/000000088.FACILITY"/>
        <s v="FR.CAED/8791.FACILITY"/>
        <s v="FR.CAED/13934.FACILITY"/>
        <s v="https://data.ied_registry.omgeving.vlaanderen.be/id/productionfacility//BE.VL.000000172.FACILITY"/>
        <s v="FR.CAED/5503.FACILITY"/>
        <s v="NO.EEA/192390.FACILITY"/>
        <s v="IT.CAED/941002002.FACILITY"/>
        <s v="IT.CAED/900402001.FACILITY"/>
        <s v="HR.CAED/000000050.FACILITY"/>
        <s v="FR.CAED/12874.FACILITY"/>
        <s v="https://data.ied_registry.omgeving.vlaanderen.be/id/productionfacility//BE.VL.000000874.FACILITY"/>
        <s v="FR.CAED/10553.FACILITY"/>
        <s v="https://data.gov.sk/set/data/so/37641103_minzp/pf:ProductionFacility/37641103.NRZ.FACILITY"/>
        <s v="IT.CAED/761212002.FACILITY"/>
        <s v="IT.CAED/380662001.FACILITY"/>
        <s v="FR.CAED/3810.FACILITY"/>
        <s v="PT.CAED/100009180.FACILITY"/>
        <s v="IT.CAED/730132001.FACILITY"/>
        <s v="ES.CAED/000145000.FACILITY"/>
        <s v="ES.CAED/001760000.FACILITY"/>
        <s v="LV.LVGMC.PRTR/310001.Facility"/>
        <s v="UK.CAED/NRW170258.FACILITY"/>
        <s v="FR.CAED/5335.FACILITY"/>
        <s v="CZ.MZP.U425/CZ88860818.FACILITY"/>
        <s v="FR.CAED/7634.FACILITY"/>
        <s v="IT.CAED/850222001.FACILITY"/>
        <s v="ES.CAED/005513000.FACILITY"/>
        <s v="IT.CAED/341702001.FACILITY"/>
        <s v="FR.CAED/2853.FACILITY"/>
        <s v="FR.CAED/5200.FACILITY"/>
        <s v="ES.CAED/001982000.FACILITY"/>
        <s v="IT.CAED/481232012.FACILITY"/>
        <s v="FR.CAED/573.FACILITY"/>
        <s v="https://data.gov.sk/set/data/so/77010309_minzp/pf:ProductionFacility/77010309.NRZ.FACILITY"/>
        <s v="ES.CAED/006531000.FACILITY"/>
        <s v="AT.CAED/9008390940686.FACILITY"/>
        <s v="EL.CAED/100093.FACILITY"/>
        <s v="PL.MŚ/000000508.FACILITY"/>
        <s v="FR.CAED/1422.FACILITY"/>
        <s v="FR.CAED/1287.FACILITY"/>
        <s v="ES.CAED/001986000.FACILITY"/>
        <s v="ES.CAED/003970000.FACILITY"/>
        <s v="ES.CAED/008329000.FACILITY"/>
        <s v="IT.CAED/240602021.FACILITY"/>
        <s v="HU.OKIR/100430355.FACILITY"/>
        <s v="IT.CAED/121002002.FACILITY"/>
        <s v="FR.CAED/6066.FACILITY"/>
        <s v="FR.CAED/4291.FACILITY"/>
        <s v="ES.CAED/005509000.FACILITY"/>
        <s v="ES.CAED/002585000.FACILITY"/>
        <s v="ES.CAED/002583000.FACILITY"/>
        <s v="IT.CAED/710282001.FACILITY"/>
        <s v="BE.WA/030010000.FACILITY"/>
        <s v="PL.MŚ/000000365.FACILITY"/>
        <s v="PL.MŚ/000005296.FACILITY"/>
        <s v="IT.CAED/240122001.FACILITY"/>
        <s v="ES.CAED/003526000.FACILITY"/>
        <s v="ES.CAED/001563000.FACILITY"/>
        <s v="ES.CAED/007193000.FACILITY"/>
        <s v="IT.CAED/421242002.FACILITY"/>
        <s v="FR.CAED/9545.FACILITY"/>
        <s v="ES.CAED/001529000.FACILITY"/>
        <s v="PL.MŚ/000000282.FACILITY"/>
        <s v="PT.CAED/PT.APA05768902.CI"/>
        <s v="https://data.gov.sk/set/data/so/77066306_minzp/pf:ProductionFacility/77066306.NRZ.FACILITY"/>
        <s v="PT.CAED/PT.APA05764962.CI"/>
        <s v="AT.CAED/9008391215639.FACILITY"/>
        <s v="PT.CAED/PT.APA05769662.CI"/>
        <s v="SE.CAED/10019434.Facility"/>
        <s v="SE.CAED/10021292.Facility"/>
        <s v="IT.CAED/251342001.FACILITY"/>
        <s v="FR.CAED/584.FACILITY"/>
        <s v="IT.CAED/250182006.FACILITY"/>
        <s v="https://data.ied_registry.omgeving.vlaanderen.be/id/productionfacility//BE.VL.000000111.FACILITY"/>
        <s v="PL.MŚ/000000109.FACILITY"/>
        <s v="ES.CAED/006236000.FACILITY"/>
        <s v="ES.CAED/001946000.FACILITY"/>
        <s v="ES.CAED/006240000.FACILITY"/>
        <s v="IT.CAED/981491001.FACILITY"/>
        <s v="ES.CAED/001758000.FACILITY"/>
        <s v="IT.CAED/090203012.FACILITY"/>
        <s v="ES.CAED/000538000.FACILITY"/>
        <s v="AT.CAED/9008391215806.FACILITY"/>
        <s v="FR.CAED/12539.FACILITY"/>
        <s v="ES.CAED/003686000.FACILITY"/>
        <s v="IT.CAED/151222008.FACILITY"/>
        <s v="IT.CAED/750102001.FACILITY"/>
        <s v="LT.CAED/147248313.FACILITY2"/>
        <s v="LT.CAED/303332338.FACILITY2"/>
        <s v="https://data.gov.sk/set/data/so/37086402_minzp/pf:ProductionFacility/37086402.NRZ.FACILITY"/>
        <s v="FR.CAED/12922.FACILITY"/>
        <s v="ES.CAED/000534000.FACILITY"/>
        <s v="ES.CAED/006329000.FACILITY"/>
        <s v="BE.WA/117010000.FACILITY"/>
        <s v="ES.CAED/007252000.FACILITY"/>
        <s v="ES.CAED/002344000.FACILITY"/>
        <s v="ES.CAED/003199000.FACILITY"/>
        <s v="PL.MŚ/000000466.FACILITY"/>
        <s v="ES.CAED/005203000.FACILITY"/>
        <s v="IT.CAED/960101004.FACILITY"/>
        <s v="FR.CAED/13737.FACILITY"/>
        <s v="FR.CAED/8760.FACILITY"/>
        <s v="https://data.gov.sk/set/data/so/77039506_minzp/pf:ProductionFacility/77039506.NRZ.FACILITY"/>
        <s v="ES.CAED/005966000.FACILITY"/>
        <s v="IT.CAED/200972003.FACILITY"/>
        <s v="ES.CAED/003687000.FACILITY"/>
        <s v="FR.CAED/7642.FACILITY"/>
        <s v="EL.CAED/100066.FACILITY"/>
        <s v="FR.CAED/6752.FACILITY"/>
        <s v="IT.CAED/310583183.FACILITY"/>
        <s v="AT.CAED/9008390661741.FACILITY"/>
        <s v="ES.CAED/004774000.FACILITY"/>
        <s v="EL.CAED/100074.FACILITY"/>
        <s v="ES.CAED/002377000.FACILITY"/>
        <s v="FR.CAED/5760.FACILITY"/>
        <s v="https://data.gov.sk/set/data/so/37012102_minzp/pf:ProductionFacility/37012102.NRZ.FACILITY"/>
        <s v="PL.MŚ/000000165.FACILITY"/>
        <s v="IT.CAED/980571001.FACILITY"/>
        <s v="IT.CAED/280692006.FACILITY"/>
        <s v="IT.CAED/210102002.FACILITY"/>
        <s v="FR.CAED/5913.FACILITY"/>
        <s v="ES.CAED/003527000.FACILITY"/>
        <s v="UK.CAED/EW_EA-16635.FACILITY"/>
        <s v="PL.MŚ/000000718.FACILITY"/>
        <s v="AT.CAED/9008391215646.FACILITY"/>
        <s v="FR.CAED/2750.FACILITY"/>
        <s v="PL.MŚ/000000164.FACILITY"/>
        <s v="HU.OKIR/101722426.FACILITY"/>
        <s v="EL.CAED/100129.FACILITY"/>
        <s v="IT.CAED/840331001.FACILITY"/>
        <s v="ES.CAED/003701000.FACILITY"/>
        <s v="FR.CAED/9450.FACILITY"/>
        <s v="PL.MŚ/000000643.FACILITY"/>
        <s v="ES.CAED/004030000.FACILITY"/>
        <s v="PL.MŚ/000000023.FACILITY"/>
        <s v="IT.CAED/400262016.FACILITY"/>
        <s v="ES.CAED/004264000.FACILITY"/>
        <s v="IT.CAED/960111001.FACILITY"/>
        <s v="FR.CAED/5624.FACILITY"/>
        <s v="EL.CAED/100046.FACILITY"/>
        <s v="LT.CAED/118188317.FACILITY1"/>
        <s v="PL.MŚ/000000368.FACILITY"/>
        <s v="ES.CAED/010549000.FACILITY"/>
        <s v="IT.CAED/050352007.FACILITY"/>
        <s v="PL.MŚ/000002308.FACILITY"/>
        <s v="ES.CAED/000151000.FACILITY"/>
        <s v="https://data.ied_registry.omgeving.vlaanderen.be/id/productionfacility//BE.VL.000000667.FACILITY"/>
        <s v="IT.CAED/670123158.FACILITY"/>
        <s v="https://data.ied_registry.omgeving.vlaanderen.be/id/productionfacility//BE.VL.000000118.FACILITY"/>
        <s v="IT.CAED/880442001.FACILITY"/>
        <s v="ES.CAED/003483000.FACILITY"/>
        <s v="FR.CAED/7652.FACILITY"/>
        <s v="FR.CAED/5217.FACILITY"/>
        <s v="ES.CAED/003564000.FACILITY"/>
        <s v="ES.CAED/003462000.FACILITY"/>
        <s v="FR.CAED/3814.FACILITY"/>
        <s v="IT.CAED/370202003.FACILITY"/>
        <s v="IT.CAED/080292001.FACILITY"/>
        <s v="FR.CAED/10849.FACILITY"/>
        <s v="EL.CAED/100058.FACILITY"/>
        <s v="FR.CAED/3834.FACILITY"/>
        <s v="PL.MŚ/000000629.FACILITY"/>
        <s v="CH.CAED/000000178.Facility"/>
        <s v="IT.CAED/270391001.FACILITY"/>
        <s v="HR.CAED/000000210.FACILITY"/>
        <s v="https://registry.gdi-de.org/id/de.he.0945.de7.pf.eu_industrie/80000011"/>
        <s v="UK.CAED/NRW170005.FACILITY"/>
        <s v="IT.CAED/120102003.FACILITY"/>
        <s v="ES.CAED/003463000.FACILITY"/>
        <s v="EL.CAED/100053.FACILITY"/>
        <s v="ES.CAED/001479000.FACILITY"/>
        <s v="CZ.MZP.T803/CZ31406387.FACILITY"/>
        <s v="CZ.MZP.T803/CZ99166596.FACILITY"/>
        <s v="LT.CAED/166451720.FACILITY"/>
        <s v="HU.OKIR/100368313.FACILITY"/>
        <s v="CZ.MZP.Z724/CZ14837619.FACILITY"/>
        <s v="ES.CAED/001482000.FACILITY"/>
        <s v="IT.CAED/961003163.FACILITY"/>
        <s v="IT.CAED/239002006.FACILITY"/>
        <s v="ES.CAED/001528000.FACILITY"/>
        <s v="https://data.gov.sk/set/data/so/57087808_minzp/pf:ProductionFacility/57087808.NRZ.FACILITY"/>
        <s v="FR.CAED/10723.FACILITY"/>
        <s v="FR.CAED/7598.FACILITY"/>
        <s v="https://data.gov.sk/set/data/so/77050511_minzp/pf:ProductionFacility/77050511.NRZ.FACILITY"/>
        <s v="CH.CAED/000000121.Facility"/>
        <s v="ES.CAED/000704000.FACILITY"/>
        <s v="CH.CAED/000000306.Facility"/>
        <s v="CZ.MZP.B643/CZ49244053.FACILITY"/>
        <s v="FR.CAED/7874.FACILITY"/>
        <s v="SE.CAED/10023940.Facility"/>
        <s v="https://registry.gdi-de.org/id/de.by.inspire.pf.ied/S00860"/>
        <s v="IT.CAED/280691001.FACILITY"/>
        <s v="ES.CAED/001526000.FACILITY"/>
        <s v="IT.CAED/741231002.FACILITY"/>
        <s v="FR.CAED/5422.FACILITY"/>
        <s v="PL.MŚ/000003674.FACILITY"/>
        <s v="DK.CAED/000104657.FACILITY"/>
        <s v="HR.CAED/000000067.FACILITY"/>
        <s v="FR.CAED/6705.FACILITY"/>
        <s v="FR.CAED/7646.FACILITY"/>
        <s v="IT.CAED/960101005.FACILITY"/>
        <s v="FR.CAED/7656.FACILITY"/>
        <s v="https://data.gov.sk/set/data/so/57002803_minzp/pf:ProductionFacility/57002803.NRZ.FACILITY"/>
        <s v="CZ.MZP.M714/CZ24145642.FACILITY"/>
        <s v="IT.CAED/570171001.FACILITY"/>
        <s v="ES.CAED/003486000.FACILITY"/>
        <s v="IT.CAED/741231004.FACILITY"/>
        <s v="IT.CAED/301751001.FACILITY"/>
        <s v="HR.CAED/000000199.FACILITY"/>
        <s v="LT.CAED/302648707.FACILITY2"/>
        <s v="CH.CAED/000000011.Facility"/>
        <s v="EL.CAED/100062.FACILITY"/>
        <s v="IT.CAED/160121001.FACILITY"/>
        <s v="https://data.ied_registry.omgeving.vlaanderen.be/id/productionfacility//BE.VL.000000605.FACILITY"/>
        <s v="SE.CAED/10024886.Facility"/>
        <s v="SE.CAED/10017901.Facility"/>
        <s v="UK.CAED/NRW170003.FACILITY"/>
        <s v="CH.CAED/000000372.Facility"/>
        <s v="CH.CAED/000000195.Facility"/>
        <s v="AT.CAED/9008390975701.FACILITY"/>
        <s v="FR.CAED/7658.FACILITY"/>
        <s v="CH.CAED/000000122.Facility"/>
        <s v="IT.CAED/930121001.FACILITY"/>
        <s v="HR.CAED/000000223.FACILITY"/>
        <s v="AT.CAED/9008390481905.FACILITY"/>
        <s v="FR.CAED/13783.FACILITY"/>
        <s v="CH.CAED/000000375.Facility"/>
        <s v="IS.CAED/600407-0580"/>
        <s v="CH.CAED/000000374.Facility"/>
        <s v="CH.CAED/000000190.Facility"/>
        <s v="CH.CAED/000000373.Facility"/>
        <s v="CH.CAED/000000148.Facility"/>
        <s v="FR.CAED/5938.FACILITY"/>
        <s v="IT.CAED/240442002.FACILITY"/>
        <s v="IT.CAED/051002002.FACILITY"/>
        <s v="PL.MŚ/000000606.FACILITY"/>
        <s v="IT.CAED/330502002.FACILITY"/>
        <s v="FR.CAED/6045.FACILITY"/>
        <s v="LU.CAED/000003000.FACILITY"/>
        <s v="ES.CAED/001606000.FACILITY"/>
        <s v="IT.CAED/330102002.FACILITY"/>
        <s v="LU.CAED/000002000.FACILITY"/>
        <s v="PL.MŚ/000001740.FACILITY"/>
        <s v="BE.WA/146010000.FACILITY"/>
        <s v="https://data.ied_registry.omgeving.vlaanderen.be/id/productionfacility//BE.VL.000000424.FACILITY"/>
        <s v="ES.CAED/003100000.FACILITY"/>
        <s v="IS.CAED/520303-4210"/>
        <s v="PT.CAED/PT.APA05770882.CI"/>
        <s v="IS.CAED/640675-0209"/>
        <s v="CZ.MZP.T805/CZ93379263.FACILITY"/>
        <s v="CH.CAED/000000055.Facility"/>
        <s v="CH.CAED/000000149.Facility"/>
        <s v="https://data.ied_registry.omgeving.vlaanderen.be/id/productionfacility//BE.VL.000000132.FACILITY"/>
        <s v="https://data.ied_registry.omgeving.vlaanderen.be/id/productionfacility//BE.VL.000000618.FACILITY"/>
        <s v="BE.WA/047010000.FACILITY"/>
        <s v="BG.CAED/014000002.FACILITY"/>
        <s v="FR.CAED/6359.FACILITY"/>
        <s v="https://registry.gdi-de.org/id/de.ni.mu/09281734280"/>
        <s v="https://registry.gdi-de.org/id/de.by.inspire.pf.ied/S00334"/>
        <s v="ES.CAED/002716000.FACILITY"/>
        <s v="UK.CAED/P0129_06A.FACILITY"/>
        <s v="BG.CAED/003000005.FACILITY"/>
        <s v="DK.CAED/000105786.FACILITY"/>
        <s v="http://paikkatiedot.fi/so/1002031/pf/ProductionFacility/0000002779.ProductionFacility"/>
        <s v="http://paikkatiedot.fi/so/1002031/pf/ProductionFacility/0000002577.ProductionFacility"/>
        <s v="https://registry.gdi-de.org/id/de.bb.inspire.pf.eureg/23020947"/>
        <s v="https://registry.gdi-de.org/id/de.sh//10038078"/>
        <s v="https://registry.gdi-de.org/id/de.by.inspire.pf.ied/S00600"/>
        <s v="https://registry.gdi-de.org/id/de.nw.inspire.pf.bube-eureg/arb-2017-974016-900-0255642"/>
        <s v="https://registry.gdi-de.org/id/de.by.inspire.pf.ied/S00941"/>
        <s v="https://registry.gdi-de.org/id/de.by.inspire.pf.ied/S00935"/>
        <s v="https://registry.gdi-de.org/id/de.by.inspire.pf.ied/S00242"/>
        <s v="https://registry.gdi-de.org/id/de.nw.inspire.pf.bube-eureg/arb-2017-974020-900-0009824"/>
        <s v="https://registry.gdi-de.org/id/de.ni.mu/06221720040"/>
        <s v="https://registry.gdi-de.org/id/de.by.inspire.pf.ied/S01167"/>
        <s v="https://registry.gdi-de.org/id/de.nw.inspire.pf.bube-eureg/arb-2017-570020-500-0055819"/>
        <s v="https://registry.gdi-de.org/id/de.nw.inspire.pf.bube-eureg/arb-2017-570008-500-0053376"/>
        <s v="https://registry.gdi-de.org/id/de.ni.mu/06291730660"/>
        <s v="https://registry.gdi-de.org/id/de.nw.inspire.pf.bube-eureg/arb-2017-974016-900-0014514"/>
        <s v="https://registry.gdi-de.org/id/de.by.inspire.pf.ied/S00839"/>
        <s v="https://registry.gdi-de.org/id/de.nw.inspire.pf.bube-eureg/arb-2017-570008-500-0050929"/>
        <s v="https://registry.gdi-de.org/id/de.nw.inspire.pf.bube-eureg/arb-2017-774032-700-0038968"/>
        <s v="https://registry.gdi-de.org/id/de.he.0945.de7.pf.eu_industrie/50002043"/>
        <s v="https://registry.gdi-de.org/id/de.rp.inspire.pf.bube-eureg/3000130"/>
        <s v="IE.CAED/P0030.FACILITY"/>
        <s v="IE.CAED/P0029.FACILITY"/>
        <s v="IE.CAED/P0487.FACILITY"/>
        <s v="RO.CAED/106BH0001.FACILITY"/>
        <s v="RO.CAED/105CT0001.FACILITY"/>
        <s v="RO.CAED/108BV0001.FACILITY"/>
        <s v="RO.CAED/108DB0001.FACILITY"/>
        <s v="RO.CAED/102NT0001.FACILITY"/>
        <s v="RO.CAED/108HD0001.FACILITY"/>
        <s v="UK.SEPA/200000008.Facility"/>
        <s v="UK.CAED/P0052_04A.FACILITY"/>
        <s v="DK.CAED/000084482.FACILITY"/>
        <s v="PL.MŚ/000000065.FACILITY"/>
        <s v="ES.CAED/000687000.FACILITY"/>
        <s v="ES.CAED/000584000.FACILITY"/>
        <s v="ES.CAED/000602000.FACILITY"/>
        <s v="ES.CAED/004812000.FACILITY"/>
        <s v="CH.CAED/000000013.Facility"/>
        <s v="CH.CAED/000000292.Facility"/>
        <s v="https://registry.gdi-de.org/id/de.nw.inspire.pf.bube-eureg/arb-2017-362008-800-0197043"/>
        <s v="PL.MŚ/000000352.FACILITY"/>
        <s v="PL.MŚ/000000268.FACILITY"/>
        <s v="PL.MŚ/000000384.FACILITY"/>
        <s v="PL.MŚ/000000361.FACILITY"/>
        <s v="CZ.MZP.T806/CZ78824241.FACILITY"/>
        <s v="https://registry.gdi-de.org/id/de.nw.inspire.pf.bube-eureg/arb-2017-112000-100-0990890"/>
        <s v="https://registry.gdi-de.org/id/de.sl.inspire.pf//0078668-G"/>
        <s v="https://registry.gdi-de.org/id/de.nw.inspire.pf.bube-eureg/arb-2017-512000-500-1185268"/>
        <s v="HU.OKIR/100500821.FACILITY"/>
        <s v="IT.CAED/170142003.FACILITY"/>
        <s v="PL.MŚ/000000626.FACILITY"/>
        <s v="PL.MŚ/000000554.FACILITY"/>
        <s v="PL.MŚ/000000021.FACILITY"/>
        <s v="CZ.MZP.E532/CZ53884341.FACILITY"/>
        <s v="DK.CAED/000105331.FACILITY"/>
        <s v="FR.CAED/10845.FACILITY"/>
        <s v="FR.CAED/8983.FACILITY"/>
        <s v="https://registry.gdi-de.org/id/de.hb//de.hb.pf.bube-eureg.06-04-11/2005382/5/0"/>
        <s v="https://registry.gdi-de.org/id/de.sl.inspire.pf//0050559-G"/>
        <s v="https://registry.gdi-de.org/id/de.hb//de.hb.pf.bube-eureg.06-04-11/2005384/0/0"/>
        <s v="https://registry.gdi-de.org/id/de.he.0945.de7.pf.eu_industrie/60000291"/>
        <s v="https://registry.gdi-de.org/id/de.nw.inspire.pf.bube-eureg/arb-2017-911000-900-9000294"/>
        <s v="PL.MŚ/000000551.FACILITY"/>
        <s v="SE.CAED/10021742.Facility"/>
        <s v="CH.CAED/000000320.Facility"/>
        <s v="CH.CAED/000000072.Facility"/>
        <s v="HR.CAED/000000064.FACILITY"/>
        <s v="CZ.MZP.U423/CZ15080054.FACILITY"/>
        <s v="FR.CAED/9451.FACILITY"/>
        <s v="EL.CAED/100211.FACILITY"/>
        <s v="HU.OKIR/100392651.FACILITY"/>
        <s v="LT.CAED/156667399.FACILITY"/>
        <s v="NL.RIVM/000051105.FACILITY"/>
        <s v="PL.MŚ/000000586.FACILITY"/>
        <s v="RO.CAED/115MS0001.FACILITY"/>
        <s v="ES.CAED/001585000.FACILITY"/>
        <s v="ES.CAED/001587000.FACILITY"/>
        <s v="UK.CAED/EW_EA-1567.FACILITY"/>
        <s v="NO.EEA/192086.FACILITY"/>
        <s v="BG.CAED/010000049.FACILITY"/>
        <s v="DK.CAED/000098610.FACILITY"/>
        <s v="DK.CAED/000083543.FACILITY"/>
        <s v="DK.CAED/000105366.FACILITY"/>
        <s v="DK.CAED/000062358.FACILITY"/>
        <s v="https://registry.gdi-de.org/id/de.ni.mu/08271405180"/>
        <s v="https://registry.gdi-de.org/id/de.nw.inspire.pf.bube-eureg/arb-2017-114000-100-0018507"/>
        <s v="https://registry.gdi-de.org/id/de.ni.mu/07244473830"/>
        <s v="https://registry.gdi-de.org/id/de.by.inspire.pf.ied/S00962"/>
        <s v="https://registry.gdi-de.org/id/de.rp.inspire.pf.bube-eureg/5000152"/>
        <s v="https://registry.gdi-de.org/id/de.nw.inspire.pf.bube-eureg/arb-2017-358024-300-0907015"/>
        <s v="https://registry.gdi-de.org/id/de.by.inspire.pf.ied/S00316"/>
        <s v="UK.SEPA/200000214.Facility"/>
        <s v="DK.CAED/000105733.FACILITY"/>
        <s v="DK.CAED/000062651.FACILITY"/>
        <s v="http://paikkatiedot.fi/so/1002031/pf/ProductionFacility/0000001931.ProductionFacility"/>
        <s v="https://registry.gdi-de.org/id/de.bb.inspire.pf.eureg/45027005"/>
        <s v="https://registry.gdi-de.org/id/de.nw.inspire.pf.bube-eureg/arb-2017-114000-100-0250693"/>
        <s v="https://registry.gdi-de.org/id/de.st.lau.pf.anlagen-ied-euregistry/100464"/>
        <s v="https://registry.gdi-de.org/id/de.ni.mu/04041505980"/>
        <s v="https://registry.gdi-de.org/id/de.bb.inspire.pf.eureg/23024012"/>
        <s v="https://registry.gdi-de.org/id/de.he.0945.de7.pf.eu_industrie/30000936"/>
        <s v="https://registry.gdi-de.org/id/de.nw.inspire.pf.bube-eureg/arb-2017-766032-700-0001580"/>
        <s v="https://registry.gdi-de.org/id/de.nw.inspire.pf.bube-eureg/arb-2017-978024-900-9139128"/>
        <s v="https://registry.gdi-de.org/id/de.rp.inspire.pf.bube-eureg/1000901"/>
        <s v="https://registry.gdi-de.org/id/de.by.inspire.pf.ied/S00015"/>
        <s v="https://registry.gdi-de.org/id/de.ni.mu/10102275040"/>
        <s v="https://registry.gdi-de.org/id/de.ni.mu/04041762920"/>
        <s v="https://registry.gdi-de.org/id/de.bw.lubw.inspire.pf//pf-450-34044741-00000000"/>
        <s v="https://registry.gdi-de.org/id/de.ni.mu/06063351970"/>
        <s v="https://registry.gdi-de.org/id/de.bw.lubw.inspire.pf//pf-450-8683034-00000000"/>
        <s v="https://registry.gdi-de.org/id/de.nw.inspire.pf.bube-eureg/arb-2017-978004-900-9139027"/>
        <s v="https://registry.gdi-de.org/id/de.hh/pf.bube-eureg_/7046"/>
        <s v="https://registry.gdi-de.org/id/de.he.0945.de7.pf.eu_industrie/80007914"/>
        <s v="https://registry.gdi-de.org/id/de.he.0945.de7.pf.eu_industrie/20000094"/>
        <s v="https://registry.gdi-de.org/id/de.nw.inspire.pf.bube-eureg/arb-2017-978024-900-9103527"/>
        <s v="https://registry.gdi-de.org/id/de.bb.inspire.pf.eureg/45024504"/>
        <s v="https://registry.gdi-de.org/id/de.rp.inspire.pf.bube-eureg/2000208"/>
        <s v="NL.RIVM/000201241.FACILITY"/>
        <s v="NL.RIVM/000041521.FACILITY"/>
        <s v="UK.CAED/EW_EA-16786.FACILITY"/>
        <s v="https://data.ied_registry.omgeving.vlaanderen.be/id/productionfacility//BE.VL.000000039.FACILITY"/>
        <s v="https://data.ied_registry.omgeving.vlaanderen.be/id/productionfacility//BE.VL.000001872.FACILITY"/>
        <s v="http://paikkatiedot.fi/so/1002031/pf/ProductionFacility/0100239220.ProductionFacility"/>
        <s v="FR.CAED/3829.FACILITY"/>
        <s v="FR.CAED/4122.FACILITY"/>
        <s v="FR.CAED/8159.FACILITY"/>
        <s v="FR.CAED/7943.FACILITY"/>
        <s v="FR.CAED/9659.FACILITY"/>
        <s v="https://registry.gdi-de.org/id/de.sh//10038064"/>
        <s v="https://registry.gdi-de.org/id/de.ni.mu/03030273580"/>
        <s v="https://registry.gdi-de.org/id/de.st.lau.pf.anlagen-ied-euregistry/100607"/>
        <s v="https://registry.gdi-de.org/id/de.st.lau.pf.anlagen-ied-euregistry/100414"/>
        <s v="https://registry.gdi-de.org/id/de.sh//10000385"/>
        <s v="ES.CAED/000169000.FACILITY"/>
        <s v="ES.CAED/005649000.FACILITY"/>
        <s v="ES.CAED/006026000.FACILITY"/>
        <s v="BG.CAED/003000008.FACILITY"/>
        <s v="CZ.MZP.M714/CZ45503087.FACILITY"/>
        <s v="CZ.MZP.Z723/CZ92460364.FACILITY"/>
        <s v="DK.CAED/000106063.FACILITY"/>
        <s v="https://registry.gdi-de.org/id/de.ni.mu/31000006225"/>
        <s v="https://registry.gdi-de.org/id/de.ni.mu/03267770260"/>
        <s v="https://registry.gdi-de.org/id/de.nw.inspire.pf.bube-eureg/arb-2017-913000-900-0148555"/>
        <s v="https://registry.gdi-de.org/id/de.nw.inspire.pf.bube-eureg/arb-2017-315000-300-0214067"/>
        <s v="https://registry.gdi-de.org/id/de.nw.inspire.pf.bube-eureg/arb-2017-362008-300-0181417"/>
        <s v="https://registry.gdi-de.org/id/de.nw.inspire.pf.bube-eureg/arb-2017-112000-100-0888309"/>
        <s v="https://registry.gdi-de.org/id/de.nw.inspire.pf.bube-eureg/arb-2017-114000-100-9021122"/>
        <s v="https://registry.gdi-de.org/id/de.rp.inspire.pf.bube-eureg/1000729"/>
        <s v="https://registry.gdi-de.org/id/de.st.lau.pf.anlagen-ied-euregistry/101422"/>
        <s v="https://registry.gdi-de.org/id/de.rp.inspire.pf.bube-eureg/4000041"/>
        <s v="https://registry.gdi-de.org/id/de.ni.mu/09261732970"/>
        <s v="IE.CAED/P0035.FACILITY"/>
        <s v="NL.RIVM/000012175.FACILITY"/>
        <s v="NL.RIVM/000204851.FACILITY"/>
        <s v="NL.RIVM/000011024.FACILITY"/>
        <s v="NL.RIVM/000010001.FACILITY"/>
        <s v="NL.RIVM/000010689.FACILITY"/>
        <s v="UK.CAED/EW_EA-2660.FACILITY"/>
        <s v="UK.CAED/EW_EA-5345.FACILITY"/>
        <s v="UK.CAED/EW_EA-377.FACILITY"/>
        <s v="UK.CAED/EW_EA-2700.FACILITY"/>
        <s v="UK.CAED/EW_EA-1814.FACILITY"/>
        <s v="NO.EEA/192287.FACILITY"/>
        <s v="EE.KAUR.TTR/76.FACILITY"/>
        <s v="EE.KAUR.TTR/185.FACILITY"/>
        <s v="FR.CAED/1260.FACILITY"/>
        <s v="IT.CAED/000001002.FACILITY"/>
        <s v="PL.MŚ/000000513.FACILITY"/>
        <s v="CH.CAED/000000382.Facility"/>
        <s v="UK.CAED/NRW170229.FACILITY"/>
        <s v="DK.CAED/000105648.FACILITY"/>
        <s v="FR.CAED/2968.FACILITY"/>
        <s v="https://registry.gdi-de.org/id/de.by.inspire.pf.ied/S00216"/>
        <s v="NL.RIVM/000004753.FACILITY"/>
        <s v="PL.MŚ/000000299.FACILITY"/>
        <s v="ES.CAED/010903000.FACILITY"/>
        <s v="BE.WA/037010000.FACILITY"/>
        <s v="BG.CAED/015000013.FACILITY"/>
        <s v="BG.CAED/009000004.FACILITY"/>
        <s v="HR.CAED/000000207.FACILITY"/>
        <s v="CZ.MZP.U426/CZ50009387.FACILITY"/>
        <s v="FR.CAED/10710.FACILITY"/>
        <s v="FR.CAED/6248.FACILITY"/>
        <s v="FR.CAED/1904.FACILITY"/>
        <s v="FR.CAED/9483.FACILITY"/>
        <s v="FR.CAED/10775.FACILITY"/>
        <s v="https://registry.gdi-de.org/id/de.nw.inspire.pf.bube-eureg/arb-2017-562014-500-0359243"/>
        <s v="https://registry.gdi-de.org/id/de.by.inspire.pf.ied/S00560"/>
        <s v="https://registry.gdi-de.org/id/de.nw.inspire.pf.bube-eureg/arb-2017-315000-300-0271861"/>
        <s v="https://registry.gdi-de.org/id/de.st.lau.pf.anlagen-ied-euregistry/100317"/>
        <s v="https://registry.gdi-de.org/id/de.st.lau.pf.anlagen-ied-euregistry/100430"/>
        <s v="https://registry.gdi-de.org/id/de.by.inspire.pf.ied/S00627"/>
        <s v="https://registry.gdi-de.org/id/de.sn.sax4inspire.pf/80011252"/>
        <s v="https://registry.gdi-de.org/id/de.st.lau.pf.anlagen-ied-euregistry/100326"/>
        <s v="https://registry.gdi-de.org/id/de.by.inspire.pf.ied/S00686"/>
        <s v="HU.OKIR/100367833.FACILITY"/>
        <s v="IT.CAED/330582006.FACILITY"/>
        <s v="IT.CAED/710302001.FACILITY"/>
        <s v="IT.CAED/301752010.FACILITY"/>
        <s v="IT.CAED/121002001.FACILITY"/>
        <s v="IT.CAED/561212001.FACILITY"/>
        <s v="IT.CAED/660503069.FACILITY"/>
        <s v="LU.CAED/000005000.FACILITY"/>
        <s v="NL.RIVM/000010723.FACILITY"/>
        <s v="PL.MŚ/000000273.FACILITY"/>
        <s v="PL.MŚ/000000741.FACILITY"/>
        <s v="PL.MŚ/000000309.FACILITY"/>
        <s v="PL.MŚ/000000950.FACILITY"/>
        <s v="PT.CAED/PT.APA05764442.CI"/>
        <s v="RO.CAED/104CL0001.FACILITY"/>
        <s v="ES.CAED/000011000.FACILITY"/>
        <s v="ES.CAED/001929000.FACILITY"/>
        <s v="ES.CAED/000112000.FACILITY"/>
        <s v="ES.CAED/001838000.FACILITY"/>
        <s v="ES.CAED/001015000.FACILITY"/>
        <s v="ES.CAED/004832000.FACILITY"/>
        <s v="UK.LAED/E368_189.FACILITY"/>
        <s v="UK.LAED/E11_179.FACILITY"/>
        <s v="UK.SEPA/200000073.Facility"/>
        <s v="UK.LAED/E100_165.FACILITY"/>
        <s v="UK.LAED/E292_428.FACILITY"/>
        <s v="UK.LAED/E89_143.FACILITY"/>
        <s v="CH.CAED/000000330.Facility"/>
        <s v="DK.CAED/000107279.FACILITY"/>
        <s v="DK.CAED/000074615.FACILITY"/>
        <s v="https://registry.gdi-de.org/id/de.bw.lubw.inspire.pf//pf-450-1574906-00000000"/>
        <s v="https://registry.gdi-de.org/id/de.he.0945.de7.pf.eu_industrie/20000004"/>
        <s v="https://registry.gdi-de.org/id/de.by.inspire.pf.ied/S00471"/>
        <s v="IT.CAED/100752001.FACILITY"/>
        <s v="PT.CAED/PT.APA05771042.CI"/>
        <s v="ES.CAED/005889000.FACILITY"/>
        <s v="UK.LAED/E52_34.FACILITY"/>
        <s v="PL.MŚ/000004119.FACILITY"/>
        <s v="PL.MŚ/000002110.FACILITY"/>
        <s v="PL.MŚ/000001942.FACILITY"/>
        <s v="PL.MŚ/000000267.FACILITY"/>
        <s v="PL.MŚ/000000167.FACILITY"/>
        <s v="PL.MŚ/000004782.FACILITY"/>
        <s v="BG.CAED/003000059.FACILITY"/>
        <s v="BG.CAED/001000011.FACILITY"/>
        <s v="BG.CAED/001000013.FACILITY"/>
        <s v="BG.CAED/001000009.FACILITY"/>
        <s v="BG.CAED/001000012.FACILITY"/>
        <s v="DK.CAED/000105673.FACILITY"/>
        <s v="DK.CAED/000105037.FACILITY"/>
        <s v="DK.CAED/000106208.FACILITY"/>
        <s v="DK.CAED/000104750.FACILITY"/>
        <s v="FR.CAED/8155.FACILITY"/>
        <s v="EL.CAED/100268.FACILITY"/>
        <s v="PL.MŚ/000000009.FACILITY"/>
        <s v="PL.MŚ/000000126.FACILITY"/>
        <s v="PL.MŚ/000000318.FACILITY"/>
        <s v="PL.MŚ/000000124.FACILITY"/>
        <s v="PL.MŚ/000000108.FACILITY"/>
        <s v="PL.MŚ/000000197.FACILITY"/>
        <s v="PL.MŚ/000000221.FACILITY"/>
        <s v="PL.MŚ/000000355.FACILITY"/>
        <s v="PL.MŚ/000000113.FACILITY"/>
        <s v="PL.MŚ/000000359.FACILITY"/>
        <s v="PL.MŚ/000001940.FACILITY"/>
        <s v="PT.CAED/PT.APA05763242.CI"/>
        <s v="CH.CAED/000000305.Facility"/>
        <s v="UK.CAED/EW_EA-17033.FACILITY"/>
        <s v="UK.CAED/EW_EA-8.FACILITY"/>
        <s v="UK.CAED/EW_EA-2116.FACILITY"/>
        <s v="DK.CAED/000062315.FACILITY"/>
        <s v="https://registry.gdi-de.org/id/de.nw.inspire.pf.bube-eureg/arb-2017-962040-900-0174739"/>
        <s v="https://registry.gdi-de.org/id/de.nw.inspire.pf.bube-eureg/arb-2017-124000-100-0848198"/>
        <s v="https://registry.gdi-de.org/id/de.bb.inspire.pf.eureg/23024015"/>
        <s v="RO.CAED/105AG0001.FACILITY"/>
        <s v="NO.EEA/192336.FACILITY"/>
        <s v="https://registry.gdi-de.org/id/de.nw.inspire.pf.bube-eureg/arb-2017-362028-800-0009877"/>
        <s v="https://registry.gdi-de.org/id/de.nw.inspire.pf.bube-eureg/arb-2017-362024-800-0197054"/>
        <s v="https://registry.gdi-de.org/id/de.nw.inspire.pf.bube-eureg/arb-2017-112000-100-0209686"/>
        <s v="SE.CAED/10024885.Facility"/>
        <s v="UK.CAED/NRW170281.FACILITY"/>
        <s v="BG.CAED/002000008.FACILITY"/>
        <s v="CZ.MZP.S206/CZ41646031.FACILITY"/>
        <s v="CZ.MZP.E532/CZ11020488.FACILITY"/>
        <s v="DK.CAED/000105244.FACILITY"/>
        <s v="DK.CAED/000112739.FACILITY"/>
        <s v="http://paikkatiedot.fi/so/1002031/pf/ProductionFacility/0000001866.ProductionFacility"/>
        <s v="https://registry.gdi-de.org/id/de.bb.inspire.pf.eureg/23020490"/>
        <s v="https://registry.gdi-de.org/id/de.nw.inspire.pf.bube-eureg/arb-2017-513000-500-0053929"/>
        <s v="https://registry.gdi-de.org/id/de.nw.inspire.pf.bube-eureg/arb-2017-362040-300-0215443"/>
        <s v="https://registry.gdi-de.org/id/de.st.lau.pf.anlagen-ied-euregistry/100194"/>
        <s v="https://registry.gdi-de.org/id/de.bw.lubw.inspire.pf//pf-450-2719371-00000000"/>
        <s v="https://registry.gdi-de.org/id/de.nw.inspire.pf.bube-eureg/arb-2017-315000-300-0213768"/>
        <s v="https://registry.gdi-de.org/id/de.nw.inspire.pf.bube-eureg/arb-2017-513000-500-0073211"/>
        <s v="https://registry.gdi-de.org/id/de.ni.mu/10257401440"/>
        <s v="https://registry.gdi-de.org/id/de.by.inspire.pf.ied/S00323"/>
        <s v="https://registry.gdi-de.org/id/de.sh//10039818"/>
        <s v="https://registry.gdi-de.org/id/de.by.inspire.pf.ied/S00108"/>
        <s v="https://registry.gdi-de.org/id/de.hh/pf.bube-eureg_/3426"/>
        <s v="https://registry.gdi-de.org/id/de.bw.lubw.inspire.pf//pf-450-2719398-00000000"/>
        <s v="https://registry.gdi-de.org/id/de.by.inspire.pf.ied/S00135"/>
        <s v="https://registry.gdi-de.org/id/de.st.lau.pf.anlagen-ied-euregistry/100864"/>
        <s v="https://registry.gdi-de.org/id/de.by.inspire.pf.ied/S00223"/>
        <s v="IE.CAED/P0266.FACILITY"/>
        <s v="NL.RIVM/000010057.FACILITY"/>
        <s v="NL.RIVM/000010061.FACILITY"/>
        <s v="NL.RIVM/000010058.FACILITY"/>
        <s v="NL.RIVM/000051501.FACILITY"/>
        <s v="NL.RIVM/000010059.FACILITY"/>
        <s v="NL.RIVM/000012177.FACILITY"/>
        <s v="RO.CAED/106PH0001.FACILITY"/>
        <s v="RO.CAED/101CT0002.FACILITY"/>
        <s v="RO.CAED/105PH0001.FACILITY"/>
        <s v="SE.CAED/10019649.Facility"/>
        <s v="SE.CAED/10019436.Facility"/>
        <s v="SE.CAED/10014265.Facility"/>
        <s v="UK.CAED/EW_EA-1089.FACILITY"/>
        <s v="UK.CAED/NRW170266.FACILITY"/>
        <s v="UK.CAED/EW_EA-5464.FACILITY"/>
        <s v="UK.SEPA/200000052.Facility"/>
        <s v="UK.CAED/EW_EA-1390.FACILITY"/>
        <s v="UK.SEPA/200000018.Facility"/>
        <s v="UK.SEPA/200000143.Facility"/>
        <s v="UK.CAED/EW_EA-761.FACILITY"/>
        <s v="UK.CAED/EW_EA-5974.FACILITY"/>
        <s v="UK.SEPA/200000157.Facility"/>
        <s v="UK.CAED/EW_EA-2067.FACILITY"/>
        <s v="NO.EEA/192232.FACILITY"/>
        <s v="NO.EEA/192144.FACILITY"/>
        <s v="NO.EEA/192426.FACILITY"/>
        <s v="NO.EEA/192073.FACILITY"/>
        <s v="https://registry.gdi-de.org/id/de.nw.inspire.pf.bube-eureg/arb-2017-162024-100-0082185"/>
        <s v="https://registry.gdi-de.org/id/de.hh/pf.bube-eureg_/13200"/>
        <s v="https://registry.gdi-de.org/id/de.nw.inspire.pf.bube-eureg/arb-2017-978024-900-0877505"/>
        <s v="https://registry.gdi-de.org/id/de.hh/pf.bube-eureg_/12233"/>
        <s v="https://registry.gdi-de.org/id/de.nw.inspire.pf.bube-eureg/arb-2017-162024-100-0173542"/>
        <s v="https://registry.gdi-de.org/id/de.nw.inspire.pf.bube-eureg/arb-2017-113000-100-0327911"/>
        <s v="RO.CAED/103OT0001.FACILITY"/>
        <s v="SI.ARSO/000000015.FACILITY"/>
        <s v="SE.CAED/10019773.Facility"/>
        <s v="SE.CAED/10022357.Facility"/>
        <s v="NO.EEA/192284.FACILITY"/>
        <s v="NO.EEA/192151.FACILITY"/>
        <s v="NO.EEA/192135.FACILITY"/>
        <s v="NO.EEA/192256.FACILITY"/>
        <s v="NO.EEA/192117.FACILITY"/>
        <s v="NO.EEA/192087.FACILITY"/>
        <s v="NO.EEA/192113.FACILITY"/>
        <s v="NO.EEA/192181.FACILITY"/>
        <s v="NO.EEA/192365.FACILITY"/>
        <s v="NO.EEA/192252.FACILITY"/>
        <s v="DK.CAED/000095033.FACILITY"/>
        <s v="https://registry.gdi-de.org/id/de.he.0945.de7.pf.eu_industrie/50000118"/>
        <s v="IT.CAED/261002002.FACILITY"/>
        <s v="IT.CAED/431222010.FACILITY"/>
        <s v="NL.RIVM/000064004.FACILITY"/>
        <s v="NL.RIVM/000204944.FACILITY"/>
        <s v="NL.RIVM/000047001.FACILITY"/>
        <s v="ES.CAED/007280000.FACILITY"/>
        <s v="UK.CAED/EW_EA-1572.FACILITY"/>
        <s v="EL.CAED/100630.FACILITY"/>
        <s v="PL.MŚ/000000053.FACILITY"/>
        <s v="PL.MŚ/000000068.FACILITY"/>
        <s v="PL.MŚ/000000063.FACILITY"/>
        <s v="PL.MŚ/000000062.FACILITY"/>
        <s v="PL.MŚ/000000630.FACILITY"/>
        <s v="https://data.ied_registry.omgeving.vlaanderen.be/id/productionfacility//BE.VL.000000468.FACILITY"/>
        <s v="CZ.MZP.T806/CZ90276630.FACILITY"/>
        <s v="FR.CAED/44.FACILITY"/>
        <s v="FR.CAED/9469.FACILITY"/>
        <s v="FR.CAED/5628.FACILITY"/>
        <s v="FR.CAED/7624.FACILITY"/>
        <s v="FR.CAED/653.FACILITY"/>
        <s v="FR.CAED/7560.FACILITY"/>
        <s v="https://registry.gdi-de.org/id/de.rp.inspire.pf.bube-eureg/4000050"/>
        <s v="https://registry.gdi-de.org/id/de.st.lau.pf.anlagen-ied-euregistry/100575"/>
        <s v="ES.CAED/001593000.FACILITY"/>
        <s v="CH.CAED/000000432.Facility"/>
        <s v="https://data.ied_registry.omgeving.vlaanderen.be/id/productionfacility//BE.VL.000000067.FACILITY"/>
        <s v="BE.WA/189010000.FACILITY"/>
        <s v="https://data.ied_registry.omgeving.vlaanderen.be/id/productionfacility//BE.VL.000000117.FACILITY"/>
        <s v="https://data.ied_registry.omgeving.vlaanderen.be/id/productionfacility//BE.VL.000000016.FACILITY"/>
        <s v="https://data.ied_registry.omgeving.vlaanderen.be/id/productionfacility//BE.VL.000000590.FACILITY"/>
        <s v="https://data.ied_registry.omgeving.vlaanderen.be/id/productionfacility//BE.VL.000000661.FACILITY"/>
        <s v="CZ.MZP.K413/CZ67078452.FACILITY"/>
        <s v="FR.CAED/9481.FACILITY"/>
        <s v="FR.CAED/7626.FACILITY"/>
        <s v="FR.CAED/4151.FACILITY"/>
        <s v="FR.CAED/791.FACILITY"/>
        <s v="FR.CAED/6088.FACILITY"/>
        <s v="https://registry.gdi-de.org/id/de.rp.inspire.pf.bube-eureg/5000671"/>
        <s v="https://registry.gdi-de.org/id/de.bb.inspire.pf.eureg/45026224"/>
        <s v="https://registry.gdi-de.org/id/de.sh//10000140"/>
        <s v="https://registry.gdi-de.org/id/de.hh/pf.bube-eureg_/12273"/>
        <s v="HU.OKIR/102053840.FACILITY"/>
        <s v="PT.CAED/PT.APA05772062.CI"/>
        <s v="ES.CAED/006160000.FACILITY"/>
        <s v="ES.CAED/002033000.FACILITY"/>
        <s v="ES.CAED/000768000.FACILITY"/>
        <s v="https://data.ied_registry.omgeving.vlaanderen.be/id/productionfacility//BE.VL.000000003.FACILITY"/>
        <s v="https://data.ied_registry.omgeving.vlaanderen.be/id/productionfacility//BE.VL.000000093.FACILITY"/>
        <s v="BE.WA/057010000.FACILITY"/>
        <s v="https://data.ied_registry.omgeving.vlaanderen.be/id/productionfacility//BE.VL.000000162.FACILITY"/>
        <s v="CZ.MZP.U425/CZ17751142.FACILITY"/>
        <s v="CZ.MZP.Z723/CZ11453276.FACILITY"/>
        <s v="http://paikkatiedot.fi/so/1002031/pf/ProductionFacility/0000003500.ProductionFacility"/>
        <s v="FR.CAED/7615.FACILITY"/>
        <s v="FR.CAED/3833.FACILITY"/>
        <s v="FR.CAED/3839.FACILITY"/>
        <s v="FR.CAED/10790.FACILITY"/>
        <s v="https://registry.gdi-de.org/id/de.sn.sax4inspire.pf/80011248"/>
        <s v="PT.CAED/PT.APA05763542.CI"/>
        <s v="ES.CAED/001562000.FACILITY"/>
        <s v="ES.CAED/001592000.FACILITY"/>
        <s v="ES.CAED/001619000.FACILITY"/>
        <s v="ES.CAED/003896000.FACILITY"/>
        <s v="SE.CAED/10018832.Facility"/>
        <s v="CH.CAED/000000435.Facility"/>
        <s v="CH.CAED/000000187.Facility"/>
        <s v="UK.SEPA/200000061.Facility"/>
        <s v="UK.SEPA/200002493.Facility"/>
        <s v="UK.SEPA/200000035.Facility"/>
        <s v="NO.EEA/192094.FACILITY"/>
        <s v="AT.CAED/9008390705353.FACILITY"/>
        <s v="https://registry.gdi-de.org/id/de.nw.inspire.pf.bube-eureg/arb-2017-315000-300-0928938"/>
        <s v="https://registry.gdi-de.org/id/de.nw.inspire.pf.bube-eureg/arb-2017-362040-300-0215520"/>
        <s v="https://registry.gdi-de.org/id/de.nw.inspire.pf.bube-eureg/arb-2017-562024-500-0875785"/>
        <s v="https://registry.gdi-de.org/id/de.by.inspire.pf.ied/S00114"/>
        <s v="https://registry.gdi-de.org/id/de.by.inspire.pf.ied/S00222"/>
        <s v="https://registry.gdi-de.org/id/de.nw.inspire.pf.bube-eureg/arb-2017-119000-100-0990908"/>
        <s v="https://registry.gdi-de.org/id/de.nw.inspire.pf.bube-eureg/arb-2017-316000-300-1114955"/>
        <s v="https://registry.gdi-de.org/id/de.nw.inspire.pf.bube-eureg/arb-2017-170024-100-0989193"/>
        <s v="https://registry.gdi-de.org/id/de.nw.inspire.pf.bube-eureg/arb-2021-562024-500-0016694"/>
        <s v="IT.CAED/960101007.FACILITY"/>
        <s v="IT.CAED/721001004.FACILITY"/>
        <s v="IT.CAED/960101006.FACILITY"/>
        <s v="IT.CAED/301761003.FACILITY"/>
        <s v="IT.CAED/461001002.FACILITY"/>
        <s v="IT.CAED/481232018.FACILITY"/>
        <s v="IT.CAED/240202009.FACILITY"/>
        <s v="NL.RIVM/000051104.FACILITY"/>
        <s v="NL.RIVM/000000062.FACILITY"/>
        <s v="NL.RIVM/000041003.FACILITY"/>
        <s v="NL.RIVM/000041101.FACILITY"/>
        <s v="NL.RIVM/000010004.FACILITY"/>
        <s v="PL.MŚ/000003643.FACILITY"/>
        <s v="PL.MŚ/000000673.FACILITY"/>
        <s v="PL.MŚ/000000767.FACILITY"/>
        <s v="PL.MŚ/000001312.FACILITY"/>
        <s v="PL.MŚ/000002919.FACILITY"/>
        <s v="UK.CAED/EW_EA-16600.FACILITY"/>
        <s v="UK.CAED/EW_EA-405.FACILITY"/>
        <s v="UK.CAED/EW_EA-282.FACILITY"/>
        <s v="UK.CAED/EW_EA-1716.FACILITY"/>
        <s v="AT.CAED/9008390402368.FACILITY"/>
        <s v="IT.CAED/150632002.FACILITY"/>
        <s v="IT.CAED/120512002.FACILITY"/>
        <s v="IT.CAED/450352002.FACILITY"/>
        <s v="IT.CAED/120372006.FACILITY"/>
        <s v="NL.RIVM/000052612.FACILITY"/>
        <s v="NL.RIVM/000012134.FACILITY"/>
        <s v="NL.RIVM/000102302.FACILITY"/>
        <s v="NL.RIVM/000042310.FACILITY"/>
        <s v="UK.CAED/EW_EA-558.FACILITY"/>
        <s v="UK.CAED/EW_EA-559.FACILITY"/>
        <s v="UK.CAED/EW_EA-676.FACILITY"/>
        <s v="UK.CAED/EW_EA-564.FACILITY"/>
        <s v="DK.CAED/000067430.FACILITY"/>
        <s v="DK.CAED/000071221.FACILITY"/>
        <s v="CH.CAED/000000141.Facility"/>
        <s v="BG.CAED/009000022.FACILITY"/>
        <s v="DK.CAED/000104482.FACILITY"/>
        <s v="DK.CAED/000106351.FACILITY"/>
        <s v="https://registry.gdi-de.org/id/de.nw.inspire.pf.bube-eureg/arb-2017-958012-900-0235121"/>
        <s v="https://registry.gdi-de.org/id/de.bb.inspire.pf.eureg/23020389"/>
        <s v="https://registry.gdi-de.org/id/de.by.inspire.pf.ied/S00552"/>
        <s v="https://registry.gdi-de.org/id/de.by.inspire.pf.ied/S00282"/>
        <s v="https://registry.gdi-de.org/id/de.ni.mu/07244141350"/>
        <s v="https://registry.gdi-de.org/id/de.ni.mu/09281337040"/>
        <s v="https://registry.gdi-de.org/id/de.rp.inspire.pf.bube-eureg/1000136"/>
        <s v="https://registry.gdi-de.org/id/de.ni.mu/04247180070"/>
        <s v="https://registry.gdi-de.org/id/de.bb.inspire.pf.eureg/23020136"/>
        <s v="https://registry.gdi-de.org/id/de.nw.inspire.pf.bube-eureg/arb-2017-754008-700-0128330"/>
        <s v="https://registry.gdi-de.org/id/de.bw.lubw.inspire.pf//pf-450-4124448-00000000"/>
        <s v="https://registry.gdi-de.org/id/de.nw.inspire.pf.bube-eureg/arb-2017-958004-900-0001413"/>
        <s v="https://registry.gdi-de.org/id/de.by.inspire.pf.ied/S01026"/>
        <s v="https://registry.gdi-de.org/id/de.sn.sax4inspire.pf/80011253"/>
        <s v="NL.RIVM/000064360.FACILITY"/>
        <s v="NL.RIVM/000004301.FACILITY"/>
        <s v="NL.RIVM/000064335.FACILITY"/>
        <s v="NL.RIVM/000000060.FACILITY"/>
        <s v="NL.RIVM/000024302.FACILITY"/>
        <s v="UK.SEPA/200000176.Facility"/>
        <s v="UK.SEPA/200000015.Facility"/>
        <s v="UK.CAED/EW_EA-15375.FACILITY"/>
        <s v="DK.CAED/000106235.FACILITY"/>
        <s v="DK.CAED/000110610.FACILITY"/>
        <s v="DK.CAED/000104565.FACILITY"/>
        <s v="DK.CAED/000104838.FACILITY"/>
        <s v="DK.CAED/000082879.FACILITY"/>
        <s v="DK.CAED/000106129.FACILITY"/>
        <s v="DK.CAED/000106227.FACILITY"/>
        <s v="https://registry.gdi-de.org/id/de.rp.inspire.pf.bube-eureg/4000095"/>
        <s v="CH.CAED/000000268.Facility"/>
        <s v="CH.CAED/000000016.Facility"/>
        <s v="CH.CAED/000000181.Facility"/>
        <s v="CH.CAED/000000316.Facility"/>
        <s v="CH.CAED/000000284.Facility"/>
        <s v="BG.CAED/017000003.FACILITY"/>
        <s v="CZ.MZP.T802/CZ29145586.FACILITY"/>
        <s v="CZ.MZP.T806/CZ95150686.FACILITY"/>
        <s v="http://paikkatiedot.fi/so/1002031/pf/ProductionFacility/0000001913.ProductionFacility"/>
        <s v="http://paikkatiedot.fi/so/1002031/pf/ProductionFacility/0000002110.ProductionFacility"/>
        <s v="https://registry.gdi-de.org/id/de.ni.mu/01211092310"/>
        <s v="https://registry.gdi-de.org/id/de.nw.inspire.pf.bube-eureg/arb-2017-112000-100-0077961"/>
        <s v="https://registry.gdi-de.org/id/de.sl.inspire.pf//0078699-G"/>
        <s v="https://registry.gdi-de.org/id/de.bb.inspire.pf.eureg/23024102"/>
        <s v="https://registry.gdi-de.org/id/de.nw.inspire.pf.bube-eureg/arb-2017-112000-100-0215455"/>
        <s v="https://registry.gdi-de.org/id/de.nw.inspire.pf.bube-eureg/arb-2017-112000-100-0209707"/>
        <s v="https://registry.gdi-de.org/id/de.nw.inspire.pf.bube-eureg/arb-2017-112000-100-0209697"/>
        <s v="https://registry.gdi-de.org/id/de.nw.inspire.pf.bube-eureg/arb-2017-112000-100-0388700"/>
        <s v="https://registry.gdi-de.org/id/de.nw.inspire.pf.bube-eureg/arb-2017-112000-100-9973329"/>
        <s v="https://registry.gdi-de.org/id/de.ni.mu/10285005160"/>
        <s v="https://registry.gdi-de.org/id/de.bb.inspire.pf.eureg/16018546"/>
        <s v="https://registry.gdi-de.org/id/de.by.inspire.pf.ied/S01047"/>
        <s v="https://registry.gdi-de.org/id/de.ni.mu/01244136460"/>
        <s v="NL.RIVM/000023301.FACILITY"/>
        <s v="RO.CAED/102GL0001.FACILITY"/>
        <s v="SE.CAED/10014660.Facility"/>
        <s v="SE.CAED/10024561.Facility"/>
        <s v="SE.CAED/10021812.Facility"/>
        <s v="NO.EEA/192197.FACILITY"/>
        <s v="BG.CAED/004000004.FACILITY"/>
        <s v="https://registry.gdi-de.org/id/de.st.lau.pf.anlagen-ied-euregistry/100276"/>
        <s v="SE.CAED/10017446.Facility"/>
        <s v="UK.CAED/EW_EA-10346.FACILITY"/>
        <s v="BG.CAED/013000002.FACILITY"/>
        <s v="BG.CAED/013000001.FACILITY"/>
        <s v="BG.CAED/013000041.FACILITY"/>
        <s v="BG.CAED/017000006.FACILITY"/>
        <s v="BG.CAED/012000004.FACILITY"/>
        <s v="BG.CAED/012000005.FACILITY"/>
        <s v="BG.CAED/013000004.FACILITY"/>
        <s v="BG.CAED/010000011.FACILITY"/>
        <s v="BG.CAED/012000011.FACILITY"/>
        <s v="BG.CAED/017000005.FACILITY"/>
        <s v="BG.CAED/009000012.FACILITY"/>
        <s v="CY.CAED/0030030000.FACILITY"/>
        <s v="CY.CAED/0020020000.FACILITY"/>
        <s v="CZ.MZP.U424/CZ44746297.FACILITY"/>
        <s v="CZ.MZP.U422/CZ49480308.FACILITY"/>
        <s v="CZ.MZP.U422/CZ34736841.FACILITY"/>
        <s v="CZ.MZP.K413/CZ39774818.FACILITY"/>
        <s v="CZ.MZP.S206/CZ33698019.FACILITY"/>
        <s v="CZ.MZP.U426/CZ95978240.FACILITY"/>
        <s v="CZ.MZP.E532/CZ90841608.FACILITY"/>
        <s v="CZ.MZP.T806/CZ01171445.FACILITY"/>
        <s v="CZ.MZP.T802/CZ10693120.FACILITY"/>
        <s v="CZ.MZP.E532/CZ66069097.FACILITY"/>
        <s v="CZ.MZP.U424/CZ0117068E.FACILITY"/>
        <s v="CZ.MZP.T806/CZ51473353.FACILITY"/>
        <s v="CZ.MZP.U427/CZ34594641.FACILITY"/>
        <s v="CZ.MZP.K413/CZ88718507.FACILITY"/>
        <s v="CZ.MZP.P323/CZ56736663.FACILITY"/>
        <s v="CZ.MZP.S206/CZ0030745E.FACILITY"/>
        <s v="CZ.MZP.T803/CZ26269297.FACILITY"/>
        <s v="CZ.MZP.P323/CZ47150542.FACILITY"/>
        <s v="CZ.MZP.C311/CZ65747796.FACILITY"/>
        <s v="CZ.MZP.B642/CZ46810675.FACILITY"/>
        <s v="CZ.MZP.T806/CZ85250575.FACILITY"/>
        <s v="CZ.MZP.C317/CZ80135653.FACILITY"/>
        <s v="CZ.MZP.B642/CZ34883430.FACILITY"/>
        <s v="DK.CAED/000106193.FACILITY"/>
        <s v="DK.CAED/000106229.FACILITY"/>
        <s v="DK.CAED/000104665.FACILITY"/>
        <s v="DK.CAED/000062156.FACILITY"/>
        <s v="DK.CAED/000082966.FACILITY"/>
        <s v="DK.CAED/000199288.FACILITY"/>
        <s v="DK.CAED/000105110.FACILITY"/>
        <s v="DK.CAED/000106181.FACILITY"/>
        <s v="DK.CAED/000105124.FACILITY"/>
        <s v="DK.CAED/000097993.FACILITY"/>
        <s v="DK.CAED/000104654.FACILITY"/>
        <s v="DK.CAED/000071770.FACILITY"/>
        <s v="DK.CAED/000082929.FACILITY"/>
        <s v="DK.CAED/000097307.FACILITY"/>
        <s v="DK.CAED/000104564.FACILITY"/>
        <s v="DK.CAED/000106201.FACILITY"/>
        <s v="DK.CAED/000104752.FACILITY"/>
        <s v="DK.CAED/000086365.FACILITY"/>
        <s v="DK.CAED/000098598.FACILITY"/>
        <s v="DK.CAED/000106222.FACILITY"/>
        <s v="DK.CAED/000068265.FACILITY"/>
        <s v="DK.CAED/000098592.FACILITY"/>
        <s v="DK.CAED/000082948.FACILITY"/>
        <s v="DK.CAED/000074159.FACILITY"/>
        <s v="DK.CAED/000106168.FACILITY"/>
        <s v="DK.CAED/000082980.FACILITY"/>
        <s v="DK.CAED/000103549.FACILITY"/>
        <s v="DK.CAED/000104576.FACILITY"/>
        <s v="EE.KAUR.TTR/75.FACILITY"/>
        <s v="EE.KAUR.TTR/41.FACILITY"/>
        <s v="EE.KAUR.TTR/30.FACILITY"/>
        <s v="http://paikkatiedot.fi/so/1002031/pf/ProductionFacility/0100239774.ProductionFacility"/>
        <s v="http://paikkatiedot.fi/so/1002031/pf/ProductionFacility/0000001172.ProductionFacility"/>
        <s v="http://paikkatiedot.fi/so/1002031/pf/ProductionFacility/0000001115.ProductionFacility"/>
        <s v="http://paikkatiedot.fi/so/1002031/pf/ProductionFacility/0100198201.ProductionFacility"/>
        <s v="http://paikkatiedot.fi/so/1002031/pf/ProductionFacility/0000001862.ProductionFacility"/>
        <s v="http://paikkatiedot.fi/so/1002031/pf/ProductionFacility/0000011323.ProductionFacility"/>
        <s v="https://registry.gdi-de.org/id/de.nw.inspire.pf.bube-eureg/arb-2017-162008-100-0248923"/>
        <s v="https://registry.gdi-de.org/id/de.sn.sax4inspire.pf/70015796"/>
        <s v="https://registry.gdi-de.org/id/de.nw.inspire.pf.bube-eureg/arb-2017-362008-300-0326774"/>
        <s v="https://registry.gdi-de.org/id/de.bb.inspire.pf.eureg/45025564"/>
        <s v="https://registry.gdi-de.org/id/de.nw.inspire.pf.bube-eureg/arb-2017-354012-300-0877384"/>
        <s v="https://registry.gdi-de.org/id/de.sn.sax4inspire.pf/80011277"/>
        <s v="https://registry.gdi-de.org/id/de.bb.inspire.pf.eureg/45025611"/>
        <s v="https://registry.gdi-de.org/id/de.bw.lubw.inspire.pf//pf-450-2948214-00000000"/>
        <s v="https://registry.gdi-de.org/id/de.bw.lubw.inspire.pf//pf-450-2797933-00000000"/>
        <s v="https://registry.gdi-de.org/id/de.st.lau.pf.anlagen-ied-euregistry/100125"/>
        <s v="https://registry.gdi-de.org/id/de.nw.inspire.pf.bube-eureg/arb-2017-112000-100-0008504"/>
        <s v="https://registry.gdi-de.org/id/de.nw.inspire.pf.bube-eureg/arb-2018-562008-500-0915123"/>
        <s v="https://registry.gdi-de.org/id/de.nw.inspire.pf.bube-eureg/arb-2017-513000-500-0342658"/>
        <s v="https://registry.gdi-de.org/id/de.nw.inspire.pf.bube-eureg/arb-2017-978024-900-9141660"/>
        <s v="https://registry.gdi-de.org/id/de.nw.inspire.pf.bube-eureg/arb-2017-112000-100-0220947"/>
        <s v="https://registry.gdi-de.org/id/de.nw.inspire.pf.bube-eureg/arb-2017-112000-100-0365906"/>
        <s v="https://registry.gdi-de.org/id/de.hb//de.hb.pf.bube-eureg.06-04-11/2001178/8/2"/>
        <s v="https://registry.gdi-de.org/id/de.nw.inspire.pf.bube-eureg/arb-2017-112000-100-0431367"/>
        <s v="https://registry.gdi-de.org/id/de.he.0945.de7.pf.eu_industrie/30001045"/>
        <s v="https://registry.gdi-de.org/id/de.nw.inspire.pf.bube-eureg/arb-2017-978004-900-0205103"/>
        <s v="https://registry.gdi-de.org/id/de.bw.lubw.inspire.pf//pf-450-1020129-00000000"/>
        <s v="https://registry.gdi-de.org/id/de.ni.mu/01241117210"/>
        <s v="https://registry.gdi-de.org/id/de.bb.inspire.pf.eureg/23023645"/>
        <s v="https://registry.gdi-de.org/id/de.by.inspire.pf.ied/S00041"/>
        <s v="https://registry.gdi-de.org/id/de.mv.land.inspire.pf.bube/30000226"/>
        <s v="https://registry.gdi-de.org/id/de.ni.mu/06060316030"/>
        <s v="https://registry.gdi-de.org/id/de.ni.mu/09000237910"/>
        <s v="https://registry.gdi-de.org/id/de.nw.inspire.pf.bube-eureg/arb-2017-916000-900-0327252"/>
        <s v="https://registry.gdi-de.org/id/de.be.pf.lisa/166928"/>
        <s v="https://registry.gdi-de.org/id/de.bw.lubw.inspire.pf//pf-450-1741292-00000000"/>
        <s v="https://registry.gdi-de.org/id/de.by.inspire.pf.ied/S00009"/>
        <s v="https://registry.gdi-de.org/id/de.nw.inspire.pf.bube-eureg/arb-2017-770028-700-0105516"/>
        <s v="https://registry.gdi-de.org/id/de.ni.mu/10257673950"/>
        <s v="https://registry.gdi-de.org/id/de.sh//50083712"/>
        <s v="https://registry.gdi-de.org/id/de.hb//de.hb.pf.bube-eureg.06-04-11/2039669/2/0"/>
        <s v="https://registry.gdi-de.org/id/de.hh/pf.bube-eureg_/3277"/>
        <s v="https://registry.gdi-de.org/id/de.sn.sax4inspire.pf/60015149"/>
        <s v="https://registry.gdi-de.org/id/de.by.inspire.pf.ied/S00048"/>
        <s v="https://registry.gdi-de.org/id/de.sl.inspire.pf//0101000-G"/>
        <s v="https://registry.gdi-de.org/id/de.sl.inspire.pf//0107401-G"/>
        <s v="https://registry.gdi-de.org/id/de.ni.mu/01010098080"/>
        <s v="https://registry.gdi-de.org/id/de.nw.inspire.pf.bube-eureg/arb-2017-162004-300-9002708"/>
        <s v="https://registry.gdi-de.org/id/de.st.lau.pf.anlagen-ied-euregistry/100030"/>
        <s v="https://registry.gdi-de.org/id/de.nw.inspire.pf.bube-eureg/arb-2017-111000-100-0167182"/>
        <s v="https://registry.gdi-de.org/id/de.he.0945.de7.pf.eu_industrie/30000036"/>
        <s v="https://registry.gdi-de.org/id/de.nw.inspire.pf.bube-eureg/arb-2017-316000-300-9046797"/>
        <s v="https://registry.gdi-de.org/id/de.sl.inspire.pf//0100999-G"/>
        <s v="https://registry.gdi-de.org/id/de.nw.inspire.pf.bube-eureg/arb-2017-114000-100-9021016"/>
        <s v="https://registry.gdi-de.org/id/de.be.pf.lisa/172656"/>
        <s v="https://registry.gdi-de.org/id/de.hb//de.hb.pf.bube-eureg.06-04-11/2001178/8/0"/>
        <s v="https://registry.gdi-de.org/id/de.be.pf.lisa/172654"/>
        <s v="https://registry.gdi-de.org/id/de.sn.sax4inspire.pf/70015868"/>
        <s v="https://registry.gdi-de.org/id/de.rp.inspire.pf.bube-eureg/4000021"/>
        <s v="https://registry.gdi-de.org/id/de.sh//50082038"/>
        <s v="https://registry.gdi-de.org/id/de.ni.mu/01010157480"/>
        <s v="https://registry.gdi-de.org/id/de.nw.inspire.pf.bube-eureg/arb-2017-915000-900-9140178"/>
        <s v="https://registry.gdi-de.org/id/de.be.pf.lisa/234566"/>
        <s v="https://registry.gdi-de.org/id/de.by.inspire.pf.ied/S00044"/>
        <s v="https://registry.gdi-de.org/id/de.nw.inspire.pf.bube-eureg/arb-2022-916000-900-0011514"/>
        <s v="https://registry.gdi-de.org/id/de.be.pf.lisa/169709"/>
        <s v="https://registry.gdi-de.org/id/de.be.pf.lisa/173145"/>
        <s v="https://registry.gdi-de.org/id/de.st.lau.pf.anlagen-ied-euregistry/101086"/>
        <s v="https://registry.gdi-de.org/id/de.by.inspire.pf.ied/S00719"/>
        <s v="https://registry.gdi-de.org/id/de.nw.inspire.pf.bube-eureg/arb-2017-315000-300-0923949"/>
        <s v="https://registry.gdi-de.org/id/de.nw.inspire.pf.bube-eureg/arb-2017-954020-900-0125939"/>
        <s v="https://registry.gdi-de.org/id/de.st.lau.pf.anlagen-ied-euregistry/100876"/>
        <s v="https://registry.gdi-de.org/id/de.sl.inspire.pf//0101003-G"/>
        <s v="https://registry.gdi-de.org/id/de.nw.inspire.pf.bube-eureg/arb-2017-111000-100-0036701"/>
        <s v="https://registry.gdi-de.org/id/de.sh//10030084"/>
        <s v="https://registry.gdi-de.org/id/de.th/5bf25e39-19d5-4254-adac-63f1b1cec499/30013152"/>
        <s v="https://registry.gdi-de.org/id/de.st.lau.pf.anlagen-ied-euregistry/101071"/>
        <s v="https://registry.gdi-de.org/id/de.nw.inspire.pf.bube-eureg/arb-2017-112000-100-0229264"/>
        <s v="https://registry.gdi-de.org/id/de.nw.inspire.pf.bube-eureg/arb-2017-362028-300-9046030"/>
        <s v="https://registry.gdi-de.org/id/de.by.inspire.pf.ied/S00842"/>
        <s v="https://registry.gdi-de.org/id/de.by.inspire.pf.ied/S00925"/>
        <s v="https://registry.gdi-de.org/id/de.bb.inspire.pf.eureg/16018798"/>
        <s v="https://registry.gdi-de.org/id/de.he.0945.de7.pf.eu_industrie/80000333"/>
        <s v="https://registry.gdi-de.org/id/de.mv.land.inspire.pf.bube/30000298"/>
        <s v="https://registry.gdi-de.org/id/de.ni.mu/06060117340"/>
        <s v="https://registry.gdi-de.org/id/de.he.0945.de7.pf.eu_industrie/50000213"/>
        <s v="https://registry.gdi-de.org/id/de.by.inspire.pf.ied/S00311"/>
        <s v="https://registry.gdi-de.org/id/de.st.lau.pf.anlagen-ied-euregistry/100032"/>
        <s v="https://registry.gdi-de.org/id/de.bw.lubw.inspire.pf//pf-450-3042693-00000000"/>
        <s v="https://registry.gdi-de.org/id/de.he.0945.de7.pf.eu_industrie/30000963"/>
        <s v="https://registry.gdi-de.org/id/de.nw.inspire.pf.bube-eureg/arb-2017-362028-300-9975553"/>
        <s v="https://registry.gdi-de.org/id/de.st.lau.pf.anlagen-ied-euregistry/100419"/>
        <s v="https://registry.gdi-de.org/id/de.sn.sax4inspire.pf/80011256"/>
        <s v="https://registry.gdi-de.org/id/de.hb//de.hb.pf.bube-eureg.06-04-11/2000122/0/0"/>
        <s v="https://registry.gdi-de.org/id/de.nw.inspire.pf.bube-eureg/arb-2017-515000-500-0221194"/>
        <s v="https://registry.gdi-de.org/id/de.by.inspire.pf.ied/S00104"/>
        <s v="https://registry.gdi-de.org/id/de.bw.lubw.inspire.pf//pf-450-9840001-00000000"/>
        <s v="https://registry.gdi-de.org/id/de.th/5bf25e39-19d5-4254-adac-63f1b1cec499/72012874"/>
        <s v="https://registry.gdi-de.org/id/de.bb.inspire.pf.eureg/23019618"/>
        <s v="https://registry.gdi-de.org/id/de.bb.inspire.pf.eureg/23022811"/>
        <s v="https://registry.gdi-de.org/id/de.sl.inspire.pf//0105352-G"/>
        <s v="https://registry.gdi-de.org/id/de.sn.sax4inspire.pf/70015792"/>
        <s v="https://registry.gdi-de.org/id/de.ni.mu/10100029340"/>
        <s v="https://registry.gdi-de.org/id/de.by.inspire.pf.ied/S00845"/>
        <s v="https://registry.gdi-de.org/id/de.bw.lubw.inspire.pf//pf-450-2142201-00000000"/>
        <s v="https://registry.gdi-de.org/id/de.by.inspire.pf.ied/S00007"/>
        <s v="https://registry.gdi-de.org/id/de.nw.inspire.pf.bube-eureg/arb-2017-162004-300-9046923"/>
        <s v="https://registry.gdi-de.org/id/de.st.lau.pf.anlagen-ied-euregistry/100674"/>
        <s v="https://registry.gdi-de.org/id/de.st.lau.pf.anlagen-ied-euregistry/101049"/>
        <s v="https://registry.gdi-de.org/id/de.th/5bf25e39-19d5-4254-adac-63f1b1cec499/77012924"/>
        <s v="https://registry.gdi-de.org/id/de.nw.inspire.pf.bube-eureg/arb-2017-314000-300-0838652"/>
        <s v="https://registry.gdi-de.org/id/de.sn.sax4inspire.pf/70015959"/>
        <s v="https://registry.gdi-de.org/id/de.rp.inspire.pf.bube-eureg/5001005"/>
        <s v="https://registry.gdi-de.org/id/de.mv.land.inspire.pf.bube/50000071"/>
        <s v="https://registry.gdi-de.org/id/de.bw.lubw.inspire.pf//pf-450-80920445-00000000"/>
        <s v="https://registry.gdi-de.org/id/de.nw.inspire.pf.bube-eureg/arb-2017-978040-900-0220187"/>
        <s v="https://registry.gdi-de.org/id/de.th/5bf25e39-19d5-4254-adac-63f1b1cec499/86012942"/>
        <s v="https://registry.gdi-de.org/id/de.he.0945.de7.pf.eu_industrie/30000030"/>
        <s v="https://registry.gdi-de.org/id/de.sn.sax4inspire.pf/70015926"/>
        <s v="https://registry.gdi-de.org/id/de.by.inspire.pf.ied/S00045"/>
        <s v="https://registry.gdi-de.org/id/de.sl.inspire.pf//0105354-G"/>
        <s v="https://registry.gdi-de.org/id/de.by.inspire.pf.ied/S00708"/>
        <s v="https://registry.gdi-de.org/id/de.nw.inspire.pf.bube-eureg/arb-2017-711000-700-9073508"/>
        <s v="https://registry.gdi-de.org/id/de.by.inspire.pf.ied/S00727"/>
        <s v="https://registry.gdi-de.org/id/de.by.inspire.pf.ied/S00233"/>
        <s v="https://registry.gdi-de.org/id/de.sn.sax4inspire.pf/70015917"/>
        <s v="https://registry.gdi-de.org/id/de.bw.lubw.inspire.pf//pf-450-34064722-00000000"/>
        <s v="https://registry.gdi-de.org/id/de.rp.inspire.pf.bube-eureg/5000031"/>
        <s v="https://registry.gdi-de.org/id/de.st.lau.pf.anlagen-ied-euregistry/102693"/>
        <s v="IE.CAED/P0605.FACILITY"/>
        <s v="IE.CAED/P0830.FACILITY"/>
        <s v="IE.CAED/P0777.FACILITY"/>
        <s v="IE.CAED/P0483.FACILITY"/>
        <s v="IE.CAED/P0561.FACILITY"/>
        <s v="IE.CAED/P0486.FACILITY"/>
        <s v="IE.CAED/P0700.FACILITY"/>
        <s v="IE.CAED/P0577.FACILITY"/>
        <s v="IE.CAED/P0606.FACILITY"/>
        <s v="IE.CAED/P0482.FACILITY"/>
        <s v="IE.CAED/P0607.FACILITY"/>
        <s v="NL.RIVM/000203273.FACILITY"/>
        <s v="NL.RIVM/000012149.FACILITY"/>
        <s v="NL.RIVM/000024003.FACILITY"/>
        <s v="NL.RIVM/000044004.FACILITY"/>
        <s v="NL.RIVM/000204617.FACILITY"/>
        <s v="NL.RIVM/000028176.FACILITY"/>
        <s v="NL.RIVM/000104001.FACILITY"/>
        <s v="NL.RIVM/000114001.FACILITY"/>
        <s v="NL.RIVM/000203228.FACILITY"/>
        <s v="NL.RIVM/000203411.FACILITY"/>
        <s v="NL.RIVM/000204654.FACILITY"/>
        <s v="NL.RIVM/000201386.FACILITY"/>
        <s v="NL.RIVM/000024002.FACILITY"/>
        <s v="NL.RIVM/000004001.FACILITY"/>
        <s v="NL.RIVM/000075305.FACILITY"/>
        <s v="NL.RIVM/000203220.FACILITY"/>
        <s v="NL.RIVM/000024000.FACILITY"/>
        <s v="NL.RIVM/000202825.FACILITY"/>
        <s v="NL.RIVM/000203505.FACILITY"/>
        <s v="NL.RIVM/000104003.FACILITY"/>
        <s v="NL.RIVM/000115181.FACILITY"/>
        <s v="NL.RIVM/000049006.FACILITY"/>
        <s v="NL.RIVM/000201304.FACILITY"/>
        <s v="NL.RIVM/000064005.FACILITY"/>
        <s v="NL.RIVM/000071105.FACILITY"/>
        <s v="NL.RIVM/000202419.FACILITY"/>
        <s v="NL.RIVM/000049016.FACILITY"/>
        <s v="NL.RIVM/000115085.FACILITY"/>
        <s v="NL.RIVM/000114757.FACILITY"/>
        <s v="NL.RIVM/000010953.FACILITY"/>
        <s v="NL.RIVM/000012150.FACILITY"/>
        <s v="RO.CAED/102GJ0001.FACILITY"/>
        <s v="RO.CAED/101GJ0001.FACILITY"/>
        <s v="RO.CAED/104PH0001.FACILITY"/>
        <s v="RO.CAED/101DJ0001.FACILITY"/>
        <s v="RO.CAED/102DJ0001.FACILITY"/>
        <s v="RO.CAED/101VL0001.FACILITY"/>
        <s v="RO.CAED/102BB0001.FACILITY"/>
        <s v="RO.CAED/101MS0001.FACILITY"/>
        <s v="RO.CAED/103PH0001.FACILITY"/>
        <s v="RO.CAED/103BB0001.FACILITY"/>
        <s v="RO.CAED/102HD0001.FACILITY"/>
        <s v="RO.CAED/101BB0001.FACILITY"/>
        <s v="RO.CAED/101BH0001.FACILITY"/>
        <s v="RO.CAED/104BB0001.FACILITY"/>
        <s v="RO.CAED/102IS0001.FACILITY"/>
        <s v="RO.CAED/101TM0001.FACILITY"/>
        <s v="RO.CAED/107PH0001.FACILITY"/>
        <s v="RO.CAED/101CT0001.FACILITY"/>
        <s v="RO.CAED/102CT0001.FACILITY"/>
        <s v="SI.ARSO/000000017.FACILITY"/>
        <s v="SE.CAED/10024576.Facility"/>
        <s v="SE.CAED/10016162.Facility"/>
        <s v="SE.CAED/10023054.Facility"/>
        <s v="SE.CAED/10022115.Facility"/>
        <s v="SE.CAED/10013884.Facility"/>
        <s v="SE.CAED/10019583.Facility"/>
        <s v="SE.CAED/10017066.Facility"/>
        <s v="SE.CAED/10022087.Facility"/>
        <s v="UK.CAED/EW_EA-13608.FACILITY"/>
        <s v="UK.CAED/NRW170265.FACILITY"/>
        <s v="UK.CAED/EW_EA-10358.FACILITY"/>
        <s v="UK.CAED/EW_EA-1433.FACILITY"/>
        <s v="UK.CAED/EW_EA-2363.FACILITY"/>
        <s v="UK.CAED/EW_EA-1023.FACILITY"/>
        <s v="UK.CAED/EW_EA-3999.FACILITY"/>
        <s v="UK.CAED/EW_EA-17044.FACILITY"/>
        <s v="UK.CAED/EW_EA-122.FACILITY"/>
        <s v="UK.CAED/EW_EA-754.FACILITY"/>
        <s v="UK.CAED/EW_EA-1362.FACILITY"/>
        <s v="UK.CAED/EW_EA-2531.FACILITY"/>
        <s v="UK.SEPA/200000142.Facility"/>
        <s v="UK.CAED/EW_EA-12827.FACILITY"/>
        <s v="UK.CAED/EW_EA-18583.FACILITY"/>
        <s v="UK.CAED/EW_EA-16737.FACILITY"/>
        <s v="UK.CAED/EW_EA-7307.FACILITY"/>
        <s v="UK.CAED/EW_EA-10174.FACILITY"/>
        <s v="UK.CAED/EW_EA-1562.FACILITY"/>
        <s v="UK.CAED/P0125_06A.FACILITY"/>
        <s v="UK.CAED/EW_EA-2401.FACILITY"/>
        <s v="UK.CAED/EW_EA-2321.FACILITY"/>
        <s v="UK.CAED/P0120_06A.FACILITY"/>
        <s v="UK.CAED/EW_EA-7030.FACILITY"/>
        <s v="UK.CAED/EW_EA-1021.FACILITY"/>
        <s v="UK.CAED/NRW170087.FACILITY"/>
        <s v="UK.CAED/EW_EA-6557.FACILITY"/>
        <s v="UK.CAED/EW_EA-1563.FACILITY"/>
        <s v="UK.CAED/EW_EA-896.FACILITY"/>
        <s v="UK.CAED/EW_EA-3048.FACILITY"/>
        <s v="UK.CAED/EW_EA-3047.FACILITY"/>
        <s v="UK.CAED/EW_EA-12824.FACILITY"/>
        <s v="UK.CAED/EW_EA-1028.FACILITY"/>
        <s v="UK.CAED/NRW170312.FACILITY"/>
        <s v="UK.CAED/P0126_06A.FACILITY"/>
        <s v="UK.CAED/EW_EA-6326.FACILITY"/>
        <s v="UK.CAED/EW_EA-5766.FACILITY"/>
        <s v="UK.SEPA/200000050.Facility"/>
        <s v="UK.CAED/BEISOffsh-Elgin-PUQ.FACILITY"/>
        <s v="UK.SEPA/200002494.Facility"/>
        <s v="UK.CAED/EW_EA-6056.FACILITY"/>
        <s v="UK.CAED/BEISOffsh-Britannia.FACILITY"/>
        <s v="UK.CAED/BEISOffsh-Glen-Lyon-FPSO.FACILITY"/>
        <s v="UK.CAED/BEISOffsh-Buzzard.FACILITY"/>
        <s v="UK.CAED/EW_EA-1010.FACILITY"/>
        <s v="UK.CAED/EW_EA-1014.FACILITY"/>
        <s v="UK.CAED/BEISOffsh-Beryl-Alpha.FACILITY"/>
        <s v="UK.CAED/NRW170020.FACILITY"/>
        <s v="UK.CAED/BEISOffsh-Ninian-Central.FACILITY"/>
        <s v="UK.CAED/EW_EA-18408.FACILITY"/>
        <s v="UK.CAED/BEISOffsh-ETAP-CPF.FACILITY"/>
        <s v="UK.CAED/BEISOffsh-Tiffany.FACILITY"/>
        <s v="UK.CAED/BEISOffsh-Armada-Kraken-FPSO.FACILITY"/>
        <s v="UK.CAED/BEISOffsh-Brae-Alpha.FACILITY"/>
        <s v="UK.CAED/BEISOffsh-Alwyn-North-A.FACILITY"/>
        <s v="UK.CAED/EW_EA-16923.FACILITY"/>
        <s v="UK.CAED/EW_EA-2397.FACILITY"/>
        <s v="UK.CAED/BEISOffsh-Shearwater.FACILITY"/>
        <s v="UK.CAED/BEISOffsh-Magnus.FACILITY"/>
        <s v="UK.CAED/EW_EA-1081.FACILITY"/>
        <s v="UK.CAED/BEISOffsh-Piper-Bravo.FACILITY"/>
        <s v="UK.CAED/EW_EA-16885.FACILITY"/>
        <s v="UK.CAED/BEISOffsh-Bruce.FACILITY"/>
        <s v="UK.CAED/BEISOffsh-Ninian-Southern.FACILITY"/>
        <s v="UK.CAED/NRW170324.FACILITY"/>
        <s v="UK.CAED/BEISOffsh-Brent-Charlie.FACILITY"/>
        <s v="UK.CAED/BEISOffsh-Judy.FACILITY"/>
        <s v="UK.CAED/BEISOffsh-Foinaven-FPSO.FACILITY"/>
        <s v="UK.SEPA/200002620.Facility"/>
        <s v="UK.CAED/BEISOffsh-Scott.FACILITY"/>
        <s v="UK.CAED/BEISOffsh-Solepit-Clipper-PT.FACILITY"/>
        <s v="UK.CAED/BEISOffsh-Beryl-Bravo.FACILITY"/>
        <s v="UK.CAED/BEISOffsh-Claymore.FACILITY"/>
        <s v="UK.CAED/BEISOffsh-Tern-Alpha.FACILITY"/>
        <s v="UK.CAED/BEISOffsh-Clair-Ridge-Platform.FACILITY"/>
        <s v="UK.CAED/BEISOffsh-Global-Producer-III.FACILITY"/>
        <s v="UK.CAED/BEISOffsh-Montrose-Alpha.FACILITY"/>
        <s v="UK.SEPA/200001408.Facility"/>
        <s v="UK.CAED/BEISOffsh-Triton-FPSO.FACILITY"/>
        <s v="UK.CAED/BEISOffsh-Nelson.FACILITY"/>
        <s v="UK.CAED/BEISOffsh-Clair.FACILITY"/>
        <s v="UK.CAED/BEISOffsh-Clyde.FACILITY"/>
        <s v="UK.CAED/BEISOffsh-BW-Catcher-FPSO.FACILITY"/>
        <s v="UK.CAED/EW_EA-18702.FACILITY"/>
        <s v="UK.CAED/BEISOffsh-Douglas.FACILITY"/>
        <s v="UK.CAED/EW_EA-1932.FACILITY"/>
        <s v="UK.CAED/EW_EA-1139.FACILITY"/>
        <s v="UK.CAED/BEISOffsh-Alba-Northern.FACILITY"/>
        <s v="UK.CAED/BEISOffsh-Anasuria.FACILITY"/>
        <s v="UK.CAED/EW_EA-669.FACILITY"/>
        <s v="UK.CAED/BEISOffsh-Tartan-Alpha.FACILITY"/>
        <s v="UK.CAED/EW_EA-1011.FACILITY"/>
        <s v="UK.CAED/BEISOffsh-Gryphon-Alpha.FACILITY"/>
        <s v="UK.CAED/BEISOffsh-Thistle.FACILITY"/>
        <s v="UK.CAED/BEISOffsh-Cormorant-Alpha.FACILITY"/>
        <s v="UK.CAED/EW_EA-17840.FACILITY"/>
        <s v="UK.CAED/BEISOffsh-Golden-Eagle.FACILITY"/>
        <s v="UK.CAED/BEISOffsh-Leman-49-27-A.FACILITY"/>
        <s v="UK.CAED/BEISOffsh-Gannet-Alpha.FACILITY"/>
        <s v="UK.CAED/BEISOffsh-Pierce-FPSO.FACILITY"/>
        <s v="UK.CAED/BEISOffsh-Bleo-Holm.FACILITY"/>
        <s v="UK.CAED/BEISOffsh-Cormorant-North.FACILITY"/>
        <s v="UK.CAED/NRW170120.FACILITY"/>
        <s v="UK.CAED/BEISOffsh-Armada.FACILITY"/>
        <s v="UK.CAED/BEISOffsh-Morecambe-CPC-1.FACILITY"/>
        <s v="UK.CAED/BEISOffsh-Stella-FPF-1.FACILITY"/>
        <s v="UK.CAED/BEISOffsh-Forties-Charlie.FACILITY"/>
        <s v="UK.CAED/BEISOffsh-Captain-Platform.FACILITY"/>
        <s v="UK.CAED/BEISOffsh-Andrew.FACILITY"/>
        <s v="UK.CAED/BEISOffsh-Banff-FPSO.FACILITY"/>
        <s v="UK.CAED/BEISOffsh-Western-Isles-FPSO.FACILITY"/>
        <s v="UK.CAED/BEISOffsh-Forties-Alpha.FACILITY"/>
        <s v="UK.CAED/BEISOffsh-Lomond.FACILITY"/>
        <s v="UK.CAED/BEISOffsh-Leman-Alpha.FACILITY"/>
        <s v="UK.CAED/BEISOffsh-East-Brae.FACILITY"/>
        <s v="https://registry.gdi-de.org/id/de.he.0945.de7.pf.eu_industrie/50002119"/>
        <s v="https://registry.gdi-de.org/id/de.st.lau.pf.anlagen-ied-euregistry/18046"/>
        <s v="https://registry.gdi-de.org/id/de.he.0945.de7.pf.eu_industrie/50002126"/>
        <s v="https://registry.gdi-de.org/id/de.th/5bf25e39-19d5-4254-adac-63f1b1cec499/62013494"/>
        <s v="HU.OKIR/100308168.FACILITY"/>
        <s v="IT.CAED/850592002.FACILITY"/>
        <s v="IT.CAED/850122001.FACILITY"/>
        <s v="RO.CAED/106CT0001.FACILITY"/>
        <s v="NO.EEA/191973.FACILITY"/>
        <s v="NO.EEA/191986.FACILITY"/>
        <s v="NO.EEA/191965.FACILITY"/>
        <s v="NO.EEA/191963.FACILITY"/>
        <s v="NO.EEA/156849.FACILITY"/>
        <s v="NO.EEA/191987.FACILITY"/>
        <s v="NO.EEA/192000.FACILITY"/>
        <s v="NO.EEA/191964.FACILITY"/>
        <s v="NO.EEA/192702.FACILITY"/>
        <s v="NO.EEA/191979.FACILITY"/>
        <s v="NO.EEA/191978.FACILITY"/>
        <s v="NO.EEA/191975.FACILITY"/>
        <s v="NO.EEA/191970.FACILITY"/>
        <s v="NO.EEA/241113.FACILITY"/>
        <s v="NO.EEA/191962.FACILITY"/>
        <s v="NO.EEA/191997.FACILITY"/>
        <s v="NO.EEA/191976.FACILITY"/>
        <s v="NO.EEA/191981.FACILITY"/>
        <s v="NO.EEA/191991.FACILITY"/>
        <s v="NO.EEA/191983.FACILITY"/>
        <s v="NO.EEA/191961.FACILITY"/>
        <s v="NO.EEA/191980.FACILITY"/>
        <s v="NO.EEA/191985.FACILITY"/>
        <s v="NO.EEA/241111.FACILITY"/>
        <s v="NO.EEA/191967.FACILITY"/>
        <s v="NO.EEA/191966.FACILITY"/>
        <s v="NO.EEA/191982.FACILITY"/>
        <s v="NO.EEA/191977.FACILITY"/>
        <s v="NO.EEA/192618.FACILITY"/>
        <s v="NO.EEA/191992.FACILITY"/>
        <s v="DK.CAED/900000024.FACILITY"/>
        <s v="CH.CAED/000000368.Facility"/>
        <s v="UK.CAED/EW_EA-2677.FACILITY"/>
        <s v="BG.CAED/012000002.FACILITY"/>
        <s v="CZ.MZP.S202/CZ49789451.FACILITY"/>
        <s v="CZ.MZP.M715/CZ18806508.FACILITY"/>
        <s v="CZ.MZP.T804/CZ80742253.FACILITY"/>
        <s v="https://registry.gdi-de.org/id/de.nw.inspire.pf.bube-eureg/arb-2017-158036-100-0238246"/>
        <s v="https://registry.gdi-de.org/id/de.st.lau.pf.anlagen-ied-euregistry/100486"/>
        <s v="https://registry.gdi-de.org/id/de.st.lau.pf.anlagen-ied-euregistry/100477"/>
        <s v="https://registry.gdi-de.org/id/de.bw.lubw.inspire.pf//pf-450-4650956-00000000"/>
        <s v="https://registry.gdi-de.org/id/de.bw.lubw.inspire.pf//pf-450-4664299-00000000"/>
        <s v="https://registry.gdi-de.org/id/de.bw.lubw.inspire.pf//pf-450-1926772-00000000"/>
        <s v="https://registry.gdi-de.org/id/de.bw.lubw.inspire.pf//pf-450-3265552-00000000"/>
        <s v="https://registry.gdi-de.org/id/de.bw.lubw.inspire.pf//pf-450-7897669-00000000"/>
        <s v="https://registry.gdi-de.org/id/de.st.lau.pf.anlagen-ied-euregistry/100921"/>
        <s v="https://registry.gdi-de.org/id/de.st.lau.pf.anlagen-ied-euregistry/100933"/>
        <s v="https://registry.gdi-de.org/id/de.ni.mu/01227571140"/>
        <s v="https://registry.gdi-de.org/id/de.by.inspire.pf.ied/S00328"/>
        <s v="https://registry.gdi-de.org/id/de.he.0945.de7.pf.eu_industrie/60002258"/>
        <s v="https://registry.gdi-de.org/id/de.rp.inspire.pf.bube-eureg/1000266"/>
        <s v="https://registry.gdi-de.org/id/de.st.lau.pf.anlagen-ied-euregistry/100920"/>
        <s v="https://registry.gdi-de.org/id/de.bw.lubw.inspire.pf//pf-450-50902148-00000000"/>
        <s v="https://registry.gdi-de.org/id/de.by.inspire.pf.ied/S00522"/>
        <s v="https://registry.gdi-de.org/id/de.bw.lubw.inspire.pf//pf-450-3192067-00000000"/>
        <s v="https://registry.gdi-de.org/id/de.by.inspire.pf.ied/S01166"/>
        <s v="https://registry.gdi-de.org/id/de.nw.inspire.pf.bube-eureg/arb-2017-566044-500-0109203"/>
        <s v="https://registry.gdi-de.org/id/de.bw.lubw.inspire.pf//pf-450-2486806-00000000"/>
        <s v="https://registry.gdi-de.org/id/de.nw.inspire.pf.bube-eureg/arb-2017-974044-900-0840277"/>
        <s v="RO.CAED/104AG0001.FACILITY"/>
        <s v="RO.CAED/109DB0001.FACILITY"/>
        <s v="SE.CAED/10016819.Facility"/>
        <s v="UK.CAED/EW_EA-2302.FACILITY"/>
        <s v="UK.CAED/EW_EA-16879.FACILITY"/>
        <s v="UK.CAED/EW_EA-1608.FACILITY"/>
        <s v="UK.CAED/EW_EA-2303.FACILITY"/>
        <s v="UK.CAED/EW_EA-789.FACILITY"/>
        <s v="UK.CAED/EW_EA-6934.FACILITY"/>
        <s v="UK.CAED/EW_EA-1691.FACILITY"/>
        <s v="DK.CAED/000105461.FACILITY"/>
        <s v="DK.CAED/000105660.FACILITY"/>
        <s v="DK.CAED/000105671.FACILITY"/>
        <s v="DK.CAED/000057637.FACILITY"/>
        <s v="DK.CAED/000096764.FACILITY"/>
        <s v="DK.CAED/000105658.FACILITY"/>
        <s v="DK.CAED/000106172.FACILITY"/>
        <s v="DK.CAED/000105775.FACILITY"/>
        <s v="DK.CAED/000105787.FACILITY"/>
        <s v="DK.CAED/000105139.FACILITY"/>
        <s v="http://paikkatiedot.fi/so/1002031/pf/ProductionFacility/0100215001.ProductionFacility"/>
        <s v="https://registry.gdi-de.org/id/de.nw.inspire.pf.bube-eureg/arb-2017-119000-100-0431192"/>
        <s v="https://registry.gdi-de.org/id/de.nw.inspire.pf.bube-eureg/arb-2017-562020-500-0414594"/>
        <s v="https://registry.gdi-de.org/id/de.bw.lubw.inspire.pf//pf-450-9169156-00000000"/>
        <s v="https://registry.gdi-de.org/id/de.st.lau.pf.anlagen-ied-euregistry/100150"/>
        <s v="https://registry.gdi-de.org/id/de.by.inspire.pf.ied/S00499"/>
        <s v="https://registry.gdi-de.org/id/de.be.pf.lisa/760"/>
        <s v="https://registry.gdi-de.org/id/de.st.lau.pf.anlagen-ied-euregistry/100995"/>
        <s v="https://registry.gdi-de.org/id/de.he.0945.de7.pf.eu_industrie/30001503"/>
        <s v="https://registry.gdi-de.org/id/de.ni.mu/01000259750"/>
        <s v="https://registry.gdi-de.org/id/de.bw.lubw.inspire.pf//pf-450-1195689-00000000"/>
        <s v="https://registry.gdi-de.org/id/de.ni.mu/10000167470"/>
        <s v="https://registry.gdi-de.org/id/de.sh//50080603"/>
        <s v="https://registry.gdi-de.org/id/de.nw.inspire.pf.bube-eureg/arb-2017-111000-100-0407176"/>
        <s v="https://registry.gdi-de.org/id/de.he.0945.de7.pf.eu_industrie/50006414"/>
        <s v="https://registry.gdi-de.org/id/de.bb.inspire.pf.eureg/23040177"/>
        <s v="https://registry.gdi-de.org/id/de.nw.inspire.pf.bube-eureg/arb-2017-315000-300-1350016"/>
        <s v="https://registry.gdi-de.org/id/de.bb.inspire.pf.eureg/45039245"/>
        <s v="https://registry.gdi-de.org/id/de.hh/pf.bube-eureg_/6856"/>
        <s v="https://registry.gdi-de.org/id/de.sh//50079832"/>
        <s v="https://registry.gdi-de.org/id/de.bb.inspire.pf.eureg/23021047"/>
        <s v="https://registry.gdi-de.org/id/de.he.0945.de7.pf.eu_industrie/50003355"/>
        <s v="https://registry.gdi-de.org/id/de.nw.inspire.pf.bube-eureg/arb-2017-314000-300-0362088"/>
        <s v="https://registry.gdi-de.org/id/de.ni.mu/06060181710"/>
        <s v="https://registry.gdi-de.org/id/de.nw.inspire.pf.bube-eureg/arb-2017-915000-900-0302988"/>
        <s v="https://registry.gdi-de.org/id/de.by.inspire.pf.ied/S00971"/>
        <s v="https://registry.gdi-de.org/id/de.by.inspire.pf.ied/S00052"/>
        <s v="https://registry.gdi-de.org/id/de.by.inspire.pf.ied/S00053"/>
        <s v="https://registry.gdi-de.org/id/de.bb.inspire.pf.eureg/45035910"/>
        <s v="https://registry.gdi-de.org/id/de.by.inspire.pf.ied/S00706"/>
        <s v="https://registry.gdi-de.org/id/de.he.0945.de7.pf.eu_industrie/30001052"/>
        <s v="https://registry.gdi-de.org/id/de.ni.mu/04000025140"/>
        <s v="https://registry.gdi-de.org/id/de.rp.inspire.pf.bube-eureg/5000299"/>
        <s v="https://registry.gdi-de.org/id/de.nw.inspire.pf.bube-eureg/arb-2017-316000-300-0535035"/>
        <s v="https://registry.gdi-de.org/id/de.by.inspire.pf.ied/S00857"/>
        <s v="https://registry.gdi-de.org/id/de.he.0945.de7.pf.eu_industrie/20000115"/>
        <s v="https://registry.gdi-de.org/id/de.hh/pf.bube-eureg_/12562"/>
        <s v="https://registry.gdi-de.org/id/de.rp.inspire.pf.bube-eureg/5000603"/>
        <s v="https://registry.gdi-de.org/id/de.bw.lubw.inspire.pf//pf-450-7024258-00000000"/>
        <s v="https://registry.gdi-de.org/id/de.bb.inspire.pf.eureg/16018080"/>
        <s v="https://registry.gdi-de.org/id/de.mv.land.inspire.pf.bube/50002562"/>
        <s v="https://registry.gdi-de.org/id/de.by.inspire.pf.ied/S00018"/>
        <s v="https://registry.gdi-de.org/id/de.by.inspire.pf.ied/S00638"/>
        <s v="https://registry.gdi-de.org/id/de.nw.inspire.pf.bube-eureg/arb-2017-962024-900-0235202"/>
        <s v="IE.CAED/W0232.FACILITY"/>
        <s v="IE.CAED/W0167.FACILITY"/>
        <s v="NL.RIVM/000010063.FACILITY"/>
        <s v="NL.RIVM/000028085.FACILITY"/>
        <s v="NL.RIVM/000028091.FACILITY"/>
        <s v="NL.RIVM/000044009.FACILITY"/>
        <s v="NL.RIVM/000085002.FACILITY"/>
        <s v="NL.RIVM/000044007.FACILITY"/>
        <s v="NL.RIVM/000010076.FACILITY"/>
        <s v="NL.RIVM/000203496.FACILITY"/>
        <s v="NL.RIVM/000012158.FACILITY"/>
        <s v="UK.CAED/EW_EA-17781.FACILITY"/>
        <s v="UK.CAED/EW_EA-18626.FACILITY"/>
        <s v="UK.CAED/EW_EA-13691.FACILITY"/>
        <s v="UK.CAED/EW_EA-16599.FACILITY"/>
        <s v="UK.SEPA/200002509.Facility"/>
        <s v="UK.SEPA/200001997.Facility"/>
        <s v="UK.CAED/EW_EA-18795.FACILITY"/>
        <s v="UK.CAED/EW_EA-16978.FACILITY"/>
        <s v="UK.CAED/EW_EA-12834.FACILITY"/>
        <s v="UK.SEPA/200002618.Facility"/>
        <s v="UK.CAED/EW_EA-829.FACILITY"/>
        <s v="UK.CAED/EW_EA-18716.FACILITY"/>
        <s v="UK.CAED/EW_EA-18367.FACILITY"/>
        <s v="UK.CAED/EW_EA-1986.FACILITY"/>
        <s v="UK.CAED/EW_EA-1787.FACILITY"/>
        <s v="UK.CAED/EW_EA-18746.FACILITY"/>
        <s v="UK.CAED/EW_EA-13672.FACILITY"/>
        <s v="UK.CAED/EW_EA-16079.FACILITY"/>
        <s v="UK.CAED/EW_EA-16783.FACILITY"/>
        <s v="UK.CAED/EW_EA-17768.FACILITY"/>
        <s v="UK.CAED/EW_EA-18365.FACILITY"/>
        <s v="UK.CAED/EW_EA-2939.FACILITY"/>
        <s v="UK.CAED/EW_EA-17008.FACILITY"/>
        <s v="UK.CAED/EW_EA-16776.FACILITY"/>
        <s v="UK.CAED/EW_EA-16798.FACILITY"/>
        <s v="UK.CAED/EW_EA-1711.FACILITY"/>
        <s v="UK.CAED/EW_EA-2497.FACILITY"/>
        <s v="UK.SEPA/200002651.Facility"/>
        <s v="UK.CAED/EW_EA-18767.FACILITY"/>
        <s v="UK.CAED/EW_EA-17731.FACILITY"/>
        <s v="UK.CAED/EW_EA-1788.FACILITY"/>
        <s v="UK.CAED/EW_EA-1786.FACILITY"/>
        <s v="UK.SEPA/200000046.Facility"/>
      </sharedItems>
    </cacheField>
    <cacheField name="Facility Name" numFmtId="0">
      <sharedItems containsBlank="1">
        <m/>
        <s v="Drax Power Station EPR/VP3530LS"/>
        <s v="SAVED"/>
        <s v="Metsä Fibre Oy, Äänekosken biotuotetehdas"/>
        <s v="PGE Górnictwo i Energetyka Konwencjonalna S.A. - Oddział Elektrownia Bełchatów"/>
        <s v="Stora Enso Oyj, Imatran tehtaat"/>
        <s v="SCA Östrands massafabrik"/>
        <s v="Södra Cell Mönsterås"/>
        <s v="Södra Cell Värö"/>
        <s v="Mondi Štětí a.s. - Celulozka"/>
        <s v="Metsä Fibre Oy Kemi, Puunjalostusteollisuus"/>
        <s v="Gruvöns bruk"/>
        <s v="Metsä Board Sverige AB, Husums fabr"/>
        <s v="NAVIGATOR Setúbal (CI)"/>
        <s v="Stora Enso Oyj, Uimaharjun tehdas, Enocellin tehdas "/>
        <s v="Metsä Fibre Oy, Joutsenon tehdas"/>
        <s v="Metsä Fibre Oy, Rauman tehdas"/>
        <s v="CEASA ENCE- FÁBRICA DE NAVIA"/>
        <s v="Skutskärs Bruk"/>
        <s v="Korsnäsverket"/>
        <s v="Smurfit Kappa Kraftliner Piteå"/>
        <s v="STORA ENSO OULU OY, Oulun tehdas, Oulu"/>
        <s v="Södra Cell Mörrum"/>
        <s v="ENEA Wytwarzanie Spółka z ograniczoną odpowiedzialnością"/>
        <s v="Zellstoff Pöls Aktiengesellschaft"/>
        <s v="UPM-Kymmene Oyj, Kymi"/>
        <s v="BURGO ARDENNES"/>
        <s v="VÄRTAVERKET"/>
        <s v="Skoghalls Bruk"/>
        <s v="Celulose Beira Industrial (Celbi), S.A. (CI)"/>
        <s v="UPM-Kymmene Oyj, Kaukaan tehtaat"/>
        <s v="Iggesunds Bruk"/>
        <s v="PGE Górnictwo i Energetyka Konwencjonalna S.A. - Oddział Elektrownia Turów"/>
        <s v="Billerud Sweden AB Skärblacka Bruk"/>
        <s v="Billerud Karlsborgs bruk"/>
        <s v="Västerås kraftvärmeverk"/>
        <s v="SMURFIT KAPPA CELLULOSE DU PIN"/>
        <s v="Navigator Pulp Cacia, S.A. (CI)"/>
        <s v="Stora Enso Oyj, Sunilan tehdas"/>
        <s v="Billerud Skog &amp; Industri AB, Frövi"/>
        <s v="PGE Górnictwo i Energetyka Konwencjonalna S.A. - Oddział Elektrownia Opole"/>
        <s v="SCA Munksunds pappersbruk"/>
        <s v="Turun Seudun Energiantuotanto Oy, Naantalin voimalaitos"/>
        <s v="Stora Enso Oyj, Varkauden tehtaat"/>
        <s v="Mondi Dynäs AB"/>
        <s v="FIBRE EXCELLENCE SAINT-GAUDENS"/>
        <s v="Vallviks Bruk"/>
        <s v="Navigator Figueira (CI)"/>
        <s v="Europaec (CI)"/>
        <s v="Kaukaan Voima Oy, Energiantuotanto"/>
        <s v="Centrale Termoelettrica &quot;Federico II&quot;"/>
        <s v="Bäckhammars Bruk"/>
        <s v="ENEA Elektrownia Połaniec Spółka Akcyjna"/>
        <s v="Igelsta kraftvärmeverk"/>
        <s v="SCA Obbola AB"/>
        <s v="Runcorn Energy From Waste Facility"/>
        <s v="HÖGDALENVERKET"/>
        <s v="RAYONIER A.M. TARTAS"/>
        <s v="Oulun Energia Oy, Laanilan Biovoimalaitos"/>
        <s v="Elektrárny Poříčí, Hodonín, lokalita Hodonín"/>
        <s v="Domsjö Fabriker AB"/>
        <s v="FIBRE EXCELLENCE PROVENCE"/>
        <s v="PPC S.A. SES AGIOY DHMHTRIOY"/>
        <s v="Ahlstrom Aspa Bruk AB"/>
        <s v="Centrale Torrevaldaliga Nord"/>
        <s v="Mondi Frantschach GmbH"/>
        <s v="Navirum Energi AB, Åbyverket"/>
        <s v="Electrabel - Centrale Knippegroen"/>
        <s v="Elektrárny Poříčí, Hodonín, Lokalita Poříčí, provoz Elektrárna Poříčí"/>
        <s v="AustroCel Hallein GmbH"/>
        <s v="SYLVAMO"/>
        <s v="Händelöverket"/>
        <s v="TRM - TERMOVALORIZZATORE DEL GERBIDO"/>
        <s v="BRISTAVERKET"/>
        <s v="Gärstadverket"/>
        <s v="Sävenäs"/>
        <s v="IVRY PARIS 13"/>
        <s v="Porin Prosessivoima Oy, Energiantuotanto"/>
        <s v="RWE Generation SE MHKW  Karnap"/>
        <s v="Värmeverket Vattumannen"/>
        <s v="Sysavs avfallsförbränningsanläggning"/>
        <s v="swb Entsorgung GmbH &amp; Co. KG / MHKW Bremen"/>
        <s v="Müllverwertung Borsigstraße GmbH, (MVB)"/>
        <s v="Hedenverket"/>
        <s v="MVM Mátra Energia Zrt."/>
        <s v="ENGIE THERMIQUE FRANCE - CENTRALE DK6"/>
        <s v="SASU VERNEA"/>
        <s v="ArcelorMittal Poland S.A. Oddział Dąbrowa Górnicza"/>
        <s v="Stora Enso Maxau GmbH"/>
        <s v="Kraftvärmeverket Torsvik, KVVT1 (avfall) och KVVT2 (flis)"/>
        <s v="Stora Enso Hylte Bruk AB"/>
        <s v="BRUXELLES ENERGIE"/>
        <s v="TIRME,S.A. COMPLEJO DE TRATAMIENTO INTEGRAL DE RESIDUOS URBANOS DE SON REUS"/>
        <s v="CENTRALE TERMOELETTRICA DI TARANTO"/>
        <s v="CTRSU - Central de Tratamento de Resíduos Sólidos Urbanos (CI)"/>
        <s v="SAICA PAPER EL BURGO DE EBRO"/>
        <s v="TAURON Wytwarzanie Spółka Akcyjna - Elektrownia Jaworzno III w Jaworznie - Elektrownia III"/>
        <s v="SYCTOM"/>
        <s v="STORA ENSO LANGERBRUGGE"/>
        <s v="EDF RYBNIK S.A. Oddział w Rybniku"/>
        <s v="STORA ENSO FORS AB"/>
        <s v="Utilitas Tallinna Elektrijaam OÜ, Väo Reservkatlamaja CHP"/>
        <s v="TIRU"/>
        <s v="Gren Eesti AS, Pärnu koostootmisjaam"/>
        <s v="Rauman Biovoima Oy, Rauman voimalaitos"/>
        <s v="Gren Tartu AS, Lohkva koostootmisjaam"/>
        <s v="Vantaan Energia Oy, Martinlaakso"/>
        <s v="Fortum Power and Heat Oy, Kivenlahden lämpökeskus"/>
        <s v="Enefit Power AS, Auvere elektrijaam"/>
        <s v="Helen Oy, Salmisaaren voimalaitokset"/>
        <s v="ETELÄ-SAVON ENERGIA OY, PURSIALAN VOIMALAITOS"/>
        <s v="Savon Voima Oyj, Joensuun voimalaitos"/>
        <s v="Ferroenergy s.r.o. - Výroba tepla"/>
        <s v="IPALLE - Usine d'incinération"/>
        <s v="EVERÉ SAS"/>
        <s v="Kraftvärmeverket Övik Energi A"/>
        <s v="Enefit Power AS, Balti Elektrijaam"/>
        <s v="Zakład Wytwarzania Nowa"/>
        <s v="MM Kotkamills Oy, Kotkan tehtaat"/>
        <s v="Metsä Fibre biovoimalaitos (30.11.2019 alkaen, aiemmin Äänevoima Oy), Energiantuotanto"/>
        <s v="Pori Energia Oy, Aittaluodon voimalaitos"/>
        <s v="OULUN ENERGIA, Toppilan voimalaitokset, Oulu, Energiantuotanto"/>
        <s v="Cardiff Energy Recovery Facility"/>
        <s v="AWG Abfallwirtschaftsgesellschaft mbH Wuppertal"/>
        <s v="Swiss Krono Kft"/>
        <s v="Unità Locale 3 - Impianto di Termovalorizzazione rifiuti non pericolosi."/>
        <s v="AVA/HKW Nordweststadt"/>
        <s v="Centrale Fiume Santo"/>
        <s v="Elektrociepłownia Siekierki"/>
        <s v="Dåva kraftvärmeverk"/>
        <s v="Stora Enso Oyj, Heinolan Flutingtehdas"/>
        <s v="Impianto termoelettrico di Fusina"/>
        <s v="Boländeranläggningarna, Avfallsförbränningsanläggn"/>
        <s v="Central de Valorização Energética e Confinamento Técnico (CI)"/>
        <s v="INTRADEL - UVELIA - Usine d'incinération"/>
        <s v="swb Entsorgung GmbH &amp; Co. KG / MKK Bremen Mittelkalorik-Kraftwerk"/>
        <s v="Seinäjoen Voima Oy, Seinäjoen voimalaitos"/>
        <s v="Västhamnsverket, (VHV)"/>
        <s v="Horizon Tselluloosi ja Paberi AS, Kehra paberivabrik"/>
        <s v="Fortum Oslo Varme"/>
        <s v="COVALYS EX-VALNOR (CVE ANTARES)"/>
        <s v="Caima - Indústria de Celulose, S.A. (CI)"/>
        <s v="UPM Communication Papers Oy, UPM Specialty Papers Oy, Jämsänkosken paperitehdas"/>
        <s v="FKF Nonprofit Zrt."/>
        <s v="Impianto di termovalorizzazione Silla 2"/>
        <s v="Mondi Powerflute Oy, Puunjalostusteollisuus, Mondi Powerflute Oy"/>
        <s v="Norske Skog Skogn"/>
        <s v="Utilitas Tallinna Elektrijaam OÜ, Tallinna elektrijaam"/>
        <s v="Solvay Chemicals GmbH"/>
        <s v="KRONOSPAN OSB"/>
        <s v="CENTRAL TÉRMICA DE ABOÑO"/>
        <s v="stabilimento di Ferrera Erbognone"/>
        <s v="Renergia Zentralschweiz AG"/>
        <s v="Porvoon Energia Oy, Tolkkisten voimalaitokset"/>
        <s v="Metsä Board Oyj, Metsä Board Kaskinen Pulp Mill"/>
        <s v="SAICA PAPER EL"/>
        <s v="Västermalmsverket"/>
        <s v="Munksjö Paper AB Billingsfors"/>
        <s v="Idbäckens Kraftvärmeverk"/>
        <s v="Norske Skog Saugbrugs"/>
        <s v="ENIPOWER S.P.A. - Stabilimento di Brindisi"/>
        <s v="UPM-Kymmene Oyj, Tervasaari, Valkeakoski"/>
        <s v="WIEN ENERGIE GmbH"/>
        <s v="Entsorgungsgesellschaft Mainz mbH"/>
        <s v="Kraftvärmeverket i Linköping"/>
        <s v="Vaasan Voima Oy, Vaasan voimalaitos, VL2"/>
        <s v="EEW Energy from Waste Saarbrücken GmbH"/>
        <s v="KEBAG AG"/>
        <s v="Igelsta värmeverk"/>
        <s v="Loimua Oy, Vanajan voimalaitos, Hämeenlinna"/>
        <s v="Hedensbyns kraftvärmeverk"/>
        <s v="Elektrownia Pątnów II"/>
        <s v="Les Cheneviers  / UIOM"/>
        <s v="Nowe Jaworzno Grupa TAURON sp. z o.o."/>
        <s v="Keravan Lämpövoima Oy, Keravan voimalaitos"/>
        <s v="Stora Enso Publication Papers Oy Ltd, Anjalankosken tehtaat"/>
        <s v="SCC - Sociedade Central de Cervejas e Bebidas,S.A. (CI)"/>
        <s v="PLANTA DE VALORITZACIO ENERGETICA DE SANT ADRIA DE BESOS"/>
        <s v="Teplárna ŠKO-ENERGO s.r.o."/>
        <s v="Tyseley Energy from Waste Plant"/>
        <s v="BLUE PAPER"/>
        <s v="Smurfit Kappa Nettingsdorf AG &amp; Co KG"/>
        <s v="Bremerhavener Entsorgungsgesellschaft mbH"/>
        <s v="Sappi Stockstadt GmbH"/>
        <s v="Elkem Salten"/>
        <s v="Staffordshire Energy Recovery Facility EPR/HP3431HK/V003"/>
        <s v="ERZ KHKW Hagenholz"/>
        <s v="Cementa AB, Slitefabriken"/>
        <s v="Vantaan Energia Keski-Uusimaa Oy, Järvenpään voimalaitos"/>
        <s v="AS Utilitas Tallinn, Mustamäe katlamaja"/>
        <s v="Kainuun Voima Oy, Kainuun Voima Oy:n höyryvoimalaitos"/>
        <s v="HPC Simpan och Ena Kraft, kraftvärmeverket"/>
        <s v="MVA Weisweiler GmbH &amp; Co. KG"/>
        <s v="SC EGGER ROMANIA SRL Radauti"/>
        <s v="SELCHP Energy Recovery Facility"/>
        <s v="A &amp; S ENERGIE"/>
        <s v="UAB „Fortum Klaipėda“"/>
        <s v="BIR Avfallsenergi"/>
        <s v="LOMELLINA ENERGIA"/>
        <s v="Mäntän Energia Oy, Voimalaitos"/>
        <s v="IWB Basel"/>
        <s v="Allöverket"/>
        <s v="Silpower AS, Sillamäe soojuselektrijaam"/>
        <s v="HÄSSELBYVERKET"/>
        <s v="ISAB S.r.l.-IGCC"/>
        <s v="KVA Thurgau"/>
        <s v="Wiener Kommunal-Umweltschutzprojekt- gesellschaft mbH"/>
        <s v="Energetika Ljubljana, (Lokacija Toplarniška)"/>
        <s v="Tornion Voima Oy, Röyttän teollisuusalueen voimalaitos ja kattilalai"/>
        <s v="CENTRAL TÉRMICA DE GRANADILLA"/>
        <s v="Bravikens Pappersbruk"/>
        <s v="Górażdże Cement S.A. - Cementowia Górażdże"/>
        <s v="SIAAP"/>
        <s v="Järvi-Suomen Voima Oy, Ristiinan voimalaitos"/>
        <s v="Sappi Austria Produktions-GmbH &amp; Co. KG"/>
        <s v="ZTPO"/>
        <s v="Elektrociepłownia Żerań"/>
        <s v="CENTRALE TERMOELETTRICA DI SAN FILIPPO DEL MELA"/>
        <s v="Sävenäs Kraftvärmeverk"/>
        <s v="Beddington Energy Recovery Facility EPR/TP3836CT"/>
        <s v="SAICA PAPER  FRANCE (ROCHETTE VENIZEL)"/>
        <s v="Ardley EfW Plant EPR/FP3134GU"/>
        <s v="EniPower  stabilimento di Ravenna"/>
        <s v="Slovenské elektrárne, a.s. - Elektrárne Nováky, závod"/>
        <s v="SETMI"/>
        <s v="TOTALENERGIES - CENTRALE ÉLECTRIQUE SAINT-AVOLD"/>
        <s v="Kronospan Mielec Sp. z o.o."/>
        <s v="CENTRAL TÉRMICA LOS BARRIOS"/>
        <s v="Central de Ciclo Combinado do Pego (CI)"/>
        <s v="EniPower Mantova S.p.A."/>
        <s v="AVA Velsen"/>
        <s v="A&amp;U ENERGIE"/>
        <s v="TRIDEL Lausanne"/>
        <s v="Filborna Kraftvärmeverk"/>
        <s v="KRONOSPAN CR"/>
        <s v="EEVG Entsorgungs- und Energiever- wertungsgesellschaft m.b.H."/>
        <s v="METROPOLE DE LYON - UNITÉ DE TRAITEMENT ET DE VALORISATION ENERGÉTIQUE DES DÉCHETS LYON SUD - UTVE"/>
        <s v="CENTRALE TERMOELETTRICA DI TORVISCOSA"/>
        <s v="Karlskoga kraftvärmeverk"/>
        <s v="EDF Polska S.A. Oddział nr 1 w Krakowie"/>
        <s v="VASSILIKO CEMENT WORKS PUBLIC COMPANY LTD, Vassilikos Plant"/>
        <s v="SENERVAL UIOM"/>
        <s v="KVA Winterthur"/>
        <s v="Kotkan Energia Oy, Hovinsaaren voimalaitos"/>
        <s v="Järvi-Suomen Voima Oy , Savonlinnan voimalaitos"/>
        <s v="KEZO Hinwil"/>
        <s v="CENTRAL TÉRMICA DE SOTO DE RIBERA"/>
        <s v="CENTRAL TERMICA DE CICLO COMBINADO DE CARTAGENA"/>
        <s v="EDF SA"/>
        <s v="CENTRAL TÉRMICA BARRANCO DE TIRAJANA"/>
        <s v="VfA Buchs"/>
        <s v="HERAMBIENTE S.R.L.  - IMPIANTO DI TERMOVALORIZZAZIONE RIFIUTI NON PERICOLOSI"/>
        <s v="Centrale termoelettrica di Ostiglia"/>
        <s v="ENEL PRODUZIONE S.P.A. - POWER PLANT NORTH C.LE LA CASELLA"/>
        <s v="BIOSTOOM OOSTENDE"/>
        <s v="Kreis Weseler Abfallgesellschaft mbH &amp; Co. KG Abfallentsorgungszentrum Asdonkshof"/>
        <s v="Sundsvall Energi AB, Korstaverk"/>
        <s v="PPC S.A. LIGNITIKI MEGALOPOLIS (SES UNIT ΙV)"/>
        <s v="ELECTRABEL CENTRALE RODENHUIZE"/>
        <s v="centrale di Tavazzano e  Montanaso"/>
        <s v="VALBOM"/>
        <s v="REA Dalmine SpA"/>
        <s v="TAURON Wytwarzanie S.A Elektrownia Łagisza"/>
        <s v="PAPREC ENERGIES 66"/>
        <s v="Spalovna Malešice"/>
        <s v="FRULLO ENERGIA AMBIENTE S.R.L."/>
        <s v="IMPIANTO DI TERMOVALORIZZAZIONE RIFIUTI SOLIDI URBANI E NON PERICOLOSI"/>
        <s v="Impianto di Termovalorizzazione di San Lazzaro (PD)"/>
        <s v="ACR Giubiasco"/>
        <s v="FunderMax GmbH"/>
        <s v="Sidor"/>
        <s v="CEZ Chorzów S.A."/>
        <s v="TOTALENERGIES CLIENTES, S.A.U."/>
        <s v="OREADE SAS"/>
        <s v="CENTRE PRODUCTION THERMIQUE PONTEAU - CCG DE MARTIGUES"/>
        <s v="Central de Ciclo Combinado da Tapada do Outeiro (CI)"/>
        <s v="Energiezentrale Forsthaus (KVA)"/>
        <s v="SW-SOLAR CZARNA WODA SPÓŁKA Z OGRANICZONĄ ODPOWIEDZIALNOŚCIĄ"/>
        <s v="SUEZ RV ENERGIE - UVE D'ARGENTEUIL (EX NOVERGIE-UIOM)"/>
        <s v="COMPLEJO INDUSTRIAL DE HUELVA"/>
        <s v="SMURFIT NAVARRA, S.A.-SANGÜESA"/>
        <s v="CENTRALE TERMOELETTRICA DI SIMERI CRICHI"/>
        <s v="Enel Produzione S.p.A. - Centrale Sulcis &quot;Grazia Deledda&quot;"/>
        <s v="Nevel Oy, Forssan voimalaitos "/>
        <s v="STORA ENSO PAPER AB, Kvarnsveden Mill"/>
        <s v="KUMPUNIEMEN VOIMA OY, Voimalaitos"/>
        <s v="Dyckerhoff GmbH, Werk Deuna "/>
        <s v="Oy Alholmens Kraft Ab, Pietarsaaren voimalaitos"/>
        <s v="NORSKE SKOG"/>
        <s v="SAS ZEPHIRE"/>
        <s v="NATURGY CICLOS COMBINADOS, S.L."/>
        <s v="Ångcentralen"/>
        <s v="Kredsløb, Affaldsenergi A/S"/>
        <s v="Power Plant South - Impianto di Termini Imerese - Centrale Ettore Majorana"/>
        <s v="INNOVATHERM -Ges.zur innovativen Nu tzung v.Brennstoffen"/>
        <s v="SATOM Monthey"/>
        <s v="FACTORIA MONTAÑANESA"/>
        <s v="Cement Hranice, akciová společnost"/>
        <s v="Norcem Brevik"/>
        <s v="SAICA 1"/>
        <s v="TE Plomin"/>
        <s v="Bodens värmeverk, BEAB"/>
        <s v="SUEZ RV ENERGIE"/>
        <s v="CENTRAL TÉRMICA DE CICLO COMBINADO BAHÍA DE ALGECIRAS"/>
        <s v="Thermische Abfallbehandlung Lauta GmbH &amp; Co. oHG"/>
        <s v="Elektrociepłownia Gdańska"/>
        <s v="Fritz EGGER GmbH &amp; Co. OG"/>
        <s v="VPK Paper"/>
        <s v="CENTRAL TERMICA DE CICLE COMBINAT (SANT ADRIÀ DE BESÒS - GRUPS 3 I 4)"/>
        <s v="CENTRAL DE CICLO COMBINADO AS PONTES"/>
        <s v="ECONOTRE"/>
        <s v="MYTILINEOS S.A.  / METALLURGY BUSINESS UNIT PLAN-ALOUMINIUM OF GREECE"/>
        <s v="GEKAL Buchs"/>
        <s v="Zakład Unieszkodliwiania Odpadów Sp. z o.o."/>
        <s v="Central Termoeléctrica do Ribatejo (CI)"/>
        <s v="EDF BOUCHAIN_CCG"/>
        <s v="Müllheizkraftwerk Kempten"/>
        <s v="CEZ Skawina S.A."/>
        <s v="Elektrownia Pątnów I"/>
        <s v="Lafarge Cement, a.s."/>
        <s v="Borregaard AS, avd. spesialcellulose"/>
        <s v="Termovalorizzatore rifiuti residui di Bolzano"/>
        <s v="IHKW Industrieheizkraftwerk Andernach Gm bH"/>
        <s v="Sappi Finland Operations Oy, Kirkniemen voimalaitos"/>
        <s v="CENTRALE TERMOELETTRICA DI ALTOMONTE"/>
        <s v="ENEL PRODUZIONE SPA - CENTRALE A CICLO COMBINATO DI PORTO CORSINI"/>
        <s v="CENTRALE TERMOELETTRICA DI COGENERAZIONE DI MONCALIERI"/>
        <s v="FCC Zistersdorf Abfall Service GmbH"/>
        <s v="Kristinehedsverket"/>
        <s v="CENTRALE TERMOELETTRICA DI CHIVASSO"/>
        <s v="ACEA AMBIENTE Srl UL1_Impianto di Termovalorizzazione"/>
        <s v="PPC S.A. SES MEGALOPOLIS, UNIT V"/>
        <s v="ZAKŁAD PRODUKCYJNY &quot;SODA MĄTWY&quot; W INOWROCŁAWIU"/>
        <s v="Impianto di Termovalorizzazione Rifiuti di Trieste - via Errera 11"/>
        <s v="CENTRALE DI LIVORNO FERRARIS"/>
        <s v="SITOM NORD-ISERE (NOUVELLE UNITE)"/>
        <s v="S.E.F. S.R.L. SOCIETA' ENIPOWER FERRARA S.R.L."/>
        <s v="PPC S.A. SES KERATEAS-LAYRIOY"/>
        <s v="Centrale Vado Ligure"/>
        <s v="ROQUETTE FRÈRES"/>
        <s v="CEMEX Czech Republic, s.r.o."/>
        <s v="HERAMBIENTE - 3^ LINEA"/>
        <s v="W. Hamburger GmbH"/>
        <s v="Lidköpings Värmeverk, Filen"/>
        <s v="SOTRAVAL-SPL"/>
        <s v="CEMENTOWNIA &quot;WARTA&quot; SPÓŁKA AKCYJNA"/>
        <s v="CENTRALE A CICLO COMBINATO DI TURANO LODIGIANO E BERTONICO"/>
        <s v="GRENOBLE-ALPES METROPOLE"/>
        <s v="Elkem Bremanger"/>
        <s v="Grupa Azoty Zakłady Chemiczne &quot;POLICE&quot; SA"/>
        <s v="CP Kelco ApS"/>
        <s v="NEOVALY"/>
        <s v="KVA Turgi"/>
        <s v="HERAMBIENTE s.p.a (inceneritore)"/>
        <s v="HERAMBIENTE Spa -Termovalorizzatore"/>
        <s v="SALONIT ANHOVO gradbeni materiali"/>
        <s v="MHKW Coburg"/>
        <s v="CENTRAL CICLO COMBINADO CA'S TRESORER"/>
        <s v="Impianto di termovalorizzazione di Valmadrera"/>
        <s v="CENTRAL CICLO COMBINADO ARCOS DE LA FRONTERA"/>
        <s v="SIVOM AGGLO MULHOUSIENNE SAUSHEIM - UIOM"/>
        <s v="Ryaverket"/>
        <s v="Lillesjö Avfallskraftvärmeverk"/>
        <s v="Haraldrud energigjenvinningsanlegg"/>
        <s v="SAPPI LANAKEN"/>
        <s v="SAREN"/>
        <s v="TERMOVALORIZZATORE CCS POZZILLI"/>
        <s v="Dyckerhoff GmbH"/>
        <s v="ZAB Bazenheid"/>
        <s v="závod Mokrá"/>
        <s v="MM Frohnleiten GmbH"/>
        <s v="CENTRAL DE ESCATRON"/>
        <s v="TOTAL ENERGIES"/>
        <s v="Voghera Energia S.p.A."/>
        <s v="Cement company Holcim BG"/>
        <s v="UVEA"/>
        <s v="GEVAG Trimmis"/>
        <s v="AVAG KVA AG"/>
        <s v="ERG Power Impianti Nord"/>
        <s v="CENTRALE TERMOELETTRICA DI CASSANO D'ADDA"/>
        <s v="UNIDAD DE PRODUCCION TERMICA  AS PONTES"/>
        <s v="Teplárna Frýdek-Místek"/>
        <s v="PPC S.A. LIGNITIKI MELITIS (UNIT I)"/>
        <s v="Calenia Energia S.p.A."/>
        <s v="Stabilimento di Sora (FR)"/>
        <s v="KVA Linth"/>
        <s v="CENTRALE DI COGENERAZIONE (ex-Solvay Chimica Italia S.p.A.; ex-Rosen)"/>
        <s v="GAZEL ENERGIE GENERATION"/>
        <s v="TIBI sc - Usine d'incinération"/>
        <s v="Müllverbrennung Kiel GmbH &amp; Co. KG - Müllheizkraftwerk Kiel"/>
        <s v="STABILIMENTO DI DUINO"/>
        <s v="FREVAR - Forbrenningsanlegget"/>
        <s v="Uniper Hungary Kft."/>
        <s v="SUEZ RV ENERGIE - AZALYS"/>
        <s v="En Plus S.r.l."/>
        <s v="COMPAGNIE ELECTRIQUE DE BRETAGNE"/>
        <s v="Elkem Thamshavn"/>
        <s v="SUEZ RV ENERGIE (EX NOVERGIE IDF)"/>
        <s v="UNILIN SAS"/>
        <s v="EGGER PANNEAUX ET DECORS"/>
        <s v="Ketton Works"/>
        <s v="Arctic Paper Kostrzyn S.A."/>
        <s v="Pfleiderer Grajewo Sp. z o.o."/>
        <s v="Oddział Huta Miedzi &quot;Głogów&quot;"/>
        <s v="Grupa Azoty Spółka Akcyjna"/>
        <s v="Elektrociepłownia EC-4"/>
        <s v="CENTRALE TERMOELETTRICA DI MARGHERA LEVANTE"/>
        <s v="TE-TO Zagreb"/>
        <s v="GENERIS"/>
        <s v="UAB Kauno kogeneracinė jėgainė"/>
        <s v="RW silicium GmbH, Werk Pocking"/>
        <s v="COMMUNAUTÉ DE L'AGGLOMÉRATION DIJONNAISE"/>
        <s v="SAIDEF Fribourg"/>
        <s v="DS SMITH SPAIN, S.A."/>
        <s v="EDF-PEI SAS"/>
        <s v="KVA Limmattal"/>
        <s v="AHKW Neunkirchen"/>
        <s v="ALCEA"/>
        <s v="Pfleiderer Prospan S.A."/>
        <s v="I/S Norfors"/>
        <s v="CRISTAL ECO VALO (EX NOVERGIE)"/>
        <s v="TITAN CEMENT S.A. - KAMARI PLANT"/>
        <s v="SOLVAY QUIMICA (FÁBRICA DE TORRELAVEGA)"/>
        <s v="TERMOVALORIZZATORE COMO"/>
        <s v="CENTRALE TERMOELETTRICA DI COGENERAZIONE TORINO NORD"/>
        <s v="SOMOVAL (UTOM DE MONTHYON) (SMITOM)"/>
        <s v="ENORIS"/>
        <s v="Elektrociepłownia EC-3"/>
        <s v="Duslo a.s."/>
        <s v="CENTRALE DI LEINI'"/>
        <s v="ENGIE CARTAGENA, S.L."/>
        <s v="IDDEO / EX ESIANE"/>
        <s v="TEREOS FRANCE"/>
        <s v="HERON II VIOTIA S.A."/>
        <s v="CALLERGIE"/>
        <s v="CENTRAL TERMICA DE CICLE COMBINAT (SANT ADRIÀ DE BESÒS - GRUP 5)"/>
        <s v="KORINTHOS POWER S.A."/>
        <s v="IREN AMBIENTE S.p.A. (CENTRO STOCCAGGIO E TRATTAMENTO RIFIUTI)"/>
        <s v="2VALORISE HAM"/>
        <s v="PAPREC ENERGIES CENTRE EST"/>
        <s v="SIVALOR"/>
        <s v="OULUN ENERGIA OY, Laanilan ekovoimalaitos"/>
        <s v="ENGIE PRODUZIONE SPA"/>
        <s v="INTERGEMEENTELIJKE OPDRACHTHOUDENDE VERENIGING VOOR HUISVUILVERWERKING MEETJESLAND"/>
        <s v="SAVOIE DECHETS"/>
        <s v="Brianza Energia Ambiente S.p.A."/>
        <s v="A2A GENCOGAS - CENTRALE TERMOELETTRICA SERMIDE"/>
        <s v="ZAKŁAD PRODUKCYJNY &quot;JANIKOSODA&quot; W JANIKOWIE"/>
        <s v="ALBIOMA ALG CENTRALE THERMIQUE"/>
        <s v="Stabilimento di Tolmezzo"/>
        <s v="Rizziconi Energia S.p.A."/>
        <s v="CEMEX Polska Sp. z o.o - Zakład Cementownia Chełm"/>
        <s v="EGGER PANNEAUX &amp; DÉCORS"/>
        <s v="LKAB - Malmbergsgruvan"/>
        <s v="ENGIE THERMIQUE FRANCE"/>
        <s v="CENTRALE DI GISSI"/>
        <s v="Central Termoeléctrica de Lares (CI)"/>
        <s v="LA ROCHETTE  CARTONBOARD SAS"/>
        <s v="PGE Górnictwo i Energetyka Konwencjonalna S.A. - Oddział Zespół Elektrociepłowni Bydgoszcz - EC Bydgoszcz II"/>
        <s v="Tampereen Energia Oy, Naistenlahden voimalaitos"/>
        <s v="C.T.C.C. SON REUS"/>
        <s v="Pfleiderer MDF Grajewo Sp. z o.o."/>
        <s v="PPC S.A. SES ATHERINOLAKKOY"/>
        <s v="AB „Grigeo Grigiškės“"/>
        <s v="CENTRAL TERMICA DE SABON (CTCC SABON)"/>
        <s v="HOMANIT KROSNO ODRZAŃSKIE Sp. z o.o."/>
        <s v="TANNE SP. Z O.O. UL DUBOWO I 60"/>
        <s v="CENTRALE TERMOELETTRICA DI CANDELA"/>
        <s v="ALBIOMA LE MOULE"/>
        <s v="ELECTRABEL - CENTRALE D'AMERCOEUR"/>
        <s v="ISD POWER Kft."/>
        <s v="FÁBRICA DE MENGÍBAR (SMURFIT KAPPA ESPAÑA, S.A.)"/>
        <s v="Enea Wytwarzanie Sp. z o.o."/>
        <s v="TOTALENERGIES - CENTRALE ELECTRIQUE BAYET"/>
        <s v="VIPAP VIDEM KRŠKO"/>
        <s v="Centrale Termoelettrica di Piacenza"/>
        <s v="HERACLES G.C.Co, VOLOS PLANT"/>
        <s v="Cauldon Cement Plant"/>
        <s v="Dyckerhoff Polska Sp. z o.o."/>
        <s v="Elektrociepłownia Gdyńska"/>
        <s v="Centrale Termoelettrica di Monfalcone"/>
        <s v="Zakład CCGT we Włocławku"/>
        <s v="Isd Dunaferr Zrt."/>
        <s v="Centro de Produção de Alhandra (CI)"/>
        <s v="T POWER"/>
        <s v="CBR sa - Site de Lixhe"/>
        <s v="Slovenské elektrárne, a.s. - Elektrárne Vojany, závod"/>
        <s v="CCB - Site de Gaurain-Ramecroix"/>
        <s v="ELPEDISON S.A. -THESSALONIKI POWER PLANT"/>
        <s v="AB &quot;Akmenės cementas&quot;"/>
        <s v="Smurfit Kappa Zülpich Papier GmbH"/>
        <s v="EDF - CCG BLÉNOD"/>
        <s v="Tvornica papira, ambalaže i energetika"/>
        <s v="PGE Górnictwo i Energetyka Konwencjonalna S.A. - Oddział Zespół Elektrowni Dolna Odra - Elektrownia Pomorzany"/>
        <s v="ELPEDISON S.A.- THISVI POWER PLANT"/>
        <s v="PPC S.A. SES LINOPERAMATON"/>
        <s v="TAURON Wytwarzanie  Spółka Akcyjna - Oddział Elektrownia Jaworzno III w Jaworznie - Elektrownia II"/>
        <s v="CENTRAL TÉRMICA DE CICLO COMBINADO DE GIBRALTAR (G20)"/>
        <s v="ELECTRABEL - CENTRALE DROGENBOS"/>
        <s v="Alpiq Csepel Kft."/>
        <s v="ZANDVLIET POWER - TERREIN BASF"/>
        <s v="AB ,,Vilniaus šilumos tinklai“, Termofikacinė elektrinė Nr.2 (E-2)"/>
        <s v="CENTRALE  THERMIQUE DE COMBIGOLFE"/>
        <s v="Total Energies Centrale Electrique Marchienne au Pont"/>
        <s v="Italcementi di Rezzato"/>
        <s v="PPC S.A. SES ALIVERIOY"/>
        <s v="PPC S.A. SES KOMOTINIS"/>
        <s v="LINZ STROM GAS WÄRME GmbH für Energie- dienstleistungen und Telekommunikation"/>
        <s v="ENCI BV (Maastricht)"/>
        <s v="Mannok Cement Limited"/>
        <s v="CENTRALE A CICLO COMBINATO DI APRILIA"/>
        <s v="Delimara Power Station EGM"/>
        <s v="CENTRALE TORREVALDALIGA SUD"/>
        <s v="PROTERGIA POWER PLANT"/>
        <s v="Bakonyi Erőmű Zrt."/>
        <s v="Impianto Termoelettrico di Santa Barbara"/>
        <s v="Hamburger Hungária KFT."/>
        <s v="TE-TO Sisak"/>
        <s v="PEC TREDI"/>
        <s v="GAS NATURAL FENOSA GENERACION S.L.U. (ACECA IV)"/>
        <s v="Centrale di Scandale"/>
        <s v="Zakład Wytwarzania Katowice"/>
        <s v="HERACLES G.C.Co, MILAKI PLANT"/>
        <s v="ALBIOMA BOIS ROUGE"/>
        <s v="LAFARGE CIMENTS"/>
        <s v="CENTRALE NAPOLI LEVANTE"/>
        <s v="EDF PEI POINTE JARRY"/>
        <s v="BUZZI UNICEM SPA"/>
        <s v="Ribblesdale Cement Works"/>
        <s v="CEMENTOS MOLINS INDUSTRIAL (SANT VICENÇ DELS HORTS)"/>
        <s v="EDF PEI BF2"/>
        <s v="CORSA PETFOOD (CARDONA)"/>
        <s v="CENTRAL DIESEL DE PUNTA GRANDE"/>
        <s v="CRH (Slovensko) a.s. - Výroba cementu"/>
        <s v="CEMENTOS PORTLAND VALDERRIVAS (SANTA MARGARIDA I ELS MONJOS)"/>
        <s v="závod Radotín"/>
        <s v="AS “Latvenergo” Rīgas TEC-2"/>
        <s v="VERBUND Thermal Power GmbH &amp; Co KG"/>
        <s v="ODDZIAŁ  &quot;ZOFIÓWKA&quot;"/>
        <s v="VICAT"/>
        <s v="CENTRAL DE CICLO COMBINADO DE ARRÚBAL"/>
        <s v="VALO'MARNE (EX CIE)"/>
        <s v="Italcementi Calusco D'Adda"/>
        <s v="CIMPOR - Industria de Cimentos, S.A. - C.P.Souselas (CI)"/>
        <s v="Dunamenti Erőmű Zrt."/>
        <s v="CIMENTS CALCIA"/>
        <s v="EDF PRODUCTION ELECTRIQUE INSULAIRE SAS"/>
        <s v="CBR sa - Site d'Antoing"/>
        <s v="Elektrociepłownia Zielona Góra S.A."/>
        <s v="BASELL POLYOLÉFINES FRANCE SAS"/>
        <s v="SOLVAY OPERATIONS FRANCE"/>
        <s v="HOLCIM Belgique - Usine d'OBOURG"/>
        <s v="CENTRALE A CICLO COMBINATO DI MODUGNO"/>
        <s v="Fábrica Secil - Outão (CI)"/>
        <s v="ALUMINA ESPAÑOLA S.A."/>
        <s v="CRISTAL UNION"/>
        <s v="Norðurál Grundartangi ehf."/>
        <s v="ELEKTROCIEPŁOWNIA BĘDZIN Sp. z o.o."/>
        <s v="CENTRAL DE CICLO COMBINADO PLANA DEL VENT-GRUPO 2"/>
        <s v="CENTRAL TERMICA DE CASTELLON (IBERDROLA GENERACIÓN TÉRMICA)"/>
        <s v="ITPOK Poznań"/>
        <s v="LUMINUS"/>
        <s v="COLACEM S.P.A."/>
        <s v="CENTRAL TÉRMICA DE CICLO COMBINADO DE SANTURTZI"/>
        <s v="InfraServ GmbH &amp; Co. Höchst KG"/>
        <s v="CENTRALE A CICLO COMBINATO DI TERMOLI"/>
        <s v="LUMINUS - Centrale de Seraing"/>
        <s v="Tepláreň Košice, a.s."/>
        <s v="EQIOM CIMENTERIE DE LUMBRES"/>
        <s v="GAZELENERGIE GENERATION"/>
        <s v="ALUMINIUM DUNKERQUE SAS"/>
        <s v="TARRAGONA POWER"/>
        <s v="CHP Zabrze"/>
        <s v="SIA &quot;SCHWENK Latvija&quot;, Brocēnu cementa rūpnīca"/>
        <s v="DALKIA FRANCE"/>
        <s v="Polski Koncern Naftowy ORLEN S.A."/>
        <s v="Pannon Hőerőmű Zrt."/>
        <s v="Portlandzementwerk -Wittekind- Hugo Miebach Söhne KG"/>
        <s v="CENTRAL DE CICLO COMBINADO DE MÁLAGA"/>
        <s v="Holcim (Österreich) GmbH"/>
        <s v="IREN ENERGIA S.P.A. - Turbigo"/>
        <s v="CEMENTOS PORTLAND VALDERRIVAS (FÁBRICA EL ALTO)"/>
        <s v="TITAN CEMENT S.A. - THESSALONIKI PLANT"/>
        <s v="NEXE d.o.o."/>
        <s v="PLANTA BIOMASA DE 50 MWE"/>
        <s v="INEOS OXIDE UTILITIES"/>
        <s v="FÁBRICA DE ALCALÁ DE GUADAIRA (CEMENTOS PORTLAND VALDERRIVAS, S.A.)"/>
        <s v="TITAN CEMENT S.A. - DREPANO PLANT"/>
        <s v="Wacker Chemicals Norway"/>
        <s v="PGE Górnictwo i Energetyka Konwencjonalna S.A. - Oddział Elektrociepłownia Lublin Wrotków"/>
        <s v="Centrale Termoelettrica del Mincio"/>
        <s v="CENTRAL TERMICA DE CICLE COMBINAT (PORT DE BARCELONA)"/>
        <s v="CPCU"/>
        <s v="CENTRAL TÉRMICA CRISTÓBAL COLÓN"/>
        <s v="INDUSTRIE DU BOIS VIELSALM &amp; CIE - IBV"/>
        <s v="Termica Milazzo S.r.l."/>
        <s v="TEREOS  STARCH &amp; SWEETENER EUROPE"/>
        <s v="NOVACARB"/>
        <s v="C.D.E. MAÓ"/>
        <s v="CARRIERES ET FOURS A CHAUX DUMONT WAUTIER"/>
        <s v="FÁBRICA DE CARBONERAS (LAFARGEHOLCIM ESPAÑA SAU)"/>
        <s v="TEREOS STARCH &amp; SWEETENERS EUROPE"/>
        <s v="Central Termoelétrica a Biomassa (CI)"/>
        <s v="TUDELA VEGUIN - FÁBRICA DE CALES Y CEMENTOS DE TUDELA VEGUÍN"/>
        <s v="SET S.p.A."/>
        <s v="Lafarge Cement Magyarország Gyártó és Kereskedelmi Kft."/>
        <s v="CHAUX ET DOLOMIES DU BOULONNAIS"/>
        <s v="Fortum Waste Solutions AB, Norrtorp"/>
        <s v="Zakład Wytwarzania Tychy"/>
        <s v="Teplárna Zlín"/>
        <s v="Confidential"/>
        <s v="TEREOS STARCH &amp; SWEETENERS BELGIUM"/>
        <s v="FÁBRICA DE CEMENTOS DE LA ROBLA"/>
        <s v="TVORNICA CEMENTA &quot;SVETI JURAJ&quot;"/>
        <s v="Cimo SA"/>
        <s v="Alpacem Zement Austria GmbH"/>
        <s v="LAT NITROGEN FRANCE"/>
        <s v="AGROENERGÉTICA DE BAENA, S.L."/>
        <s v="SYSFEED (LA VALL D´EN BAS)"/>
        <s v="Cimalux S.A."/>
        <s v="Sarlux srl"/>
        <s v="Holcim (Italia) S.p.A. - unità produttiva di Ternate"/>
        <s v="SUEZ RR IWS CHEMICALS FRANCE"/>
        <s v="Impianto di cogenerazione"/>
        <s v="Stabilimento di Gubbio CEMENTERIE ALDO BARBETTI S.p.A."/>
        <s v="CIMENTS CALCIA SAS (CIMENTERIE)"/>
        <s v="CHP CZĘSTOCHOWA"/>
        <s v="BIOMASSE ENERGIE ALIZAY SAS"/>
        <s v="GETEC PARK.SWISS AG / Health, Safety, Environment and Quality"/>
        <s v="Baumit GmbH"/>
        <s v="Central Termoeléctrica a Biomassa da Figueira da Foz (CI)"/>
        <s v="CEMENTERIA DI GUIDONIA"/>
        <s v="COGENERACIÓN DE REFINERÍA LA RÁBIDA (DETISA)"/>
        <s v="PPC S.A. SES CHANION (ex PPC S.A. SES HANION)"/>
        <s v="BUZZI UNICEM S.p.A."/>
        <s v="EDF CORSE"/>
        <s v="ROQUETTE FRERES"/>
        <s v="Považská cementáreň, a.s. - Výroba cementu"/>
        <s v="Bc-Erőmű Kft"/>
        <s v="LAVERA ENERGIES SNC"/>
        <s v="eustream, a.s. - Kompresorová stanica  č. 1"/>
        <s v="Hungrana Kft."/>
        <s v="Teplárna Kladno - ELEKTRÁRNA KLADNO"/>
        <s v="Novel S.p.A."/>
        <s v="ELKEM ASA AVD BJØLVEFOSSEN"/>
        <s v="Celsa &quot;Huta Ostrowiec&quot; Sp.o.o."/>
        <s v="ELECTRABEL - CENTRALE BAUDOUR/St GHISLAIN"/>
        <s v="PPC S.A. SES RODOY"/>
        <s v="Teplárna Olomouc"/>
        <s v="VICAT SA"/>
        <s v="CARMEUSE - Site d'Aisemont"/>
        <s v="Pannon-Hő Kft."/>
        <s v="SEDIBEX"/>
        <s v="PGE Górnictwo i Energetyka Konwencjonalna S.A Oddział Elektrociepłownia Rzeszów - Instalacja Termicznego Przekształcanie z Odzyskiem Energii ITPOE"/>
        <s v="SNC COGE VITRY"/>
        <s v="Duna-Dráva Cement Kft."/>
        <s v="Holcim (Schweiz) AG"/>
        <s v="Slovalco, a.s."/>
        <s v="OFZ a.s. Istebné - prevádzka Široká"/>
        <s v="FABRICA DE VILLALUENGA (LAFARGEHOLCIM ESPAÑA SAU)"/>
        <s v="LAFARGE HOLCIM"/>
        <s v="SOCIÉTÉ DES CIMENTS CALCIA"/>
        <s v="CEMENTERIA DI AUGUSTA"/>
        <s v="Zakład Wytwarzania Bielsko-Biała EC2"/>
        <s v="Jura Cement Fabriken"/>
        <s v="ENEL PRODUZIONE SPA - CENTRALE &quot;ARCHIMEDE&quot; DI PRIOLO GARGALLO"/>
        <s v="PLANTA DE TRATAMIENTO INTEGRAL DEL ALPERUJO EN LINARES"/>
        <s v="Budapesti Erőmű Zrt."/>
        <s v="Dbm Zrt."/>
        <s v="ELECTRABEL CENTRALE HERDERSBRUG"/>
        <s v="Bakonyi Bioenergia Kft."/>
        <s v="Rio Tinto á Íslandi hf."/>
        <s v="CEMEX Polska Sp. z o.o. - Zakład Cementownia Rudniki"/>
        <s v="ACCIONA ENERGÍA, S.A. (PLANTA DE BIOMASA DE SANGÜESA)"/>
        <s v="COLACEM S.P.A. - CEMENTERIA DI RASSINA"/>
        <s v="CEMEX ESPAÑA-ALICANTE (CEMENTO BLANCO)"/>
        <s v="Enel Produzione S.p.A. - IMPIANTO TERMOELETTRICO DI PIETRAFITTA"/>
        <s v="Cement company Zlatna Panega Ciment"/>
        <s v="Heidelberg Materials Cement Sverige AB"/>
        <s v="Italcementi di  Matera"/>
        <s v="Elektrociepłownia Stalowa Wola S.A."/>
        <s v="Leube Zement GmbH"/>
        <s v="Carmeuse Slovakia, s.r.o. - Závod Vápenka Košice"/>
        <s v="PGE Górnictwo i Energetyka Konwencjonalna S.A. - Oddział Elektrociepłownia Kielce"/>
        <s v="Fábrica Maceira-Liz (CI)"/>
        <s v="EQIOM"/>
        <s v="INDUSTRIA CEMENTI GIOVANNI ROSSI S.P.A."/>
        <s v="Tvk-Erőmű Kft."/>
        <s v="AB „Roquette Amilina“"/>
        <s v="SARP INDUSTRIES"/>
        <s v="CENTRAL TÉRMICA DA VITÓRIA (CI)"/>
        <s v="Žilinská teplárenská, a.s."/>
        <s v="CCC CAMPO DE GIBRALTAR GRUPO 10"/>
        <s v="Kunda Nordic Tsement AS, Kunda tsemenditehas"/>
        <s v="Dyckerhoff GmbH Werksgruppe Nord-Werk Geseke-"/>
        <s v="Elkem Rana AS"/>
        <s v="PPC S.A. SOUTHERN RHODES TPP"/>
        <s v="ERZ KHKW Josefstrasse"/>
        <s v="LHOIST INDUSTRIE - Site de On"/>
        <s v="TRIMET"/>
        <s v="FLUXYS - LNG TERMINAL"/>
        <s v="FÁBRICA DE MONTCADA (LAFARGEHOLCIM ESPAÑA SAU)"/>
        <s v="PGE Toruń Spółka Akcyjna - Elektrociepłownia EC1"/>
        <s v="CENTRAL TÉRMICA  DE LA PEREDA"/>
        <s v="SOLVAY CHIMICA ITALIA S.P.A. ROSIGNANO"/>
        <s v="CARRIERES ET FOURS A CHAUX DE DUGNY"/>
        <s v="MEGATEM EC-LUBLIN Sp. z o.o."/>
        <s v="C.D.E. EIVISSA"/>
        <s v="Finnfjord"/>
        <s v="Stabilimento di Monselice"/>
        <s v="Stabilimento di Portovesme"/>
        <s v="VICAT (USINE DE XEUILLEY)"/>
        <s v="SOCIETE DES FOURS A CHAUX DE SORCY"/>
        <s v="EDF SEI - PK"/>
        <s v="TARANIS DU ROUVRAY"/>
        <s v="SIA &quot;Gren Latvija&quot;, biokurināmā koģenerācijas stacija"/>
        <s v="BUKÓZA ENERGO a.s. - Výroba energií"/>
        <s v="Huta Miedzi &quot;Legnica&quot;"/>
        <s v="VOTORANTIM CEMENTOS ESPAÑA, (TORAL DE LOS VADOS)"/>
        <s v="EL-TO Zagreb"/>
        <s v="Axpo Tegra AG"/>
        <s v="CEMENTERIA DI PEDEROBBA"/>
        <s v="S.A.T. NUFRI 1956"/>
        <s v="Przedsiębiorstwo Energetyki Cieplnej - Gliwice Sp. z o.o."/>
        <s v="EVN Wärmekraftwerke GmbH"/>
        <s v="LEMONA INDUSTRIAL, S.A. (LEMONA INDUSTRIAL, S.A)"/>
        <s v="Italcementi di Colleferro"/>
        <s v="AZUCARERA DE JEREZ - CENTRO DE GUADALETE"/>
        <s v="YARA ITALIA SPA - STABILIMENTO DI FERRARA"/>
        <s v="Ragusa Cementi"/>
        <s v="CRISTAL UNION ÉTABLISSEMENT CRISTANOL"/>
        <s v="FERROPEM"/>
        <s v="SMURFIT KAPPA CARTIERA DI VERZUOLO SRL"/>
        <s v="Holcim (Suisse) SA"/>
        <s v="BIOENERGÍA SANTAMARÍA, S.A."/>
        <s v="COMPAÑÍA ENERGÉTICA DE PATA DE MULO, S.L."/>
        <s v="Cementeria di Fanna"/>
        <s v="LUSICAL, Companhia Lusitana de Cal  SA (CI)"/>
        <s v="PPC S.A. AES KOS"/>
        <s v="CRH (Slovensko) a.s. Cementáreň Turňa nad Bodvou"/>
        <s v="Lhoist Bukowa Sp.zo.o."/>
        <s v="Bunge Zrt."/>
        <s v="FABRICA DE MATAPORQUERA (CEMENTOS ALFA)"/>
        <s v="PPC S.A. - AES THIRA"/>
        <s v="Zakład Wytwarzania Bielsko-Biała  EC1"/>
        <s v="Papierfabrik A. Jass GmbH &amp; Co.KG"/>
        <s v="LYONDELL BASELL SERVICES FRANCE SAS"/>
        <s v="Pannongreen Kft."/>
        <s v="TotalEnergies Refinery Antwerp"/>
        <s v="Vigier Cement AG"/>
        <s v="Cogeneration-Kraftwerke Management Oberösterreich GmbH"/>
        <s v="CIMSA CEMENTOS ESPAÑA, SAU"/>
        <s v="FERROGLOBE MANGANÈSE FRANCE SAS"/>
        <s v="Tatabánya Erőmű Kft."/>
        <s v="COLACEM S.P.A. - CEMENTERIA DI GHIGIANO"/>
        <s v="Zakład Wytwarzania Blachownia"/>
        <s v="CENTRAL TÉRMICA CICLO COMBINADO SAN ROQUE GRUPO 2"/>
        <s v="WIEN ENERGIE Bundesforste Biomasse Kraftwerk GmbH &amp; Co KG"/>
        <s v="MICHELIN POLSKA  SPÓŁKA  AKCYJNA"/>
        <s v="SMZ, a.s. Jelšava - Výroba magnezitového slinku v rotačných šachtových peciach"/>
        <s v="Ciepłownia centralna K-173 w Opolu"/>
        <s v="EDF TAC"/>
        <s v="ELECTRICITÉ DE MAYOTTE - EDM"/>
        <s v="UMICORE - HOBOKEN"/>
        <s v="FERROPEM GROUPE FERROATLANTICA"/>
        <s v="Norcem Kjøpsvik"/>
        <s v="SPER S.p.a. Enna"/>
        <s v="Italcementi di Isola delle Femmine"/>
        <s v="Proizvodnja cementa Koromačno"/>
        <s v="CIMENTS CALCIA-EPC FRANCE"/>
        <s v="ELECTRABEL CENTRALE VILVOORDE"/>
        <s v="EDF SEI"/>
        <s v="PPC Energy a.s. - 58 MW zdroj pre PPC Energy, a.s."/>
        <s v="CEMENTERIA DI BARLETTA"/>
        <s v="ALTO GARDA POWER S.R.L."/>
        <s v="CABOT CARBONE SAS"/>
        <s v="Central Termoelétrica do Caldeirão"/>
        <s v="COLACEM S.P.A. - CEMENTERIA DI GALATINA"/>
        <s v="FÁBRICA DE NIEBLA (SOCIEDAD DE CEMENTOS Y MATERIALES DE CONSTRUCCIÓN DE ANDALUCÍA, S.A.)"/>
        <s v="CEMENTOS PORTLAND VALDERRIVAS, S.A.-FABRICA CEMENTO"/>
        <s v="AS &quot;Latvenergo&quot;, Rīgas TEC-1"/>
        <s v="Padeswood Cement Works"/>
        <s v="Teplárna Komořany"/>
        <s v="FIGENAL"/>
        <s v="Cementeria Costantinopoli srl"/>
        <s v="ENERGÍA DE LA LOMA, S.A."/>
        <s v="ENERGIA PULITA SPA"/>
        <s v="CENTRAL DIESEL LOS GUINCHOS"/>
        <s v="CABOT ITALIANA S.P.A."/>
        <s v="KOGEBAN"/>
        <s v="Cemmac a.s. - Výroba cementu"/>
        <s v="ENERGYWORKS VITORIA"/>
        <s v="Energie Steiermark Wärme GmbH"/>
        <s v="PPC S.A. AES LESVOS"/>
        <s v="Zakłady Górniczo-Hutnicze &quot;Bolesław&quot; S.A."/>
        <s v="BIOLACQ ENERGIES"/>
        <s v="CENTRAL TÉRMICA JINÁMAR"/>
        <s v="SOLVAY QUÍMICA, S.L. (FÁBRICA DE TORRELAVEGA)"/>
        <s v="COGENERACIÓN DE LUBRISUR (DETISA)"/>
        <s v="Stabilimento di Tavernola Bergamasca"/>
        <s v="Birla Carbon Hungary Kft."/>
        <s v="ENGIE SERVIZI S.p.A"/>
        <s v="UEM"/>
        <s v="EQIOM (CIMENTERIE)"/>
        <s v="SAN ROQUE GRUPO 1"/>
        <s v="CEMEX ESPAÑA OPERACIONES, S.L.U. - PLANTA DE MORATA"/>
        <s v="CEMEX ESPAÑA OPERACIONES, S.L.U."/>
        <s v="IMPIANTO A BIOMASSE AGRITRE"/>
        <s v="CARMEUSE - Site de Moha"/>
        <s v="Energetyka sp. z o.o., Elektrociepłownia E-2 Polkowice"/>
        <s v="Tartak &quot;OLCZYK&quot; Spółka z ograniczoną odpowiedzialnośćią"/>
        <s v="UNICALCE S.P.A. - STABILIMENTO DI VAL BREMBILLA"/>
        <s v="ENERGYWORKS VITVALL S.L."/>
        <s v="COGENERACIÓN REPSOL QUÍMICA"/>
        <s v="CTCC SOTO DE RIBERA"/>
        <s v="IREN ENERGIA SpA - Polo Energetico Hiroshima"/>
        <s v="HOLCIM HAUT-RHIN"/>
        <s v="REPSOL PETRÓLEO, S.A. - C.I. CARTAGENA"/>
        <s v="Elektrociepłownia Łąkowa"/>
        <s v="Atlantic Islands Electricity  (Madeira) S.A. (CI)"/>
        <s v="TEPLÁREŇ Považská Bystrica, s.r.o."/>
        <s v="Centro de Produção de Loulé (CI)"/>
        <s v="Kirchdorfer Zementwerk Hofmann Gesellschaft m.b.H."/>
        <s v="Refinaria de Sines (CI)"/>
        <s v="Preem  AB Preemraff Göteborg"/>
        <s v="Nordkalk / Köping"/>
        <s v="ALFA ACCIAI SPA"/>
        <s v="COGENERATION BIOMASSE ESTREES - CBEM"/>
        <s v="UNITA' PRODUTTIVA DI MONTICHIARI"/>
        <s v="ELECTRABEL WKK COVESTRO"/>
        <s v="Trzuskawica Spółka Akcyjna Zakład Kujawy"/>
        <s v="CENTRAL DIESEL CEUTA"/>
        <s v="PLANTA DE GENERACIÓN DE ENERGÍA ELÉCTRICA, AGUA CALIENTE Y VAPOR"/>
        <s v="CENTRAL DIESEL DE MELILLA"/>
        <s v="Centrale compressione gas di Messina"/>
        <s v="CEMENTOS PORTLAND VALDERRIVAS"/>
        <s v="Italcementi di Samatzai"/>
        <s v="COGENERACIÓN GETESA (FÁBRICA DE GUADARRANQUE)"/>
        <s v="Schretter &amp; Cie GmbH &amp; Co KG"/>
        <s v="CALCIA (CIMENTS) (USINE)"/>
        <s v="SOCIEDAD FINANCIERA Y MINERA, S.A. (CEMENTOS REZOLA ARRIGORRIAGA)"/>
        <s v="Solvay Specialty Polymers Italy S.p.A. - Stabilimento di Spinetta Marengo"/>
        <s v="TECNOPARCO VALBASENTO S.P.A."/>
        <s v="AB &quot;Panevėžio energija&quot;, Panevėžio RK-1 (Pušaloto rajoninė katilinė)"/>
        <s v="UAB &quot;Idex Paneriškės&quot;"/>
        <s v="SLOVINTEGRA ENERGY, a.s. - PPC 80 Mwe"/>
        <s v="SWISS KRONO"/>
        <s v="GEPESA (GEGSA I Y II)"/>
        <s v="BIOENERGÉTICA EGABRENSE, S.A."/>
        <s v="LUMINUS - Centrale d'Angleur"/>
        <s v="ENERGÍAS DE LA MANCHA S.A. (ENEMANSA)"/>
        <s v="ANDALUZA DE CALES, S.A."/>
        <s v="TIOXIDE EUROPE, S.L."/>
        <s v="Ciepłownia Południe"/>
        <s v="COMPLEJO DE PALENCIANA (OLEÍCOLA EL TEJAR NUESTRA SEÑORA DE ARACELI, S.C.A.)"/>
        <s v="Air Liquide Italia Produzione - Impianto Produzione Idrogeno Melilli"/>
        <s v="ELECTRICITE DE FRANCE ST MARTIN"/>
        <s v="Martinská teplárenská, a.s."/>
        <s v="ENGIE CASTELNOU, S.L.U."/>
        <s v="Centrale di Cogenerazione"/>
        <s v="CEMENTOS REZOLA AÑORGA"/>
        <s v="CIFC"/>
        <s v="MOTOR OIL (HELLAS) - CORINTHOS REFINERIES S.A."/>
        <s v="LHOIST FRANCE OUEST"/>
        <s v="STABILIMENTO DI PONTE DELLA PRIULA"/>
        <s v="OMV Downstream GmbH"/>
        <s v="MOSTOS VINOS Y ALCOHOLES S.A. (MOVIALSA)"/>
        <s v="HALYPS BUILDING MATERIALS S.A."/>
        <s v="COGENERACIÓN MOTRIL, S.A."/>
        <s v="DROME ENERGIE SERVICES"/>
        <s v="SLOVNAFT, a.s."/>
        <s v="Ciepłownia Kawęczyn"/>
        <s v="Raffineria di Milazzo S.C.p.A."/>
        <s v="Columbian Carbon Europa S.r.l."/>
        <s v="Centrale di Cogenerazione di Malpensa"/>
        <s v="NOVACARB-NOVACOGE"/>
        <s v="ENERGYWORKS ARANDA, S.L."/>
        <s v="Melton Ross Lime Works EPR/BL8805IZ"/>
        <s v="Ciepłownia MPEC"/>
        <s v="DALKIA BIOMASSE RENNES"/>
        <s v="Elektrociepłownia Pruszków"/>
        <s v="MVM Balance Zrt."/>
        <s v="ELVALHALCOR S.A. - ALUMINIUM ROLLING DIVISION"/>
        <s v="Centrale compressione gas di Montesano sulla Marcellana"/>
        <s v="PETROLEOS DEL NORTE, PETRONOR, S.A. (PETRONOR)"/>
        <s v="CONSTELLIUM NEUF BRISACH"/>
        <s v="Miejskie Przedsiębiorstwo Energetyki Cieplnej Spółka z o.o."/>
        <s v="IBERDROLA GENERACION TERMICA, S.L."/>
        <s v="LOTOS ASfalt Sp. z o.o."/>
        <s v="Hera S.p.A. - Centrale di cogenerazione a ciclo combinato da 80 MW"/>
        <s v="DOLOMITAS DEL NORTE,S.A"/>
        <s v="Sonatrach Raffineria Italiana-Raffineria di Augusta"/>
        <s v="OSIRIS GIE"/>
        <s v="PPC S.A. AES CHIOS"/>
        <s v="UAB ,,Litesko“ filialo „Alytaus energija“, Alytus district boiler"/>
        <s v="Energetyka sp. z o.o. w Lubinie, Elektrociepłownia E-1 Lubin"/>
        <s v="PLANTA DE DESTILACIÓN DE ALCOHOL"/>
        <s v="STABILIMENTO DI SAN PELLEGRINO"/>
        <s v="Zakłady Wapiennicze Lhoist S.A. Jednostka Produkcyjna w Górażdżach-Zakład Nowy"/>
        <s v="NESTLE ESPAÑA (FÀBRICA DE GIRONA)"/>
        <s v="KRONOS EUROPE"/>
        <s v="ITALSACCI S.p.A."/>
        <s v="EXXONMOBIL PETROLEUM &amp; CHEMICAL - ESSO RAFFINADERIJ"/>
        <s v="CAL.ME. Spa"/>
        <s v="BIRLA CARBON SPAIN SL"/>
        <s v="IMERYS ALUMINATES SA"/>
        <s v="CALGOV, S.A."/>
        <s v="XALLAS ELECTRICIDAD Y ALEACIONES, SAU-DUMBRIA"/>
        <s v="TOTALENERGIES RAFFINAGE FRANCE"/>
        <s v="STABILIMENTO DI CERAINO DI DOLCE'"/>
        <s v="CEMENTERIA DI SINISCOLA"/>
        <s v="IMERYS (EX KERNEOS)"/>
        <s v="HELLENIC PETROLEUM S.A. –SOUTH REFINERIES COMPLEX – ELEFSIS INDUSTRIAL FACILITIES"/>
        <s v="ESSO RAFFINAGE"/>
        <s v="Zaklady Wapiennicze Lhoist S.A. Jednostka Produkcyjna w Częstochowie"/>
        <s v="Juracime SA"/>
        <s v="RAFFINERIA DI SANNAZZARO DE' BURGONDI"/>
        <s v="Proizvodnja aluminatnog cementa"/>
        <s v="Dyckerhoff GmbH Werk Amöneburg"/>
        <s v="Aberthaw Works"/>
        <s v="UNICALCE S.P.A. - STABILIMENTO DI BERNEZZO"/>
        <s v="GRUPO FERROATLÁNTICA, SAU"/>
        <s v="HELLENIC PETROLEUM S.A. - INDUSTRIAL DIVISION OF ASPROPYRGOS"/>
        <s v="REFINERÍA GIBRALTAR"/>
        <s v="Teplárna Československé armády"/>
        <s v="Teplárna Karviná"/>
        <s v="AB &quot;ORLEN Lietuva&quot;"/>
        <s v="MOL Nyrt."/>
        <s v="Teplárna Otrokovice"/>
        <s v="REFINERÍA LA RÁBIDA"/>
        <s v="Raffineria ISAB Impianti SUD"/>
        <s v="REPSOL PETROLEO S.A."/>
        <s v="Carmeuse Slovakia, s.r.o. - Závod Vápenka Slavec, lom Gombasek (Slavec)"/>
        <s v="ETABLISSEMENTS BOCAHUT SAS."/>
        <s v="CHAUX DE PROVENCE SACAM"/>
        <s v="DOLVAP s.r.o. - Výroba vápna"/>
        <s v="Kimberly Clark GmbH"/>
        <s v="BP ENERGÍA ESPAÑA, S.A."/>
        <s v="ProRheno AG"/>
        <s v="PETROINEOS MANUFACTURING FRANCE SAS"/>
        <s v="Rönnskärsverken"/>
        <s v="DS Smith Paper Deutschland GmbH, Werk Aschaffenburg"/>
        <s v="RAFFINERIA SARPOM DI TRECATE"/>
        <s v="REPSOL COMPLEJO INDUSTRIAL A CORUÑA"/>
        <s v="RAFFINERIA DI TARANTO"/>
        <s v="PCC Rokita S.A."/>
        <s v="Herningværket"/>
        <s v="Rafinerija nafte Rijeka"/>
        <s v="ESSO RAFFINAGE SAS"/>
        <s v="Raffineria ISAB Impianti NORD"/>
        <s v="ARCELORMITTAL MÉDITERRANÉE"/>
        <s v="U.S.Steel s.r.o."/>
        <s v="Teplárna Přerov"/>
        <s v="Eni S.p.A. Raffineria di Livorno"/>
        <s v="ARCELORMITTAL ESPAÑA - PLANTA SIDERÚRGICA DE AVILÉS Y GIJÓN"/>
        <s v="STABILIMENTO DI TARANTO"/>
        <s v="Raffineria di Venezia"/>
        <s v="Objekti prerade plina Molve"/>
        <s v=" ,,Lietuvos energijos gamyba“ AB, Elektrėnų elektrinė"/>
        <s v="Varo Refining Cressier SA / Raffinerie de Cressier"/>
        <s v="HELLENIC PETROLEUM S.A. - THESSALONIKI INDUSTRIAL COMPLEX"/>
        <s v="Iplom S.p.A - Raffineria di Busalla"/>
        <s v="ARCELORMITTAL BELGIUM - GENT"/>
        <s v="LKAB - Svappavaaragruvan Leveäniemi"/>
        <s v="Höganäs Sweden AB"/>
        <s v="Aberthaw Power Station"/>
        <s v="Cremo SA"/>
        <s v="Constellium Valais SA"/>
        <s v="voestalpine Stahl Donawitz GmbH"/>
        <s v="Estavayer Lait SA"/>
        <s v="RAFFINERIA DI GELA SPA"/>
        <s v="INA d.d. Istr. i proizv. NiP, Proizvodna jedinica-procesi, Objekti frakcionacije Ivanić Grad"/>
        <s v="OMV Austria Exploration &amp; Production GmbH"/>
        <s v="SARA RAFFINERIE"/>
        <s v="Cremo SA / Werk Thun"/>
        <s v="Molta ehf."/>
        <s v="Cremo SA / Usine de Lucens"/>
        <s v="vonRoll casting (rondez) sa"/>
        <s v="SAINT GOBAIN PAM"/>
        <s v="Tenaris Dalmine - Stabilimento di Dalmine"/>
        <s v="ACCIAI SPECIALI TERNI S.P.A. - stabilimento di TERNI"/>
        <s v="Huta Łaziska S.A. w upadłości układowej"/>
        <s v="ACCIAIERIE BERTOLI SAFAU SPA"/>
        <s v="ARCELORMITTAL ATLANTIQUE ET LORRAINE"/>
        <s v="ArcelorMittal Belval &amp; Differdange S.A."/>
        <s v="ACERINOX EUROPA S.A.U."/>
        <s v="FERRIERE NORD STABILIMENTO DI OSOPPO"/>
        <s v="TAMEH POLSKA sp. z o. o. - Zakład Wytwarzania Kraków (Elektrociepłownia)"/>
        <s v="APERAM STAINLESS BELGIUM"/>
        <s v="APERAM GENK"/>
        <s v="COMPAÑIA ESPAÑOLA DE LAMINACION (CELSA 1-4)"/>
        <s v="Alcoa Fjarðaál"/>
        <s v="SN Seixal - Siderurgia Nacional SA (CI)"/>
        <s v="Elkem Ísland ehf."/>
        <s v="Moravskoslezské cukrovary s.r.o., o.z. Opava"/>
        <s v="Chemische Fabrik Schärer &amp; Schläpfer AG"/>
        <s v="DGS Druckguss Systeme AG"/>
        <s v="BAYER AGRICULTURE"/>
        <s v="BOREALIS KALLO"/>
        <s v="TotalEnergies Petrochemicals Feluy SA"/>
        <s v="Neochim Company for Production of &#10;    Inorganic and organic chemicals"/>
        <s v="INEOS POLYMERS SARRALBE SAS"/>
        <s v="VYNOVA Wilhelmshaven GmbH"/>
        <s v="Kelheim Fibres GmbH"/>
        <s v="DOW CHEMICAL IBERICA (DOW NORD)"/>
        <s v="The Lycra Company"/>
        <s v="Cement company Devnia cement"/>
        <s v="Aalborg Portland A/S"/>
        <s v="Finnsementti Oy, Parainen / Sementtitehdas"/>
        <s v="Finnsementti Oy, Lappeenrannan sementtitehdas"/>
        <s v="CEMEX Zement GmbH"/>
        <s v="Holcim (Deutschland) GmbH"/>
        <s v="HeidelbergCement AG, Zementwerk Burglengenfeld"/>
        <s v="Spenner GmbH &amp; Co. KG"/>
        <s v="SCHWENK Zement GmbH &amp; Co. KG, Werk Karlstadt"/>
        <s v="HeidelbergCement AG, Zementwerk Lengfurt"/>
        <s v="Zementwerk Rohrdorf"/>
        <s v="HeidelbergCement AG Zementwerk Geseke (Milke)"/>
        <s v="Holcim (Deutschland) GmbH Werk Höver"/>
        <s v="Märker Zement GmbH"/>
        <s v="HeidelbergCement AG Zementwerk Ennigerloh"/>
        <s v="Holcim WestZement GmbH Werk: Kollenbach"/>
        <s v="HeidelbergCement AG Zementwerke Hannover"/>
        <s v="thomas zement GmbH &amp; Co. KG Werk Erwitte"/>
        <s v="Solnhofer Portland-Zementwerke GmbH &amp; Co. KG"/>
        <s v="Phoenix Zementwerke Krogbeumker GmbH &amp; Co. KG"/>
        <s v="Heidelberg Cement AG - Zementwerk Paderborn"/>
        <s v="ZKW Otterbein Zementwerk"/>
        <s v="Portlandzementwerk Wotan H. Schneider KG"/>
        <s v="Irish Cement Limited (Platin)"/>
        <s v="Irish Cement Limited (Limerick)"/>
        <s v="Breedon Cement Ireland Limited"/>
        <s v="HOLCIM  (Romania) SA - Ciment Alesd"/>
        <s v="ROMCIM SA - PUNCT DE LUCRU MEDGIDIA"/>
        <s v="SC CRH CIMENT (ROMANIA) SA."/>
        <s v="HEIDELBERGCEMENT ROMANIA SA -Sucursala Fieni"/>
        <s v="HEIDELBERGCEMENT ROMANIA SA"/>
        <s v="HEIDELBERGCEMENT ROMANIA SA - FABRICA DE CIMENT CHISCADAGA"/>
        <s v="Dunbar Works, East Lothian"/>
        <s v="Lafarge Tarmac Cement &amp; Lime Ltd"/>
        <s v="Leca Danmark A/S"/>
        <s v="ArcelorMittal Poland S.A. - Oddział Kraków"/>
        <s v="AZULMED, S.L.U."/>
        <s v="TAU PORCELANICO, S.L."/>
        <s v="CERÁMICA NULENSE, S.A."/>
        <s v="ARCILLAS ATOMIZADAS"/>
        <s v="Keller AG Ziegeleien / Werk Paradies"/>
        <s v="Tonwerke Keller AG / Werk Frick"/>
        <s v="RWE Power AG-Fabrik Fortuna Nord"/>
        <s v="PGE Górnictwo i Energetyka Konwencjonalna S.A. - Oddział Elektrowni Dolna Odra - Elektrownia Dolna Odra"/>
        <s v="Veolia Energia Poznań ZEC  Spółka Akcyjna EC II Karolin"/>
        <s v="TRZUSKAWICA S.A."/>
        <s v="PGE Górnictwo i Energetyka Konwencjonalna S.A. - Oddział Zespół Elektrowni Dolna Odra -  Ektrownia Szczecin"/>
        <s v="Koksovna Svoboda"/>
        <s v="thyssenkrupp Steel Europe AG Werk Kokerei Schwelgern"/>
        <s v="ZKS - Zentralkokerei Saar GmbH"/>
        <s v="ArcelorMittal Bremen GmbH Kokerei Prosper"/>
        <s v="ISD Kokszoló Kft."/>
        <s v="ITALIANA COKE SRL"/>
        <s v="KOKSOWNIA PRZYJAŹŃ"/>
        <s v="ARCELORMITTAL POLAND SPÓŁKA AKCYJNA ODDZIAŁ W ZDZIESZOWICACH"/>
        <s v="KOKSOWNIA RADLIN"/>
        <s v="Synthesia a. s."/>
        <s v="NLMK DanSteel A/S"/>
        <s v="ARCELORMITTAL FRANCE DUNKERQUE"/>
        <s v="ArcelorMittal Bremen GmbH"/>
        <s v="AG der Dillinger Hüttenwerke"/>
        <s v="ArcelorMittal Bremen GmbH / BREMA Walzwerk GmbH"/>
        <s v="F ritz Winter Eisengießerei GmbH &amp; Co. KG"/>
        <s v="thyssenkrupp Steel Europe AG Werk Bochum-Höntrop"/>
        <s v="CMC Poland Sp. z o.o."/>
        <s v="SSAB EMEA AB"/>
        <s v="Stahl Gerlafingen AG"/>
        <s v="Schmiedewerk Stooss AG"/>
        <s v="Proizvodnja gnojiva"/>
        <s v="Lovochemie, a.s., Lovosice"/>
        <s v="BOREALIS PEC RHIN"/>
        <s v="NEW KARVALI FERTILISERS  S.A."/>
        <s v="Nitrogénművek Zrt."/>
        <s v="AB &quot;Achema&quot;"/>
        <s v="YARA Sluiskil BV"/>
        <s v="Grupa Azoty Zakłady Azotowe &quot;Puławy&quot; S.A."/>
        <s v="SC AZOMURES SA"/>
        <s v="FERTIBERIA"/>
        <s v="FÁBRICA DE PALOS (FERTIBERIA, S.A.)"/>
        <s v="Ince Fertiliser Manufacturing Site EPR/JP3837KT"/>
        <s v="Yara Norge, Yara Porsgrunn"/>
        <s v="Amilum BG EAD"/>
        <s v="Nordic Sugar A/S Nykøbing"/>
        <s v="Nordic Sugar A/S  Nakskov"/>
        <s v="CARLSBERG SUPPLY COMPANY DANMARK A/S, TAP ØL, TERM"/>
        <s v="Royal Unibrew A/S, Faxe Bryggeri"/>
        <s v="Nordzucker AG Werk Uelzen"/>
        <s v="Cargill Deutschland GmbH"/>
        <s v="Nordzucker AG Werk Nordstemmen"/>
        <s v="Südzucker AG, Werk Ochsenfurt"/>
        <s v="Südzucker AG Werk Offstein"/>
        <s v="Pfeifer &amp; Langen GmbH &amp; Co. KG Werk Jülich"/>
        <s v="Südzucker AG, Werk Plattling"/>
        <s v="The Girvan Distillery, Grangeston"/>
        <s v="Fortum Waste Solutions A/S"/>
        <s v="Faxe Kalks Modtageplads for affald fra ovnanlægget"/>
        <s v="Fortum Waste Solutions Oy, Riihimäen toimipiste"/>
        <s v="Pfleiderer Baruth GmbH"/>
        <s v="EGK Entsorgungsgesellschaft Krefeld GmbH &amp; Co. KG"/>
        <s v="PreZero Energy Zorbau GmbH"/>
        <s v="B+S Papenburg Energie GmbH Kraftwerk"/>
        <s v="Sonae Arauco Beeskow GmbH"/>
        <s v="BKF - Biomasse-Kraftwerk Fechenheim GmbH"/>
        <s v="B+T Horn Energie GmbH"/>
        <s v="Biomassekraftwerk Lünen GmbH"/>
        <s v="Biomasse Heizkraftwerk Siegerland GmbH &amp; Co. KG"/>
        <s v="GSB Sonderabfall-Entsorgung Bayern GmbH - Ebenhausen"/>
        <s v="EBE Holzheizkraftwerk GmbH"/>
        <s v="Statkraft Markets GmbH (Biomasseheizkraftwerk Emden)"/>
        <s v="BEB Bioenergie Baden GmbH"/>
        <s v="Statkraft Markets GmbH (Biomasseheizkraftwerk)"/>
        <s v="RBB RMHKW Böblingen"/>
        <s v="Biomasseheizkraftwerk Bergkamen"/>
        <s v="AVG Abfall-Verwertungs-Gesellschaft mbH SAV und CPA"/>
        <s v="Biomasseheizkraftwerk"/>
        <s v="HIM GmbH"/>
        <s v="Remondis Production GmbH"/>
        <s v="Danpower GmbH; Biomasse-HKW Elsterwerda"/>
        <s v="OIE AG"/>
        <s v="EMMTEC Services BV"/>
        <s v="Afvalstoffen Terminal Moerdijk BV (ATM)"/>
        <s v="Intera South West Energy Recovery Facility"/>
        <s v="AIR LIQUIDE LARGE INDUSTRY"/>
        <s v="Linde Gas Oy Ab, Kilpilahden vedyntuotantolaitos"/>
        <s v="YARA FRANCE"/>
        <s v="AIR LIQUIDE HYDROGENE"/>
        <s v="BOREALIS CHIMIE"/>
        <s v="AIR LIQUIDE FRANCE INDUSTRIE (ALFI)"/>
        <s v="LINDE FRANCE"/>
        <s v="YARA Brunsbüttel GmbH"/>
        <s v="Dow Deutschland Anlagenges. mbH Werk Stade"/>
        <s v="Linde Gas Produktionsgesellschaft mbH &amp; Co. KG"/>
        <s v="Linde Gas Produktionsgesellschaft mbH &amp; Co. KG / TOTAL"/>
        <s v="Covestro Deutschland AG"/>
        <s v="HYCO (LA POBLA DE MAFUMENT)"/>
        <s v="AIR LIQUIDE IBERICA DE GASES S.L.U."/>
        <s v="AIR LIQUIDE IBERICA DE GASES"/>
        <s v="Solvey sody Company for Production of &#10;    Inorganic  chemicals"/>
        <s v="PRECHEZA a.s."/>
        <s v="CS CABOT"/>
        <s v="Topsoe A/S"/>
        <s v="EMPG - EAA Großenkneten Erdgas-Aufbereitungsanlage"/>
        <s v="Aluminium Oxid Stade GmbH"/>
        <s v="KG Deutsche Gasrußwerke GmbH &amp; Co"/>
        <s v="Orion Engineered Carbons GmbH Werk Kalscheuren"/>
        <s v="Martinswerk GmbH"/>
        <s v="Venator Germany GmbH"/>
        <s v="LANXESS Deutschland GmbH CHEMPARK Krefeld-Uerdingen"/>
        <s v="Kandelium Barium Strontium GmbH &amp; Co. KG"/>
        <s v="CIECH Soda Deutschland GmbH &amp; Co. KG"/>
        <s v="Grace GmbH"/>
        <s v="KRONOS TITAN GmbH Werk Nordenham"/>
        <s v="Aughinish Alumina Limited"/>
        <s v="Air Liquide Industrie BV"/>
        <s v="Air Products HyCO 4 (Botlekweg)"/>
        <s v="Cabot B.V."/>
        <s v="Nobian Industrial Chemicals BV (Rotterdam)"/>
        <s v="Air Products Nederland BV (Botlek)"/>
        <s v="Billingham Fertiliser Works EPR/BX3287IK"/>
        <s v="Sellafield Site EPR/BM4317IX"/>
        <s v="BOC Hydrogen PLant"/>
        <s v="Greatham Works EPR/TP3532PK"/>
        <s v="Stallingborough  Titanium Dioxide Site"/>
        <s v="Equinor ASA avd.Tjeldbergodden Metanolfabrikk"/>
        <s v="Enefit Power AS, Enefit õlitööstus"/>
        <s v="VKG Oil AS, Kohtla-Järve Petroter põlevkiviõlitehas"/>
        <s v="SOBEGI LACQ"/>
        <s v="Terminale GNL Adriatico s.r.l."/>
        <s v="Polchar Sp. z o.o."/>
        <s v="Transitgas AG / Station Ruswil"/>
        <s v="Milford Haven Energy"/>
        <s v="ROCKWOOL Danmark A/S - Hobro"/>
        <s v="ROCKWOOL FRANCE SAS"/>
        <s v="ROCKWOOL Operations GmbH &amp; Co. KG"/>
        <s v="Rockwool B.V."/>
        <s v="Rockwool Polska Sp. z o.o. Zakład w Małkini"/>
        <s v="CERAMICAS TESANY SL - MONCOFA"/>
        <s v="AGC GLASS EUROPE - Site de Moustier"/>
        <s v="Trakia glass BG glass manufacturing company"/>
        <s v="Bi Ei Glas BG glass manufacturing company"/>
        <s v="Vetropack Straža d.d."/>
        <s v="Závod Řetenice, Servisní středisko"/>
        <s v="ARC FRANCE"/>
        <s v="AGC GLASS SEINGBOUSE (EX AGC INTERPANE GLASS FRANCE)"/>
        <s v="VERALLIA FRANCE"/>
        <s v="EUROGLAS"/>
        <s v="AGC FRANCE SAS"/>
        <s v="Pilkington Deutschland AG -Werk Gladbeck-"/>
        <s v="Pilkington Deutschland AG"/>
        <s v="Saint-Gobain Glass Deutschland GmbH"/>
        <s v="EUROGLAS AG"/>
        <s v="EUROGLAS GmbH"/>
        <s v="Schott-Rohrglas AG &amp; Co. KG, Standort Mitterteich, Werk 1"/>
        <s v="Saint Gobain Glass Flachglas Torgau GmbH"/>
        <s v="GUARDIAN Flachglas GmbH"/>
        <s v="Wiegand-Glashüttenwerke GmbH, Werk Steinbach a.Wald"/>
        <s v="Guardian Orosháza Korlátolt Felelősségű Társaság"/>
        <s v="SISECAM FLAT GLASS ITALY SRL"/>
        <s v="SISECAM FLAT GLASS SOUTH ITALY SRL"/>
        <s v="PILKINGTON ITALIA SPA"/>
        <s v="AGC FLAT GLASS ITALIA S.r.l. - SITO DI CUNEO"/>
        <s v="SAINT-GOBAIN GLASS ITALIA S.p.A."/>
        <s v="Pilkington Italia S.p.A."/>
        <s v="Guardian Luxguard I S.à r.l."/>
        <s v="O-I Netherlands BV (Leerdam)"/>
        <s v="Euroglas Polska Sp. z o.o."/>
        <s v="GUARDIAN CZĘSTOCHOWA Sp. z o. o."/>
        <s v="SAINT-GOBAIN INNOVATIVE MATERIALS POLSKA SPÓŁKA Z O.O. ODDZIAŁ GLASS"/>
        <s v="Zakład Produkcyjny Jarosław"/>
        <s v="Santos Barosa vidros SA (CI)"/>
        <s v="SC SAINT GOBAIN STICLA ROMANIA SRL"/>
        <s v="CRISNOVA VIDRIO, S.A."/>
        <s v="SAINT GOBAIN CRISTALERIA - FÁBRICA DE AVILÉS"/>
        <s v="BA GLASS SPAIN VILLAFRANCA"/>
        <s v="GUARDIAN INDUSTRIES NAVARRA, S.L.U."/>
        <s v="SAINT GOBAIN VICASA - AZUQUECA"/>
        <s v="AGC FLATGLASS IBERICA"/>
        <s v="Encirc UK"/>
        <s v="Ardagh Glass Barnsley"/>
        <s v="Alloa Glass Factory"/>
        <s v="Guardian Industries UK Ltd"/>
        <s v="Greengate  Works"/>
        <s v="Ardagh Glass Doncaster"/>
        <s v="IMERYS  / Graphite &amp; Carbon"/>
        <s v="Envases"/>
        <s v="DANAPAK FLEXIBLES A/S"/>
        <s v="Mercedes Benz AG, Werk Sindelfingen Mercedes-Benz Werk Sindelfingen"/>
        <s v="Opel Automobile GmbH"/>
        <s v="BMW Werk Dingolfing 02.40"/>
        <s v="Ahlstrom-Munksjö Italia S.p.A."/>
        <s v="Adreta Plásticos S.A. (CI)"/>
        <s v="EDERFIL, S.COOP. (EDERFIL S.COOP.)"/>
        <s v="CROWN Packaging UK PLC"/>
        <s v="ENERGETYKA Sp. z o.o., Wydział EC - 4 Legnica"/>
        <s v="Cukrownia Glinojeck"/>
        <s v="Terminal LNG"/>
        <s v="Elektrociepłownia Mielec Spółka z o.o."/>
        <s v="Przedsiębiorstwo Energetyczne w Siedlcach Sp. z o.o."/>
        <s v="LGESWA"/>
        <s v="Landfill of the Aksakovo municipality 3"/>
        <s v="Landfill of the Goce Delchev municipality"/>
        <s v="Landfill of the Razlog municipality"/>
        <s v="Landfill of thePetrich municipality"/>
        <s v="Landfill of the Sandanski municipality"/>
        <s v="Klintholm I/S"/>
        <s v="Skodsbøl Deponi"/>
        <s v="Horsens Deponeringsanlæg"/>
        <s v="Vestfyns Affalds og Deponeringsanlæg I/S §60 selsk"/>
        <s v="LA ROUTIERE DE L'EST PARISIEN-REP"/>
        <s v="Sanitary Landfill - 2nd Management Section of Western Attica - FYLI"/>
        <s v="ENERGA ELEKTROWNIE OSTROŁĘKA SPÓŁKA AKCYJNA"/>
        <s v="TAURON Wytwarzanie Spółka Akcyjna - Oddział Elektrownia Łaziska w Łaziskach Górnych"/>
        <s v="Mondi Świecie S.A."/>
        <s v="TAURON Wytwarzanie Spółka Akcyjna - Oddział Elektrownia Siersza w Trzebini"/>
        <s v="Grupa Azoty Zakłady Azotowe Kędzierzyn Spółka Akcyjna"/>
        <s v="ANWIL S.A."/>
        <s v="Huta Cynku &quot;Miasteczko Śląskie&quot; S.A."/>
        <s v="PGE Górnictwo i Energetyka Konwencjonalna S.A. - Oddział Elektrociepłownia Gorzów - EC Gorzów"/>
        <s v="Elektrociepłownia Elbląg"/>
        <s v="PGE Górnictwo i Energetyka Konwencjonalna S.A. - Oddział Elektrociepłownia Zgierz"/>
        <s v="Zakład Termicznego Przekształcania Odpadów Komunalnych"/>
        <s v="Unidade da Resiestrela (Aterro, TMB e Triagem) (CI)"/>
        <s v="Deponie Tännlimoos"/>
        <s v="BROGBOROUGH LANDFILL"/>
        <s v="Arpley Landfill"/>
        <s v="Poplars Landfill &amp; AD Facility"/>
        <s v="Faxe Kalk - Ovnanlæg"/>
        <s v="Rheinkalk GmbH"/>
        <s v="Kalkwerke H. Oetelshofen GmbH &amp; Co. KG"/>
        <s v="FELS-WERKE GmbH"/>
        <s v="SC CARMEUSE HOLDING SRL"/>
        <s v="NorFraKalk"/>
        <s v="RWE Power AG Veredlungsstandort Knapsacker Hügel"/>
        <s v="RWE Power AG-Fabrik Frechen"/>
        <s v="thyssenkrupp Steel Europe AG Werk Schwelgern"/>
        <s v="LKAB - Kirunagruvan"/>
        <s v="Port Talbot Steelworks Tata Steel"/>
        <s v="Lukoil Neftohim Burgas AD"/>
        <s v="Rafinérie Kralupy nad Vltavou"/>
        <s v="HS Pardubice"/>
        <s v="Kalundborg Refinery A/S"/>
        <s v="Crossbridge Energy Fredericia A/S"/>
        <s v="Neste Oyj, Porvoon jalostamo"/>
        <s v="PCK Raffinerie GmbH Schwedt"/>
        <s v="Ruhr Oel GmbH Werk Scholven"/>
        <s v="Shell Deutschland GmbH, Shell Energy and Chemicals Park Rheinland Süd"/>
        <s v="TOTALEnergies Raffinerie Mitteldeutschland GmbH (Raffinerie, BB01)"/>
        <s v="MIRO-Mineralölraffinerie Oberrhein GmbH &amp; Co.KG Werk 1"/>
        <s v="Shell Deutschland GmbH, Shell Energy and Chemicals Park Rheinland Nord"/>
        <s v="Ruhr Oel GmbH Werk Horst"/>
        <s v="BP Europa SE BP Lingen"/>
        <s v="BAYERNOIL Raffineriegesellschaft mbH, Betriebsteil Neustadt"/>
        <s v="Raffinerie Heide GmbH"/>
        <s v="OMV Deutschland Operations GmbH &amp; Co. KG, Werk Burghausen"/>
        <s v="Holborn Europa Raffinerie GmbH"/>
        <s v="MIRO-Mineralölraffinerie Oberrhein GmbH &amp; Co.KG Werk 2"/>
        <s v="Gunvor Raffinerie Ingolstadt GmbH"/>
        <s v="ROMONTA  Amsdorf"/>
        <s v="BAYERNOIL Raffineriegesellschaft mbH, Betriebsteil Vohburg"/>
        <s v="Irving Oil Whitegate Refinery Limited"/>
        <s v="Shell Nederland Raffinaderij BV"/>
        <s v="Esso Nederland BV (Raffinaderij Rotterdam)"/>
        <s v="BP Raffinaderij Rotterdam B.V."/>
        <s v="Zeeland Refinery N.V."/>
        <s v="Gunvor Energy Rotterdam B.V. (GPR)"/>
        <s v="VPR Energy B.V."/>
        <s v="OMV PETROM SA - Petrobrazi"/>
        <s v="SC ROMPETROL RAFINARE SA - punct de lucru Rompetrol Rafinare - Navodari"/>
        <s v="SC PETROTEL LUKOIL SA"/>
        <s v="Preemraff, Lysekil"/>
        <s v="St1 Refinery AB"/>
        <s v="NYNAS AB, Oljeraffinaderiet i Nynäshamn"/>
        <s v="Fawley Refinery EPR/BR6996IC"/>
        <s v="Pembroke Refinery"/>
        <s v="Stanlow Manufacturing Complex"/>
        <s v="Grangemouth Refinery"/>
        <s v="Barrow Gas Terminals EPR/BX1675IT"/>
        <s v="Kinneil Terminal, Forties Pipeline System"/>
        <s v="Shell North Sea Gas Terminal"/>
        <s v="Teesside Crude Oil Stabilisation Terminal"/>
        <s v="Dimlington Terminal"/>
        <s v="Flotta North Sea Terminal, Orkney"/>
        <s v="Central Bacton Gas Terminal EPR/PP3633LM"/>
        <s v="Equinor avd. Mongstad raffineri"/>
        <s v="Gassco Kårstø"/>
        <s v="Hammerfest LNG"/>
        <s v="Esso Norge, Slagentangen"/>
        <s v="Speira GmbH"/>
        <s v="Aurubis AG"/>
        <s v="TRIMET Aluminium SE, Niederlassung Hamburg"/>
        <s v="Aluminium Norf GmbH"/>
        <s v="TRIMET Aluminium SE"/>
        <s v="SC ALRO SA SLATINA - Sediu primar"/>
        <s v="Talum"/>
        <s v="Vargön Alloys AB"/>
        <s v="Kubikenborg Aluminium AB"/>
        <s v="Hydro Aluminium, Sunndal"/>
        <s v="Hydro Aluminium, Karmøy"/>
        <s v="ERAMET NORWAY AS, Sauda"/>
        <s v="Hydro Aluminium, Årdal Metallverk"/>
        <s v="Eramet Norway Kvinesdal"/>
        <s v="Eramet Norway AS, Porsgrunn"/>
        <s v="Alcoa aluminium, Lista"/>
        <s v="Sør-Norge Aluminium"/>
        <s v="Ferroglobe Mangan Norge AS"/>
        <s v="Hydro Aluminium, Høyanger"/>
        <s v="Scanfield ApS (tidligere navn Jordrens Køge ApS)"/>
        <s v="Städtische Werke, Kraftwerk Kassel"/>
        <s v="Acciaieria Arvedi S.p.A."/>
        <s v="TERMOVALORIZZATORE - PAIP"/>
        <s v="AVR Afvalverwerking BV (Duiven)"/>
        <s v="Eneco Bio Golden Raand C.V."/>
        <s v="Slibverwerking Noord-Brabant NV"/>
        <s v="TÉRMICA AFAP S.A."/>
        <s v="Allington Incinerator - EPR/BR4551IC/V010"/>
        <s v="GRECIAN MAGNESITE YERAKINI"/>
        <s v="Grupa Ożarów S.A."/>
        <s v="LAFARGE CEMENT S.A.; ODDZIAŁ W BIELAWACH"/>
        <s v="LAFARGE CEMENT S.A"/>
        <s v="Cementownia &quot;Odra&quot; S.A."/>
        <s v="Zakłady Wapiennicze Lhoist S.A. Jednostka Produkcyjna w Tarnowie Opolskim"/>
        <s v="VYNOVA BELGIUM"/>
        <s v="BorsodChem MCHZ, s.r.o."/>
        <s v="SOLVAY FRANCE"/>
        <s v="BUTACHIMIE"/>
        <s v="ADISSEO FRANCE SAS"/>
        <s v="KEM ONE FRANCE"/>
        <s v="SIMOREP &amp; CIE- CS MICHELIN"/>
        <s v="ARKEMA FRANCE SA"/>
        <s v="Röhm GmbH"/>
        <s v="Dow Olefinverbund GmbH, Werk Schkopau"/>
        <s v="UBE CORPORATION EUROPE S.A. UNIPERSONAL"/>
        <s v="Clariant Additives (Switzerland) AG"/>
        <s v="BASF ANTWERPEN"/>
        <s v="BIOWANZE"/>
        <s v="EVONIK ANTWERPEN"/>
        <s v="INEOS"/>
        <s v="ALCO BIO FUEL"/>
        <s v="INEOS PHENOL BELGIUM"/>
        <s v="Synthomer a.s."/>
        <s v="ALSACHIMIE"/>
        <s v="LYONDELL CHIMIE SAS"/>
        <s v="TEREOS STARCH &amp; SWEETENERS LBN"/>
        <s v="DRT VIELLE-SAINT-GIRONS"/>
        <s v="ARKEMA FRANCE"/>
        <s v="BASF SE"/>
        <s v="BASF Schwarzheide GmbH"/>
        <s v="Sasol Germany GmbH"/>
        <s v="ADM Hamburg Aktiengesellschaft Werk Hamburg"/>
        <s v="Pannonia Bio Zrt"/>
        <s v="Indorama Ventures Portugal PTA (Fábrica de PTA) (CI)"/>
        <s v="BIOCARBURANTES DE CASTILLA Y LEÓN S.A.-BABILAFUENTE"/>
        <s v="BIOETANOL GALICIA"/>
        <s v="FORESTAL DEL ATLANTICO, SA"/>
        <s v="TotalEnergies Olefins Antwerp"/>
        <s v="INEOS Aromatics Belgium"/>
        <s v="INEOS FELUY"/>
        <s v="INEOS STYROLUTION BELGIUM"/>
        <s v="ORLEN Unipetrol RPA"/>
        <s v="DEZA, a.s., Valašské Meziříčí"/>
        <s v="Borealis Polymers Oy, Petrokemian laitokset"/>
        <s v="NAPHTACHIMIE"/>
        <s v="EXXONMOBIL CHEMICAL FRANCE"/>
        <s v="VERSALIS FRANCE SAS DUNES"/>
        <s v="Dow Olefinverbund GmbH Werk Böhlen"/>
        <s v="Repsol Polimeros , Lda. (CI)"/>
        <s v="REPSOL QUIMICA"/>
        <s v="FÁBRICA DE PUENTE DE MAYORGA (CEPSA QUÍMICA)"/>
        <s v="FÁBRICA DE PALOS DE LA FRONTERA (CEPSA QUÍMICA)"/>
        <s v="ECOCARBURANTES ESPAÑOLES"/>
        <s v="Borealis Krackeranl."/>
        <s v="Lonza Solutions AG"/>
        <s v="DSM Nutritional Products AG - Werk Lalden / Zweigniederlassung Werk Lalden"/>
        <s v="Fife Ethylene Plant"/>
        <s v="INEOS Chemicals Grangemouth Ltd"/>
        <s v="Fife NGL Plant"/>
        <s v="NORETYL AS"/>
        <s v="Lenzing Aktiengesellschaft"/>
        <s v="INEOS Manufacturing Deutschland GmbH"/>
        <s v="Basell Polyolefine GmbH Werk Wesseling"/>
        <s v="Evonik Operations GmbH"/>
        <s v="Wacker Chemie AG, Werk Burghausen"/>
        <s v="Basell Polyolefine GmbH, Standort Münchsmünster"/>
        <s v="OQ Chemicals Produktion GmbH &amp; Co. KG Werk Ruhrchemie"/>
        <s v="Kronos Titan GmbH"/>
        <s v="Huntsman Products GmbH"/>
        <s v="Evonik Superabsorber GmbH"/>
        <s v="Versalis S.p.A."/>
        <s v="SASOL ITALY ENERGIA SRL"/>
        <s v="Stabilimento di P.to Marghera"/>
        <s v="Stabilimento di Mantova"/>
        <s v="Polynt spa"/>
        <s v="STABILIMENTO DI SCANZOROSCIATE"/>
        <s v="Dow Benelux BV (Hoek)"/>
        <s v="Chemelot Site Permit BV"/>
        <s v="Shell Nederland Chemie BV (Moerdijk)"/>
        <s v="SABIC Innovative Plastics BV"/>
        <s v="Lyondell Chemical Nederland Ltd."/>
        <s v="Synthos Dwory 7 spółka z ograniczoną odpowiedzialnością spółka jawna"/>
        <s v="Kronopol Sp. z o.o."/>
        <s v="BIOAGRA SA Zakład Produkcji Etanolu &quot;Goświnowice&quot;"/>
        <s v="Zakład Produkcji Etanolu i Pasz"/>
        <s v="Zakład PTA we Włocławku"/>
        <s v="Wilton Olefins Installation"/>
        <s v="Hull Chemical Industry EPR/BJ8162IR"/>
        <s v="Seal Sands Acrylonitrile Production EPR/FP3435GZ"/>
        <s v="Cassel Works"/>
        <s v="Jungbunzlauer Austria AG"/>
        <s v="Roquette Italia S.p.A."/>
        <s v="FERRERO INDUSTRIALE ITALIA S.r.l. con socio unico - Stabilimento di Alba"/>
        <s v="CARGILL S.R.L. - STABILIMENTO DI CASTELMASSA"/>
        <s v="Sedamyl Spa"/>
        <s v="Cargill Benelux BV"/>
        <s v="Archer Daniels Midland Europoort BV (ADM)"/>
        <s v="Cosun Beet Company-Vierverlaten"/>
        <s v="Cosun Beet Company-Dinteloord"/>
        <s v="Wissington Sugar Factory EPR/BX2108IQ"/>
        <s v="Bury St Edmunds Sugar Factory EPR/BX2094IJ"/>
        <s v="Trafford Park Wheat Milling Plant"/>
        <s v="Newark Sugar Factory EPR/BK9385IH"/>
        <s v="a. h. nichro HAARDCHROM A/S"/>
        <s v="Dan-Color A/S"/>
        <s v="Dörrer AG"/>
        <s v="Mondy Stamboliiski papermaking company"/>
        <s v="Brødrene Hartmann A/S"/>
        <s v="SKJERN PAPER A/S"/>
        <s v="Egger Holzwerkstoffe Brilon GmbH &amp; Co. KG"/>
        <s v="LEIPA Georg Leinfelder Werk Schwedt Süd"/>
        <s v="Pfleiderer Neumarkt GmbH"/>
        <s v="UPM GmbH, Werk Schongau"/>
        <s v="Sappi Alfeld GmbH"/>
        <s v="Papier- u. Kartonfabrik Varel GmbH &amp; Co. KG"/>
        <s v="Moritz J. Weig GmbH &amp; Co. KG"/>
        <s v="Nordland Papier GmbH Papierfabrik"/>
        <s v="LEIPA Georg Leinfelder Werk Schwedt Nord"/>
        <s v="Pfleiderer Gütersloh GmbH (Werk 2)"/>
        <s v="Koehler Oberkirch GmbH"/>
        <s v="R.D.M. Arnsberg GmbH"/>
        <s v="Pfeifer Holz GmbH - Werk Unterbernbach"/>
        <s v="Model Sachsen Papier GmbH"/>
        <s v="Smurfit Kappa Parenco B.V."/>
        <s v="Smurfit Kappa Roermond Papier BV"/>
        <s v="Stora Enso De Hoop B.V."/>
        <s v="Sappi Maastricht BV"/>
        <s v="Crown van Gelder B.V."/>
        <s v="Caledonian Paper Mill"/>
        <s v="Pulp and Board Plant, Cowie"/>
        <s v="Partington Paper Mill EPR/ZP3736XH"/>
        <s v="LEO PHARMA A/S, Ballerup"/>
        <s v="Xellia Pharmaceuticals ApS"/>
        <s v="H. Lundbeck A/S"/>
        <s v="Syntese A/S"/>
        <s v="LEO PHARMA A/S, Esbjerg"/>
        <s v="ALK-ABELLO A/S"/>
        <s v="Novo Nordisk A/S Kalundborg"/>
        <s v="Boehringer Ingelheim Pharma GmbH &amp; Co. KG"/>
        <s v="LONZA AG"/>
        <s v="DSM Nutritional Products AG - Werk Sisseln / Zweigniederlassung Werk Sisseln"/>
        <s v="Siegfried Evionnaz SA"/>
        <s v="OM PHARMA"/>
        <s v="Cerbios-Pharma SA"/>
        <s v="Stomana Industry company for production &#10;    of ferrous metals "/>
        <s v="Provozovna Třinec"/>
        <s v="Liberty Ostrava a.s."/>
        <s v="SSAB Europe Oy (ent. RUUKKI METALS OY), Raahen terästehdas"/>
        <s v="Outokumpu Chrome Oy, Outokumpu Stainless Oy, Tornion tehtaat"/>
        <s v="Salzgitter Flachstahl GmbH"/>
        <s v="Hüttenwerke Krupp Mannesmann GmbH"/>
        <s v="ROGESA Roheisengesellschaft Saar mbH"/>
        <s v="ArcelorMittal Eisenhüttenstadt GmbH"/>
        <s v="thyssenkrupp Steel Europe AG Werk Hamborn"/>
        <s v="thyssenkrupp Steel Europe AG Werk Beeckerwerth"/>
        <s v="thyssenkrupp Steel Europe AG Werk Bruckhausen"/>
        <s v="DK Recycling und Roheisen GmbH"/>
        <s v="ArcelorMittal Hochfeld GmbH"/>
        <s v="Georgsmarienhütte GmbH"/>
        <s v="B.E.S. Brandenburger Elektrostahlwerke GmbH"/>
        <s v="Lech-Stahlwerke GmbH"/>
        <s v="Peiner Träger GmbH"/>
        <s v="Tata Steel IJmuiden BV"/>
        <s v="LIBERTY GALATI SA"/>
        <s v="SSAB EMEA AB Oxelösund"/>
        <s v="SSAB EMEA AB i Luleå"/>
        <s v="Outokumpu Stainless AB, Avesta"/>
        <s v="TiZir Titanium &amp; Iron AS"/>
        <s v="Cellulose plant Sviloza"/>
        <s v="Mercer Stendal GmbH"/>
        <s v="Nymölla bruk"/>
        <s v="Saddlebow Paper Mill"/>
        <s v="Maritsa East 2 power station"/>
        <s v="Maritsa East 3 Kontur Global power station"/>
        <s v="Maritsa East 1 power station"/>
        <s v="Bobov dol power station"/>
        <s v="Sofia East power station"/>
        <s v="Sofia  power station"/>
        <s v="Brikel power station"/>
        <s v="Ruse power station"/>
        <s v="Sofia  Zemliane power station"/>
        <s v="Republika power station"/>
        <s v="Plovdiv North power station"/>
        <s v="Electricity Authority of Cyprus, Vassilikos Power Station"/>
        <s v="Electricity Authority of Cyprus, Dhekelia Power Station"/>
        <s v="Elektrárna Počerady"/>
        <s v="Elektrárny Tušimice"/>
        <s v="Elektrárny Prunéřov"/>
        <s v="Sokolovská uhelná,právní nástupce,a.s.-zpracovatelská část"/>
        <s v="Elektrárna Mělník"/>
        <s v="Elektrárna Ledvice"/>
        <s v="Elektrárna Chvaletice"/>
        <s v="Provoz 46 - Teplárna"/>
        <s v="Provozy  Teplárny  a  Tepelná  energetika"/>
        <s v="Elektrárna Opatovice"/>
        <s v="Paroplynový zdroj Počerady"/>
        <s v="Elektrárna Třebovice"/>
        <s v="Teplárna Trmice"/>
        <s v="Elektrárna Tisová"/>
        <s v="Plzeňská teplárenská, a.s. - areál Teplárna"/>
        <s v="Teplárna TAMERO INVVEST s.r.o."/>
        <s v="Elektrárna Dětmarovice"/>
        <s v="Teplárna ELÚ III"/>
        <s v="Teplárna České Budějovice-Novohradská ulice"/>
        <s v="Teplárny Brno a.s., Provoz Červený Mlýn"/>
        <s v="Teplárna Přívoz"/>
        <s v="C-Energy Planá s.r.o."/>
        <s v="Teplárny Brno a.s., Provoz Špitálka"/>
        <s v="Ørsted Bioenergy &amp; Thermal Power A/S,Esbjergværket"/>
        <s v="Nordjyllandsværket"/>
        <s v="Ørsted Bioenergy &amp; Thermal Power A/S, Studstrupvær"/>
        <s v="Fjernvarme Fyn Produktion A/S"/>
        <s v="TOTAL E&amp;P Danmark A/S - Dan F"/>
        <s v="Kredsløb Halmenergi A/S"/>
        <s v="TOTAL E&amp;P Danmark A/S - Gorm"/>
        <s v="Avedøreværket"/>
        <s v="TOTAL E&amp;P Danmark A/S - Halfdan B"/>
        <s v="SILKEBORG VARME A/S"/>
        <s v="TOTAL E&amp;P Danmark A/S - Halfdan D"/>
        <s v="VIBORG VARME PRODUKTION A/S"/>
        <s v="Kyndbyværket"/>
        <s v="Hillerød Kraftvarmeværk hestehavevej"/>
        <s v="Bornholms El-Produktion  A/S"/>
        <s v="H.C. Ørsted  Værket"/>
        <s v="Svanemølleværket"/>
        <s v="DTU Kraftvarmeværk ApS"/>
        <s v="Nørre Uttrup-Centralen"/>
        <s v="Ørsted Skærbækværket"/>
        <s v="Reservecentral Gasværksvej"/>
        <s v="Ørsted Asnæsværket"/>
        <s v="Reservecentral Borgmester Jørgensens Vej"/>
        <s v="TOTAL E&amp;P Danmark A/S - Harald"/>
        <s v="Verdo Produktion A/S"/>
        <s v="Svendborgvej Varmecentral"/>
        <s v="TOTAL E&amp;P Danmark A/S - Tyra E"/>
        <s v="Enefit Power AS, Eesti elektrijaam"/>
        <s v="VKG Energia OÜ, Kohtla-Järve Põhja soojuselektrijaam"/>
        <s v="Enefit Green AS, Iru elektrijaam"/>
        <s v="Raahen Voima Oy, Energiantuotanto"/>
        <s v="Helen Oy, Hanasaari B -voimalaitos"/>
        <s v="Fortum Power and Heat Oy, Suomenojan voimalaitos"/>
        <s v="Alva-yhtiöt Oy, Jyväskylän Voima Oy, Keljonlahden voimalaitos"/>
        <s v="Fortum Power and Heat Oy, Meri-Porin voimalaitos"/>
        <s v="Helen Oy, Vuosaaren voimalaitokset"/>
        <s v="RWE Power AG - Kraftwerk Neurath"/>
        <s v="Kraftwerk Boxberg"/>
        <s v="RWE Power AG Kraftwerk Niederaußem"/>
        <s v="LEAG, Kraftwerk Jänschwalde"/>
        <s v="RWE Power AG"/>
        <s v="LEAG Lausitz Energie Kraftwerke AG  Kraftwerk Lippendorf"/>
        <s v="LEAG, Kraftwerk Schwarze Pumpe"/>
        <s v="GKM Grosskraftwerk Mannheim AG"/>
        <s v="EnBW Energie Baden-Württemberg AG (RDK)"/>
        <s v="Saale Energie GmbH"/>
        <s v="thyssenkrupp Steel Europe AG Kraftwerk Hamborn"/>
        <s v="Uniper Kraftwerke GmbH Kraftwerk Datteln IV"/>
        <s v="Uniper Kraftwerk Scholven"/>
        <s v="Trianel Kohlekraftwerk Lünen GmbH &amp; Co. KG"/>
        <s v="Hüttenwerke Krupp Mannesmann GmbH KW Huckingen"/>
        <s v="STEAG Power GmbH"/>
        <s v="ArcelorMittal Bremen GmbH / Kraftwerk Mittelsbüren / Block 4"/>
        <s v="thyssenkrupp Steel Europe AG Werk Ruhrort"/>
        <s v="Uniper Kraftwerk Staudinger"/>
        <s v="STEAG Power GmbH Kraftwerk Bergkamen"/>
        <s v="EnBW HKW Heilbronn"/>
        <s v="Volkswagen AG Werk Wolfsburg"/>
        <s v="VEO Vulkan-Energiewirtschaft - Oderbrücke GmbH"/>
        <s v="SWM Heizkraftwerk Nord"/>
        <s v="KNG Kraftwerks- und Netzgesellschaft mbH Kraftwerk Rostock"/>
        <s v="GKH - Gemeinschaftskraftwerk Hannover GmbH"/>
        <s v="Onyx Kraftwerk Wilhelmshaven GmbH &amp; Co. KG"/>
        <s v="STEAG GmbH"/>
        <s v="Vattenfall Wärme Berlin AG HKW Reuter-West"/>
        <s v="EnBW HKW Altbach"/>
        <s v="Onyx Kraftwerk Zolling GmbH &amp; Co. KGaA"/>
        <s v="Uniper Kraftwerke GmbH Kraftwerk Heyden"/>
        <s v="RWE Generation SE Gaskraftwerk Emsland"/>
        <s v="Hamburger Energiewerke GmbH"/>
        <s v="Onyx Kraftwerk Farge GmbH &amp; Co. KGaA"/>
        <s v="Hamburger Energiewerke GmbH Heizkraftwerk Tiefstack"/>
        <s v="Heizkraftwerk Nord II"/>
        <s v="Uniper Kraftwerke GmbH, Kraftwerk Irsching"/>
        <s v="Kraftwerk Fenne"/>
        <s v="GKW -Gichtgaskraftwerk Dillingen GmbH &amp; Co. KG"/>
        <s v="Kraftwerk Mehrum GmbH"/>
        <s v="RWE Generation SE GuD-Anlage"/>
        <s v="RKB Raffinerie-Kraftwerks Betriebs GmbH"/>
        <s v="Stadtwerke Düsseldorf AG"/>
        <s v="Mainova, HKW West"/>
        <s v="CURRENTA GmbH &amp; Co. OHG"/>
        <s v="Kraftwerk Bexbach"/>
        <s v="Vattenfall  Wärme Berlin AG  HKW Marzahn"/>
        <s v="swb Erzeugung AG &amp; Co. KG / Heizkraftwerk Hastedt"/>
        <s v="Vattenfall Wärme Berlin AG  HKW Mitte"/>
        <s v="DREWAG Gasturbinen-Heizkraftwerk Nossener Brücke"/>
        <s v="Kraftwerke Mainz-Wiesbaden AG"/>
        <s v="Stadtwerke Flensburg GmbH"/>
        <s v="Braunschweiger Versorgungs AG &amp; Co. KG, Heizkraftwerk Mitte"/>
        <s v="Trianel Gaskraftwerk Hamm GmbH &amp; Co. KG"/>
        <s v="Vattenfall Wärme  Berlin AG  GuD HKW Lichterfelde"/>
        <s v="SWM Heizkraftwerk Süd"/>
        <s v="GuD Herne GmbH"/>
        <s v="Vattenfall Wärme Berlin AG HKW Klingenberg"/>
        <s v="Vattenfall  Wärme Berlin AG  HKW Moabit"/>
        <s v="CIECH Energy Deutschland GmbH"/>
        <s v="N-ERGIE Kraftwerke GmbH, Heizkraftwerke Sandreuth"/>
        <s v="RheinEnergie AG"/>
        <s v="Mark-E Aktiengesellschaft Cuno Heizkraftwerk"/>
        <s v="IKW Wählitz"/>
        <s v="Kraftwerk Weiher"/>
        <s v="Henkel AG &amp; Co. KGaA"/>
        <s v="Steinbeis Energie GmbH"/>
        <s v="Stadtwerke Erfurt / HKW Ost"/>
        <s v="Stadtwerke Duisburg AG"/>
        <s v="Knapsack Power GmbH &amp; Co. KG"/>
        <s v="GKS, Müllheizkraftwerk Schweinfurt"/>
        <s v="Kraftwerk Obernburg GmbH"/>
        <s v="Uniper Kraftwerke GmbH"/>
        <s v="InfraServ (Kalle-Albert)"/>
        <s v="Stadtwerke Rostock AG"/>
        <s v="enercity AG Heizkraftwerk Linden"/>
        <s v="VW Kraftwerk GmbH, HKW Baunatal"/>
        <s v="Kraftwerk Plattling GmbH, Industriekraftwerk Plattling"/>
        <s v="InfraLeuna GmbH WT 1"/>
        <s v="Heizkraftwerk Pforzheim"/>
        <s v="EVO - Heizkraftwerk Offenbach"/>
        <s v="Statkraft Markets GmbH"/>
        <s v="EVH GmbH, Dieselstr."/>
        <s v="Stadtwerke Leipzig GmbH, HKW Leipzig Nord"/>
        <s v="Ingaver GmbH"/>
        <s v="Stadtwerke Münster GmbH"/>
        <s v="InfraServ GmbH &amp; Co. Gendorf KG"/>
        <s v="Wärmeverbundkraftwerk Freiburg GmbH"/>
        <s v="Heizkraftwerk Jena Süd"/>
        <s v="1Heiz Energie GmbH Binnenhafen Eberswalde"/>
        <s v="Stadtwerke Frankfurt (Oder) GmbH"/>
        <s v="Energie SaarLorLux AG Heizkraftwerk Römerbrücke"/>
        <s v="Sachsenmilch Leppersdorf GmbH"/>
        <s v="KÄMMERER Energie GmbH"/>
        <s v="Heizkraftwerk an der Friedensbrücke"/>
        <s v="EnBW KW Walheim"/>
        <s v="Biomasseheizkraftwerk Zolling GmbH"/>
        <s v="Pfeifer &amp; Langen GmbH &amp; Co. KG, Werk Könnern"/>
        <s v="Stadtwerke Leipzig GmbH"/>
        <s v="Biomassekraftwerk Bischofferode/Holungen"/>
        <s v="Energie- und Wasserversorgung Bonn/Rhein-Sieg GmbH"/>
        <s v="DREWAG AMD EVC 2 EnergyCenter Wilschdorf"/>
        <s v="Palm Power GmbH &amp; Co. KG"/>
        <s v="Heizkraftwerk GuD"/>
        <s v="Palm Power GmbH Co. KG"/>
        <s v="Open Grid Europe Erdgasverdichterstation Werne"/>
        <s v="TWS Thüringer Wärme Service GmbH"/>
        <s v="Mainova, HKW Niederrad"/>
        <s v="EVC Dresden-Wilschdorf /Reichenberg"/>
        <s v="SWM Heizkraftwerk Freimann"/>
        <s v="Gas- und Dampfturbinenanlage Gas- und Dampfturbinenanlage Südraum"/>
        <s v="Heizkraftwerk Erlangen"/>
        <s v="Stadtwerke Bielefeld GmbH"/>
        <s v="Uniper Kraftwerke GmbH, Kraftwerk Franken I"/>
        <s v="HBB Heizkraftwerk Bauernfeind Betreibergesellschaft mbH"/>
        <s v="DREWAG HKW Dresden-Reick"/>
        <s v="Kraftwerk Grenzach-Wyhlen"/>
        <s v="SWK Stadtwerke Kaiserslautern Versorgung s-AG"/>
        <s v="Progroup Paper PM3 GmbH"/>
        <s v="Electricity Supply Board (Moneypoint)"/>
        <s v="Bord Gais Energy Ltd"/>
        <s v="Energia Power Generation Limited"/>
        <s v="Huntstown Power Company Limited"/>
        <s v="Electricity Supply Board (Aghada)"/>
        <s v="Synergen Power Limited"/>
        <s v="Tynagh Energy Limited"/>
        <s v="Electricity Supply Board (Poolbeg)"/>
        <s v="SSE Generation Ireland Limited (Great Island)"/>
        <s v="Edenderry Power Limited"/>
        <s v="SSE Generation Ireland Limited (Tarbert)"/>
        <s v="RWE Eemshaven Holding II B.V."/>
        <s v="Uniper Benelux NV (Maasvlakte)"/>
        <s v="Vattenfall Power Generation B.V. (Velsen)"/>
        <s v="Amer Centrale"/>
        <s v="Power Plant Rotterdam"/>
        <s v="Vattenfall Power Generation B.V. (IJmond 1)"/>
        <s v="ENGIE Energie Nederland NV"/>
        <s v="Maxima-centrale"/>
        <s v="Vattenfall Power Generation B.V. (Eemshaven)"/>
        <s v="Pergen VOF"/>
        <s v="ENECOGEN V.O.F."/>
        <s v="Sloe Centrale BV (Vlissingen)"/>
        <s v="Vattenfall Power Generation B.V. (Diemen)"/>
        <s v="Clauscentrale"/>
        <s v="locatie Boeldershoek"/>
        <s v="EEW Energy from Waste Delfzijl B.V."/>
        <s v="Vattenfall Power Generation B.V. (Hemweg)"/>
        <s v="Eneco Lage Weide"/>
        <s v="Maasstroom Energie CV"/>
        <s v="Delesto B.V."/>
        <s v="Rijnmond Power Plant"/>
        <s v="WKC Moerdijk"/>
        <s v="BMC Moerdijk BV"/>
        <s v="ARN B.V."/>
        <s v="Nobian Chemicals BV (Hengelo)"/>
        <s v="Eneco HWC Nieuwegein"/>
        <s v="BECC B.V."/>
        <s v="Enecal Energy VOF"/>
        <s v="Eurogen CV"/>
        <s v="Uniper Centrale Den Haag"/>
        <s v="Uniper Centrale RoCa"/>
        <s v="SC COMPLEXUL ENERGETIC ROVINARI SA (SUCURSALA ELECTROCENTRALE ROVINARI)"/>
        <s v="SUCURSALA ELECTROCENTRALE TURCENI"/>
        <s v="SC OMV Petrom SA Brazi (cogenerare)"/>
        <s v="SOCIETATEA COMPLEXUL ENERGETIC OLTENIA SA - SUCURSALA ELECTROCENTRALE ISALNITA"/>
        <s v="SOCIETATEA COMPLEXUL ENERGETIC OLTENIA SA - Sucursala Electrocentrale Craiova II"/>
        <s v="SC CET GOVORA SA"/>
        <s v="SC ELECTROCENTRALE BUCURESTI SA - Cet Bucuresti Sud"/>
        <s v="SNGN ROMGAZ SA MEDIAS - Sucursala de Productie Energie Electrica Iernut"/>
        <s v="SC PETROTEL LUKOIL SA- CET"/>
        <s v="SC ELECTROCENTRALE BUCURESTI SA - Cet Bucuresti Vest"/>
        <s v="Societatea Complexul Energetic Hunedoara SA - SUCURSALA ELECTROCENTRALE PAROSENI"/>
        <s v="SC ELECTROCENTRALE BUCURESTI SA - Cet Progresu"/>
        <s v="TERMOFICARE ORADEA SA"/>
        <s v="SC ELECTROCENTRALE BUCURESTI SA - Cet Grozavesti"/>
        <s v="MUNICIPIUL IASI - CET II"/>
        <s v="SC COLTERM SA - CET SUD"/>
        <s v="SC VEOLIA ENERGIE  PRAHOVA SRL"/>
        <s v="SC ROMPETROL ENERGY SA"/>
        <s v="Societatea ELECTROCENTRALE CONSTANTA S.A. - Centrala Termoelectrica Palas"/>
        <s v="Termoelektrarna Šoštanj"/>
        <s v="Luleå kraftvärmeverk LUKAB"/>
        <s v="Sandviksverket"/>
        <s v="Lugnviksverket"/>
        <s v="Bomhus Energi"/>
        <s v="JORDBRO KRAFTVÄRMEVERK"/>
        <s v="Riskullaverket"/>
        <s v="Karlshamnsverket"/>
        <s v="Johannes Kraftvärmeverk"/>
        <s v="Scunthorpe Iron &amp; Steel Works EPR/HP3736AW"/>
        <s v="Pembroke Power Station"/>
        <s v="Staythorpe C Power Station EPR/VP3538XX"/>
        <s v="Immingham CHP Power Station EPR/BJ8022IZ"/>
        <s v="Saltend Cogeneration Plant EPR/QP3539LE"/>
        <s v="Grain Power Station EPR/EP3533RY"/>
        <s v="Didcot B Power Station EPR/YP3930LZ"/>
        <s v="West Burton CCGT Power Station EPR/CP3035MK"/>
        <s v="Lynemouth Power Station"/>
        <s v="Humber Oil Refinery EPR/UP3230LR"/>
        <s v="South Humber Bank Power Station EPR/MP3235LY"/>
        <s v="Spalding Power Station EPR/BK0701IW"/>
        <s v="Peterhead Power Station"/>
        <s v="Marchwood Power Station EPR/BL6217IM"/>
        <s v="Carrington Power Station EPR/RP3438GG"/>
        <s v="Cottam Power Station EPR/SP3535LT"/>
        <s v="Rocksavage Power Station EPR/BS5380IC"/>
        <s v="Total Lindsey Oil Refinery EPR/TP3633NH"/>
        <s v="Fiddlers Ferry Power Station EPR/BS8192IV"/>
        <s v="AES Ballylumford"/>
        <s v="Seabank Power Station EPR/BV3006IN"/>
        <s v="Little Barford Power Station EPR/AP3630LG"/>
        <s v="Kilroot Power Ltd"/>
        <s v="Coryton Power Station EPR/EP3833LY"/>
        <s v="Cottam CDC Power Station EPR/NP3033RD"/>
        <s v="Connah's Quay Power Station"/>
        <s v="Great Yarmouth Power Station EPR/KP3531US"/>
        <s v="Keadby Power Station EPR/YP3133LL"/>
        <s v="Damhead Creek Power Station EPR/DP3933DN"/>
        <s v="West Burton Power Station EPR/SP3935LW"/>
        <s v="Sutton Bridge Power Station EPR/FP3835LS"/>
        <s v="Langage Energy Centre EPR/AP3633BL"/>
        <s v="Ratcliffe-On-Soar Power Station EPR/EP3133RZ"/>
        <s v="Severn Power Station"/>
        <s v="Coolkeeragh ESB Ltd"/>
        <s v="Medway Power Station EPR/HP3939LN"/>
        <s v="Enfield Power Station EPR/NP3833RC"/>
        <s v="Grangemouth CHP Plant"/>
        <s v="Elgin-PUQ"/>
        <s v="INEOS Infrastructure (Grangemouth) Ltd"/>
        <s v="Thetford Power Station"/>
        <s v="Britannia"/>
        <s v="Glen Lyon FPSO"/>
        <s v="Buzzard"/>
        <s v="Kemsley Paper Mill CHP Plant EPR/BJ7395IG"/>
        <s v="Winnington Sodium Carbonate Manufacturing Site EPR/EP3337NY"/>
        <s v="Beryl Alpha"/>
        <s v="Baglan Power Station"/>
        <s v="Ninian Central"/>
        <s v="Brigg Renewable Energy Plant"/>
        <s v="Marnock ETAP"/>
        <s v="Tiffany"/>
        <s v="Armada Kraken FPSO"/>
        <s v="Brae Alpha"/>
        <s v="Alwyn North"/>
        <s v="Blackburn Meadows Renewable Energy Plant"/>
        <s v="Rye House Power Station EPR/RP3632SF"/>
        <s v="Shearwater"/>
        <s v="Magnus"/>
        <s v="Elean Power Station EPR/AP3130LY"/>
        <s v="Piper Bravo"/>
        <s v="Sleaford Renewable Energy Plant EPR/DP3030XH"/>
        <s v="Bruce"/>
        <s v="Ninian Southern"/>
        <s v="SOUTH HOOK LIQUEFIED NATURAL GAS TERMINAL"/>
        <s v="Brent Charlie"/>
        <s v="Judy"/>
        <s v="Foinaven FPSO"/>
        <s v="Shetland Gas Plant"/>
        <s v="Scott"/>
        <s v="Clipper PT"/>
        <s v="Beryl Bravo"/>
        <s v="Claymore Alpha"/>
        <s v="Tern Alpha"/>
        <s v="Clair Ridge"/>
        <s v="Global Producer III FPSO"/>
        <s v="Montrose Alpha"/>
        <s v="Sullom Voe Terminal CHP, Shetland"/>
        <s v="Triton (Guillemot West) FPSO"/>
        <s v="Nelson Platform"/>
        <s v="Clair"/>
        <s v="Clyde Alpha"/>
        <s v="BW Catcher FPSO"/>
        <s v="Ridham Biomass Power Plant"/>
        <s v="Douglas"/>
        <s v="INEOS Nitriles CHP Plant - EPR/HP3137ZK"/>
        <s v="Glanford Power Station EPR/UP3232SX"/>
        <s v="Alba Northern"/>
        <s v="Anasuria"/>
        <s v="Kings Lynn Power Station EPR/BP3239LA"/>
        <s v="Tartan Alpha"/>
        <s v="Port Of Liverpool CHP Plant EPR/BK3506IS"/>
        <s v="Gryphon Alpha PV"/>
        <s v="Thistle Alpha"/>
        <s v="Cormorant Alpha"/>
        <s v="Widnes Biomass Facility EPR/JP3132RV"/>
        <s v="Golden Eagle"/>
        <s v="Leman 49-27a"/>
        <s v="Gannet Alpha"/>
        <s v="Pierce FPSO"/>
        <s v="Bleo Holm FPSO"/>
        <s v="Cormorant North"/>
        <s v="Barry CHP"/>
        <s v="Armada"/>
        <s v="Morecambe-CPC-1"/>
        <s v="Stella FPF 1"/>
        <s v="Forties Charlie"/>
        <s v="Captain Platform (WHP &amp; BLP)"/>
        <s v="Andrew"/>
        <s v="Petrojarl Banff"/>
        <s v="Western Isles FPSO"/>
        <s v="Forties Alpha"/>
        <s v="Lomond"/>
        <s v="Leman Alpha (D1)"/>
        <s v="Brae East"/>
        <s v="Werk Werra Standort Hattorf"/>
        <s v="Werk  Zielitz"/>
        <s v="Werk Werra Standort Wintershall"/>
        <s v="K+S Minerals and Agriculture GmbH, Werk Werra, Standort Unterbreizbach"/>
        <s v="MOL Magyar Olaj- és Gázipari Nyrt."/>
        <s v="Centro Olio Val d'Agri"/>
        <s v="CENTRO OLI TEMPA ROSSA"/>
        <s v="COMPLEX EXPLOATARE OFFSHORE"/>
        <s v="Åsgard"/>
        <s v="Gullfaks"/>
        <s v="Oseberg"/>
        <s v="Statfjord"/>
        <s v="Troll"/>
        <s v="Ekofisk"/>
        <s v="Sleipner Øst"/>
        <s v="Snorre"/>
        <s v="Skarv"/>
        <s v="Heidrun"/>
        <s v="Norne"/>
        <s v="Kristin"/>
        <s v="Sleipner Vest"/>
        <s v="Edvard Grieg"/>
        <s v="Visund"/>
        <s v="Eldfisk"/>
        <s v="Alvheim"/>
        <s v="Grane"/>
        <s v="Oseberg Sør"/>
        <s v="Kvitebjørn"/>
        <s v="Draugen"/>
        <s v="Ula"/>
        <s v="Brage"/>
        <s v="Knarr"/>
        <s v="Heimdal"/>
        <s v="Jotun"/>
        <s v="Veslefrikk"/>
        <s v="Balder"/>
        <s v="Gjøa"/>
        <s v="Oseberg Øst"/>
        <s v="Spildevandscenter Avedøre (renseanlæg)"/>
        <s v="ara region bern ag"/>
        <s v="BECKTON STW"/>
        <s v="Lime company Ognianovo K"/>
        <s v="Vápenka Čertovy schody, a.s."/>
        <s v="VÁPENKA VITOŠOV s.r.o."/>
        <s v="KOTOUČ ŠTRAMBERK"/>
        <s v="Schwenk Zement KG Bernburg"/>
        <s v="OPTERRA Zement GmbH"/>
        <s v="Schwenk Zement"/>
        <s v="HeidelbergCement"/>
        <s v="SCHWENK Zement GmbH &amp; Co. KG"/>
        <s v="OPTERRA Wössingen GmbH Werk Wössingen"/>
        <s v="Holcim (Süddeutschland) GmbH"/>
        <s v="Kalkwerk Kaltes Tal"/>
        <s v="Kalkwerk Rübeland"/>
        <s v="Fels-Werke GmbH Kalkwerk Münchehof"/>
        <s v="Fels-Werke GmbH, Kalkwerk Saal"/>
        <s v="Schaefer Kalk GmbH &amp; Co. KG, Werk Steeden"/>
        <s v="Schaefer Kalk  GmbH &amp; Co. KG"/>
        <s v="Kalkwerk Hornberg"/>
        <s v="Walhalla Kalk GmbH &amp; Co. KG"/>
        <s v="HeidelbergCement AG Zementwerk Leimen Zementwerk Leimen"/>
        <s v="Märker Kalk GmbH"/>
        <s v="Calcis Lienen GmbH &amp; Co.KG"/>
        <s v="Calcis Warstein GmbH &amp; Co. KG"/>
        <s v="SC HOLCIM ROMANIA SA"/>
        <s v="Kalkproduktion Storugns AB"/>
        <s v="Rugby Cement Plant"/>
        <s v="Hope Cement Works"/>
        <s v="Whitwell Works"/>
        <s v="South Ferriby Cement Plant EPR/BL1029IP"/>
        <s v="Shapfell Lime Works"/>
        <s v="Hindlow Quarry Lime Works"/>
        <s v="Brierlow Lime Works"/>
        <s v="I/S Amager Ressourcecenter"/>
        <s v="Energnist, Energnist Esbjerg"/>
        <s v="Nordværk I/S - Energianlægget Aalborg"/>
        <s v="Energnist Kolding"/>
        <s v="I/S Vestforbrænding, Glostrup"/>
        <s v="Fjernvarme Fyn Affaldsenergi"/>
        <s v="Nordværk I/S - Energianlægget Hjørring"/>
        <s v="Sønderborg Kraftvarme A/S"/>
        <s v="Svendborg Kraftvarme A/S"/>
        <s v="BIOFOS A/S, Renseanlæg Lynetten"/>
        <s v="Vantaan Energia Oy, Jätevoimala"/>
        <s v="GMVA Gemeinschafts-Müllverbrennungsanlage Niederrhein GmbH"/>
        <s v="AGR mbH"/>
        <s v="MVV Umwelt Asset GmbH - MHKW Mannheim"/>
        <s v="MHKW Müllheizkraftwerk Rothensee GmbH"/>
        <s v="Müllkraftwerk Schwandorf"/>
        <s v="BSR / MHKW"/>
        <s v="MVV Umwelt Asset GmbH"/>
        <s v="Thermal Conversion Compound Industriepark Höchst GmbH"/>
        <s v="EEW Energy from Waste Helmstedt GmbH"/>
        <s v="EnBW HKW Stuttgart-Münster (mit MVA) HKW Stuttgart-Münster (mit MVA)"/>
        <s v="EVI Abfallverwertung B.V. &amp; Co. KG"/>
        <s v="SWN Stadtwerke Neumünster GmbH"/>
        <s v="B+T Energie GmbH"/>
        <s v="Progroup Power 1 GmbH"/>
        <s v="AVG Abfallentsorgungs- und Verwertungsgesellschaft Köln mbH"/>
        <s v="Hamburger Rieger GmbH Geschäftsfeld Kraftwerk"/>
        <s v="MVR Müllverwertung Rugenberger Damm GmbH"/>
        <s v="EEW Energy from Waste Stapelfeld GmbH"/>
        <s v="IKW Rüdersdorf GmbH"/>
        <s v="EEW Energy from Waste Heringen GmbH"/>
        <s v="Müllverwertungsanlage Bonn GmbH"/>
        <s v="EEW Energy from Waste Hannover GmbH"/>
        <s v="MHB Hamm Betriebsführungsgesell schaft mbH"/>
        <s v="AVA Abfallverwertung Augsburg Kommunalunternehmen"/>
        <s v="Müllheizkraftwerk Burgkirchen"/>
        <s v="Müllverwertungsanlage Ingolstadt"/>
        <s v="EEW Energy from Waste Großräschen GmbH"/>
        <s v="Müllverbrennungsanlage Nürnberg"/>
        <s v="EVO - MHKW Offenbach"/>
        <s v="Klingele Papierwerke GmbH &amp; Co. KG Papierfabrik Weener"/>
        <s v="GML - Gemeinschafts-Müllheizkraftwerk Ludwigshafen GmbH"/>
        <s v="AVEA Entsorgungsbetriebe GmbH &amp; Co. KG"/>
        <s v="Müllheizkraftwerk Würzburg"/>
        <s v="ENTEGA AG (MHKW)"/>
        <s v="VERA Klärschlammverbrennung"/>
        <s v="EEW MHKW Göppingen"/>
        <s v="EEW Energy from Waste Premnitz GmbH"/>
        <s v="HKW Altholz"/>
        <s v="Heizkraftwerk Altenstadt GmbH &amp; Co. KG"/>
        <s v="Müllheizkraftwerk Bamberg"/>
        <s v="AMK Abfallentsorgungsgesellschaft des Märkischen Kreises mbH"/>
        <s v="Dublin Waste to Energy Limited"/>
        <s v="Indaver Ireland Limited (Duleek)"/>
        <s v="AVR-Afvalverwerking"/>
        <s v="AEB Amsterdam"/>
        <s v="HVC N.V."/>
        <s v="BV Afvalverbranding Zuid Nederland (AZN)"/>
        <s v="Attero BV"/>
        <s v="PreZero Energy Roosendaal B.V."/>
        <s v="HVC AfvalEnergieCentrale Dordrecht"/>
        <s v="Reststoffen Energie Centrale (REC)"/>
        <s v="HVC Slibverbrandingsinstallatie"/>
        <s v="Templeborough Biomass Power Plant"/>
        <s v="Ferrybridge Multifuel Plant EPR/SP3239FU"/>
        <s v="RIVERSIDE RESOURCE RECOVERY"/>
        <s v="Bolton Thermal Recovery Facility"/>
        <s v="Markinch Biomass CHP"/>
        <s v="Steven's Croft Power Station"/>
        <s v="Severnside Energy Recovery Centre EPR/ZP3937KL"/>
        <s v="Suffolk EfW Facility EPR/WP3438HZ"/>
        <s v="Lakeside EfW Facility EPR/BT7116IW"/>
        <s v="Dunbar Energy Recovery Facility"/>
        <s v="Coventry Incinerator EPR/NP3739PD"/>
        <s v="Greatmoor EfW EPR/UP3734HT"/>
        <s v="Cornwall Energy Recovery Centre EPR/GP3433GH"/>
        <s v="SHEFFIELD ENERGY RECOVERY FACILITY"/>
        <s v="Stoke EfW Facility"/>
        <s v="Devonport Energy from Waste CHP Facility"/>
        <s v="NEWHAVEN INCINERATOR"/>
        <s v="Lincolnshire EfW Facility"/>
        <s v="Integra South East Energy Recovery Facility"/>
        <s v="Ferrybridge Multifuel Plant 2 EPR/XP3833DK"/>
        <s v="Veolia Leeds Recycling and Energy Recovery Facility"/>
        <s v="Eastcroft EFW Plant"/>
        <s v="Eye Power Station EPR/BP3635LA"/>
        <s v="Goosey Lodge EPR/NP3338SZ"/>
        <s v="Kirklees EfW EPR/BJ6178IX"/>
        <s v="Edmonton EfW Facility EPR/YP3033BE"/>
        <s v="Slough Heat and Power"/>
        <s v="Millerhill Recycling &amp; Energy Recovery Centre"/>
        <s v="Mercia EnviRecover EPR/XP3935TX"/>
        <s v="Tilbury Green Power EPR/KP3936ZB"/>
        <s v="Wolverhampton EfW Facility"/>
        <s v="Dudley Energy from Waste Facility EPR/AP3435SD"/>
        <s v="Dundee Energy Recycling Ltd"/>
      </sharedItems>
    </cacheField>
    <cacheField name="facilityNameConfidentialityReason" numFmtId="0">
      <sharedItems containsBlank="1">
        <m/>
        <s v="Article4(2)(d)"/>
      </sharedItems>
    </cacheField>
    <cacheField name="Longitude">
      <sharedItems containsMixedTypes="1" containsNumber="1">
        <n v="14.9637555"/>
        <n v="4.158918"/>
        <n v="18.841061"/>
        <n v="-1.3541498"/>
        <n v="-1.862598"/>
        <n v="4.1814821"/>
        <n v="5.2071997"/>
        <n v="16.048501"/>
        <n v="-5.3915763"/>
        <n v="-0.923322"/>
        <n v="13.1104619"/>
        <n v="17.74835"/>
        <n v="-4.0575592"/>
        <n v="12.1422"/>
        <n v="20.3411085"/>
        <n v="17.3295861"/>
        <n v="18.7143957"/>
        <n v="-3.2884096"/>
        <n v="6.962736"/>
        <n v="4.1811495"/>
        <n v="16.2302903"/>
        <n v="14.226461"/>
        <n v="12.13588"/>
        <n v="-8.0233615"/>
        <n v="-5.4353598"/>
        <n v="4.3466309"/>
        <n v="28.1790751"/>
        <n v="18.6972694"/>
        <n v="18.5995822"/>
        <n v="1.8840909"/>
        <n v="3.0521654"/>
        <n v="4.100934"/>
        <n v="0.4502704"/>
        <n v="3.365668"/>
        <n v="2.2359002"/>
        <n v="13.7072"/>
        <n v="4.165567"/>
        <n v="6.4980941"/>
        <n v="3.8977855"/>
        <n v="4.8134922"/>
        <n v="4.0434229"/>
        <n v="8.0871492"/>
        <n v="3.4948852"/>
        <n v="0.5253886"/>
        <n v="2.9088051"/>
        <n v="-1.0550031"/>
        <n v="11.877412"/>
        <n v="7.4835324"/>
        <n v="3.193993"/>
        <n v="-2.3295857"/>
        <n v="3.8022966"/>
        <n v="-8.9811968"/>
        <n v="3.7956238"/>
        <n v="9.87069"/>
        <n v="15.9552684"/>
        <n v="25.3510283"/>
        <n v="26.7788655"/>
        <n v="21.8369439"/>
        <n v="17.7681976"/>
        <n v="17.2521373"/>
        <n v="24.8686859"/>
        <n v="-0.6224151"/>
        <n v="8.1028002"/>
        <n v="18.1590957"/>
        <n v="23.7542893"/>
        <n v="18.7006153"/>
        <n v="24.4820639"/>
        <n v="22.4646292"/>
        <n v="15.8008949"/>
        <n v="1.928515"/>
        <n v="27.7278497"/>
        <n v="25.6700517"/>
        <n v="2.6812196"/>
        <n v="11.97456"/>
        <n v="18.700347"/>
        <n v="11.079573"/>
        <n v="14.920503"/>
        <n v="28.1896627"/>
        <n v="21.4800363"/>
        <n v="24.4590244"/>
        <n v="25.7179391"/>
        <n v="21.3371526"/>
        <n v="-3.7227698"/>
        <n v="12.6567499"/>
        <n v="8.8150467"/>
        <n v="12.5200147"/>
        <n v="12.374765"/>
        <n v="14.8668836"/>
        <n v="12.521381"/>
        <s v="N/A"/>
        <n v="-0.996528"/>
        <n v="0.05072"/>
        <n v="25.74986"/>
        <n v="19.31666756"/>
        <n v="28.85848"/>
        <n v="17.33031"/>
        <n v="16.55049"/>
        <n v="12.17193"/>
        <n v="14.37481449"/>
        <n v="24.51977"/>
        <n v="13.12153"/>
        <n v="19.16166"/>
        <n v="-8.80816"/>
        <n v="30.22521"/>
        <n v="28.45687"/>
        <n v="21.46621"/>
        <n v="-6.72114"/>
        <n v="17.38983"/>
        <n v="17.26746"/>
        <n v="21.44037"/>
        <n v="25.43152"/>
        <n v="14.76467"/>
        <n v="21.46666718"/>
        <n v="14.590389"/>
        <n v="26.66421"/>
        <n v="5.5042443"/>
        <n v="18.1033"/>
        <n v="13.43828"/>
        <n v="-8.873595"/>
        <n v="28.24899"/>
        <n v="17.09807"/>
        <n v="14.91352749"/>
        <n v="15.90144"/>
        <n v="23.28767"/>
        <n v="16.51352"/>
        <n v="-0.97612"/>
        <n v="-8.587658"/>
        <n v="26.95161"/>
        <n v="15.32691"/>
        <n v="17.88222313"/>
        <n v="21.50386"/>
        <n v="22.05252"/>
        <n v="27.89859"/>
        <n v="17.7151"/>
        <n v="0.71934"/>
        <n v="17.18282"/>
        <n v="-8.856643"/>
        <n v="-8.712395"/>
        <n v="28.25099"/>
        <n v="18.0321"/>
        <n v="14.18116"/>
        <n v="21.33680344"/>
        <n v="17.66847"/>
        <n v="20.32111"/>
        <n v="-2.754611"/>
        <n v="18.06066"/>
        <n v="-0.82634"/>
        <n v="25.51528"/>
        <n v="17.11971389"/>
        <n v="18.69583"/>
        <n v="4.66201"/>
        <n v="21.92941"/>
        <n v="14.80669"/>
        <n v="11.7586"/>
        <n v="14.86525"/>
        <n v="15.1783"/>
        <n v="3.81295"/>
        <n v="15.96342778"/>
        <n v="13.108722"/>
        <n v="0.81611"/>
        <n v="16.23333"/>
        <n v="7.5856"/>
        <n v="17.86174"/>
        <n v="15.65453"/>
        <n v="12.05243"/>
        <n v="2.38593"/>
        <n v="21.55255"/>
        <n v="7.00026324822555"/>
        <n v="16.49657"/>
        <n v="13.04528"/>
        <n v="8.817039523"/>
        <n v="10.0739970315481"/>
        <n v="13.57206"/>
        <n v="20.067043"/>
        <n v="2.31966"/>
        <n v="3.15874"/>
        <n v="19.28444481"/>
        <n v="8.31326879458985"/>
        <n v="14.15166"/>
        <n v="13.23512"/>
        <n v="4.38037"/>
        <n v="2.681217"/>
        <n v="17.2152"/>
        <n v="-9.082436"/>
        <n v="-0.678377"/>
        <n v="19.21055603"/>
        <n v="2.26278"/>
        <n v="3.73374"/>
        <n v="18.52330208"/>
        <n v="16.31202"/>
        <n v="24.90539508"/>
        <n v="2.32326"/>
        <n v="24.54406193"/>
        <n v="21.47863"/>
        <n v="26.79032474"/>
        <n v="24.83669"/>
        <n v="24.62883"/>
        <n v="27.8935659"/>
        <n v="24.90581"/>
        <n v="27.28942"/>
        <n v="29.83795"/>
        <n v="21.198325"/>
        <n v="3.626551"/>
        <n v="4.86021"/>
        <n v="18.7116"/>
        <n v="28.12581478"/>
        <n v="19.27672195"/>
        <n v="26.95694"/>
        <n v="25.74089"/>
        <n v="21.81623"/>
        <n v="25.43516"/>
        <n v="-3.14958"/>
        <n v="7.14281346815411"/>
        <n v="22.29935"/>
        <n v="13.8971"/>
        <n v="8.63537372343063"/>
        <n v="8.2991"/>
        <n v="21.09080696"/>
        <n v="20.41062"/>
        <n v="26.08156"/>
        <n v="12.2458"/>
        <n v="17.67576"/>
        <n v="-8.65048"/>
        <n v="5.6436443"/>
        <n v="8.7272130453994"/>
        <n v="22.81697"/>
        <n v="12.69391"/>
        <n v="25.34015823"/>
        <n v="10.835762"/>
        <n v="3.128"/>
        <n v="-8.331757"/>
        <n v="25.16002"/>
        <n v="19.135098"/>
        <n v="9.0706"/>
        <n v="27.71085"/>
        <n v="11.158329"/>
        <n v="6.577829054"/>
        <n v="15.60391911"/>
        <n v="-5.723454"/>
        <n v="8.8666"/>
        <n v="8.376"/>
        <n v="25.58304"/>
        <n v="21.24458"/>
        <n v="4.81585"/>
        <n v="15.61128"/>
        <n v="12.25601"/>
        <n v="17.0011"/>
        <n v="11.402339"/>
        <n v="17.9919"/>
        <n v="24.02246"/>
        <n v="16.359917"/>
        <n v="8.24251121514893"/>
        <n v="15.62498"/>
        <n v="21.55384"/>
        <n v="6.84357509"/>
        <n v="7.5706"/>
        <n v="17.66523"/>
        <n v="24.50551"/>
        <n v="21.04404"/>
        <n v="18.23683357"/>
        <n v="6.0322"/>
        <n v="19.228333"/>
        <n v="25.11473"/>
        <n v="26.82108"/>
        <n v="-9.0577218"/>
        <n v="2.229837"/>
        <n v="14.93453297"/>
        <n v="-1.8417493"/>
        <n v="7.79649"/>
        <n v="14.256111"/>
        <n v="8.618005844"/>
        <n v="9.06935625554061"/>
        <n v="15.5893822"/>
        <n v="-2.1145704"/>
        <n v="8.5653"/>
        <n v="18.80539"/>
        <n v="25.128"/>
        <n v="24.65217071"/>
        <n v="27.6889"/>
        <n v="17.07766"/>
        <n v="6.31466345414203"/>
        <n v="25.975734"/>
        <n v="-0.046436737"/>
        <n v="3.30631"/>
        <n v="21.202935"/>
        <n v="5.31782"/>
        <n v="8.7776"/>
        <n v="24.63539"/>
        <n v="7.5833"/>
        <n v="14.14955"/>
        <n v="27.7449635"/>
        <n v="17.82521"/>
        <n v="15.2022"/>
        <n v="9.1383"/>
        <n v="16.461944"/>
        <n v="14.545125"/>
        <n v="24.17603"/>
        <n v="-16.573048"/>
        <n v="16.26148"/>
        <n v="17.97772222"/>
        <n v="2.14059"/>
        <n v="27.26546"/>
        <n v="15.334056"/>
        <n v="20.08016014"/>
        <n v="20.99627876"/>
        <n v="15.2808"/>
        <n v="12.02754"/>
        <n v="-0.146744"/>
        <n v="3.41373"/>
        <n v="-1.215424"/>
        <n v="12.236944"/>
        <n v="18.532067"/>
        <n v="1.39859"/>
        <n v="6.69598"/>
        <n v="21.47087479"/>
        <n v="-5.418414"/>
        <n v="-8.11105"/>
        <n v="10.8354"/>
        <n v="6.83473480185642"/>
        <n v="3.36109"/>
        <n v="6.6392"/>
        <n v="12.76602"/>
        <n v="15.60364155"/>
        <n v="13.799917"/>
        <n v="4.837"/>
        <n v="13.2897"/>
        <n v="14.5435"/>
        <n v="20.01033401"/>
        <n v="33.3164"/>
        <n v="7.78884"/>
        <n v="8.7525"/>
        <n v="26.91692"/>
        <n v="28.92253"/>
        <n v="8.8206"/>
        <n v="-5.87316"/>
        <n v="-0.939224"/>
        <n v="-1.79271"/>
        <n v="-15.435877"/>
        <n v="9.4836"/>
        <n v="10.9439"/>
        <n v="11.1387"/>
        <n v="9.4794"/>
        <n v="2.9953"/>
        <n v="6.57641307376497"/>
        <n v="17.39061"/>
        <n v="22.06661"/>
        <n v="3.77472"/>
        <n v="9.4359"/>
        <n v="-0.52971"/>
        <n v="16.432"/>
        <n v="9.6097"/>
        <n v="19.14166641"/>
        <n v="2.76435"/>
        <n v="14.54113899"/>
        <n v="11.4311"/>
        <n v="9.5078"/>
        <n v="11.9231"/>
        <n v="8.9887"/>
        <n v="14.377222"/>
        <n v="6.06991"/>
        <n v="18.96845245"/>
        <n v="-1.687775"/>
        <n v="0.50569"/>
        <n v="5.02812"/>
        <n v="-8.461053"/>
        <n v="7.4139"/>
        <n v="18.09000015"/>
        <n v="2.20525"/>
        <n v="-6.861228"/>
        <n v="-1.28274"/>
        <n v="16.6566"/>
        <n v="8.4008"/>
        <n v="23.58147"/>
        <n v="15.42088"/>
        <n v="25.83929"/>
        <n v="10.4835682679806"/>
        <n v="22.7037"/>
        <n v="6.41959"/>
        <n v="5.88936"/>
        <n v="-0.279673"/>
        <n v="13.38407"/>
        <n v="10.1580121341436"/>
        <n v="13.7483"/>
        <n v="7.46506019202167"/>
        <n v="6.96"/>
        <n v="-0.825523"/>
        <n v="17.76095556"/>
        <n v="9.68933"/>
        <n v="-0.871259"/>
        <n v="16.289472"/>
        <n v="14.16465"/>
        <n v="21.65303"/>
        <n v="4.89285"/>
        <n v="-5.39"/>
        <n v="14.1120978412546"/>
        <n v="18.64043617"/>
        <n v="15.691833"/>
        <n v="4.06802"/>
        <n v="2.228956"/>
        <n v="-7.862932"/>
        <n v="1.59807"/>
        <n v="22.69167"/>
        <n v="8.1035"/>
        <n v="14.593734"/>
        <n v="-8.950252"/>
        <n v="3.30532"/>
        <n v="10.3191428848763"/>
        <n v="19.80194092"/>
        <n v="18.23451996"/>
        <n v="14.04509457"/>
        <n v="11.1162872"/>
        <n v="11.3079"/>
        <n v="7.40816324758141"/>
        <n v="23.94552"/>
        <n v="16.2147"/>
        <n v="12.2661"/>
        <n v="7.6763"/>
        <n v="16.783472"/>
        <n v="12.90604"/>
        <n v="7.9005"/>
        <n v="12.6615"/>
        <n v="18.23666763"/>
        <n v="13.7994"/>
        <n v="8.1927"/>
        <n v="5.2573"/>
        <n v="11.5833"/>
        <n v="24.06633"/>
        <n v="8.4308"/>
        <n v="2.68152"/>
        <n v="15.64044044"/>
        <n v="12.0883"/>
        <n v="16.175639"/>
        <n v="13.17413"/>
        <n v="-4.50856"/>
        <n v="18.92638779"/>
        <n v="9.6491"/>
        <n v="5.75885"/>
        <n v="5.29649"/>
        <n v="14.53813648"/>
        <n v="12.1427187430838"/>
        <n v="4.91605"/>
        <n v="8.2678"/>
        <n v="12.6345"/>
        <n v="11.5535"/>
        <n v="13.628036"/>
        <n v="10.954882757162"/>
        <n v="2.689966"/>
        <n v="9.3583"/>
        <n v="-5.815155"/>
        <n v="7.4"/>
        <n v="12.92871"/>
        <n v="11.99541"/>
        <n v="10.8271294"/>
        <n v="5.64152"/>
        <n v="2.38725"/>
        <n v="14.1103"/>
        <n v="7.88782764054791"/>
        <n v="9.0686"/>
        <n v="16.77168227"/>
        <n v="15.328056"/>
        <n v="-0.337601"/>
        <n v="3.86174"/>
        <n v="8.9733"/>
        <n v="23.463966"/>
        <n v="1.77382"/>
        <n v="9.5569"/>
        <n v="7.6062"/>
        <n v="15.1825"/>
        <n v="9.5102"/>
        <n v="-7.860833"/>
        <n v="18.32445278"/>
        <n v="21.59829"/>
        <n v="14.1129"/>
        <n v="13.5869"/>
        <n v="9.04"/>
        <n v="10.4494"/>
        <n v="6.70617"/>
        <n v="4.5452027"/>
        <n v="10.1110669503613"/>
        <n v="13.5831"/>
        <n v="10.9671888"/>
        <n v="17.802561"/>
        <n v="2.03745"/>
        <n v="15.4237"/>
        <n v="-4.07035"/>
        <n v="9.894434"/>
        <n v="2.67522"/>
        <n v="4.95079"/>
        <n v="6.6565"/>
        <n v="-0.54633668"/>
        <n v="12.399889"/>
        <n v="14.62547493"/>
        <n v="22.46811104"/>
        <n v="16.54008293"/>
        <n v="20.92166519"/>
        <n v="19.54008293"/>
        <n v="12.2549"/>
        <n v="16.01502"/>
        <n v="2.6898"/>
        <n v="24.002708"/>
        <n v="13.3302441613619"/>
        <n v="5.03913"/>
        <n v="7.1218"/>
        <n v="-4.559444"/>
        <n v="55.32911"/>
        <n v="8.403"/>
        <n v="7.16840293816789"/>
        <n v="-1.50555"/>
        <n v="18.17860985"/>
        <n v="12.4926122835539"/>
        <n v="2.16155"/>
        <n v="23.52458"/>
        <n v="-4.038539"/>
        <n v="9.0725"/>
        <n v="7.6105"/>
        <n v="2.8305"/>
        <n v="2.276"/>
        <n v="19.42069435"/>
        <n v="17.937156"/>
        <n v="7.7516"/>
        <n v="-0.50707"/>
        <n v="-0.946256"/>
        <n v="2.50012"/>
        <n v="3.47998"/>
        <n v="23.32946"/>
        <n v="2.85"/>
        <n v="2.231541"/>
        <n v="5.91212"/>
        <n v="8.03701249412366"/>
        <n v="23.06881"/>
        <n v="9.7325"/>
        <n v="5.15779"/>
        <n v="3.55071"/>
        <n v="5.81475"/>
        <n v="25.51853"/>
        <n v="3.51709"/>
        <n v="5.89551"/>
        <n v="9.1825"/>
        <n v="11.2511"/>
        <n v="18.11083412"/>
        <n v="55.39911"/>
        <n v="13.0169"/>
        <n v="15.9735"/>
        <n v="23.5443573"/>
        <n v="-0.91382"/>
        <n v="20.70867"/>
        <n v="4.94219"/>
        <n v="14.5638"/>
        <n v="-8.77444"/>
        <n v="6.1185"/>
        <n v="18.08750153"/>
        <n v="23.77675"/>
        <n v="2.680348"/>
        <n v="22.47702789"/>
        <n v="26.13804"/>
        <n v="25.086705"/>
        <n v="-8.499971"/>
        <n v="15.08318901"/>
        <n v="22.92900467"/>
        <n v="15.4759"/>
        <n v="-61.32555"/>
        <n v="4.3954873"/>
        <n v="18.943049"/>
        <n v="-3.799581"/>
        <n v="23.16826057"/>
        <n v="3.29084"/>
        <n v="15.491861"/>
        <n v="16.460528"/>
        <n v="16.463222"/>
        <n v="9.7104"/>
        <n v="22.9845"/>
        <n v="-1.8746695"/>
        <n v="20.52222252"/>
        <n v="18.47963333"/>
        <n v="13.5455"/>
        <n v="18.9635849"/>
        <n v="18.940529"/>
        <n v="-9.00969"/>
        <n v="5.10484"/>
        <n v="5.6725326"/>
        <n v="21.972625"/>
        <n v="3.4877694"/>
        <n v="22.8853"/>
        <n v="22.911998"/>
        <n v="6.6530059121098"/>
        <n v="6.03856"/>
        <n v="18.41069"/>
        <n v="14.52527714"/>
        <n v="22.9489"/>
        <n v="25.05117"/>
        <n v="19.2294445"/>
        <n v="-5.391"/>
        <n v="4.30104"/>
        <n v="19.051854"/>
        <n v="4.2669"/>
        <n v="25.235239"/>
        <n v="4.94425"/>
        <n v="4.433236"/>
        <n v="10.3444"/>
        <n v="24.05234"/>
        <n v="25.48961"/>
        <n v="14.323611"/>
        <n v="5.68909"/>
        <n v="-7.579216"/>
        <n v="12.6308"/>
        <n v="14.553715"/>
        <n v="11.7654"/>
        <n v="22.68859"/>
        <n v="17.558444"/>
        <n v="11.4777"/>
        <n v="18.940022"/>
        <n v="16.41377"/>
        <n v="4.79649"/>
        <n v="-3.8532"/>
        <n v="17.0326"/>
        <n v="19.05052757"/>
        <n v="24.06393"/>
        <n v="55.63896"/>
        <n v="-1.03588"/>
        <n v="14.301"/>
        <n v="-61.56103"/>
        <n v="7.5"/>
        <n v="-2.3844346"/>
        <n v="1.999262"/>
        <n v="-61.15738"/>
        <n v="1.713645"/>
        <n v="-13.54123"/>
        <n v="17.189656"/>
        <n v="1.663019"/>
        <n v="14.33978782"/>
        <n v="24.284166"/>
        <n v="15.488333"/>
        <n v="18.62656975"/>
        <n v="5.40896"/>
        <n v="-2.251731"/>
        <n v="2.43645"/>
        <n v="9.4667"/>
        <n v="-8.41955"/>
        <n v="18.918461"/>
        <n v="4.58384"/>
        <n v="9.447"/>
        <n v="3.442585"/>
        <n v="15.48888874"/>
        <n v="5.16207"/>
        <n v="6.35778"/>
        <n v="3.9938896"/>
        <n v="16.7564"/>
        <n v="-8.935265"/>
        <n v="-7.454929"/>
        <n v="4.1634"/>
        <n v="-21.773782"/>
        <n v="19.13888931"/>
        <n v="0.865002"/>
        <n v="-0.00573"/>
        <n v="16.98545074"/>
        <n v="3.72598"/>
        <n v="14.0658"/>
        <n v="-3.050893"/>
        <n v="8.53683083730255"/>
        <n v="15.0005"/>
        <n v="5.490941"/>
        <n v="21.273053"/>
        <n v="2.11075"/>
        <n v="5.50552"/>
        <n v="2.22"/>
        <n v="1.171925"/>
        <n v="18.8105545"/>
        <n v="22.59472222"/>
        <n v="-0.96423"/>
        <n v="16.44333"/>
        <n v="18.263048"/>
        <n v="8.334678573"/>
        <n v="-4.56"/>
        <n v="16.6"/>
        <n v="8.739"/>
        <n v="-3.47434"/>
        <n v="22.9532"/>
        <n v="18.03978"/>
        <n v="-3.98806"/>
        <n v="4.3192"/>
        <n v="-6.204397"/>
        <n v="21.84543"/>
        <n v="4.68191"/>
        <n v="9.143573"/>
        <n v="22.55778"/>
        <n v="10.7146"/>
        <n v="2.160452"/>
        <n v="2.32625"/>
        <n v="-6.943695"/>
        <n v="5.954014"/>
        <n v="15.268"/>
        <n v="2.90924"/>
        <n v="6.26553"/>
        <n v="4.259713"/>
        <n v="5.3703413"/>
        <n v="-1.9029"/>
        <n v="7.59363"/>
        <n v="-8.875618"/>
        <n v="-5.773367"/>
        <n v="14.2297"/>
        <n v="17.98419"/>
        <n v="1.78231"/>
        <n v="15.27978"/>
        <n v="19.01933289"/>
        <n v="17.65382956"/>
        <n v="0.0"/>
        <n v="4.0448"/>
        <n v="-5.619827"/>
        <n v="16.44352"/>
        <n v="6.9653"/>
        <n v="14.533667"/>
        <n v="1.03675"/>
        <n v="-4.295953"/>
        <n v="2.452918"/>
        <n v="6.00588"/>
        <n v="9.0113"/>
        <n v="8.6794"/>
        <n v="4.79411"/>
        <n v="10.6002"/>
        <n v="12.5467"/>
        <n v="-0.14459"/>
        <n v="19.14409065"/>
        <n v="1.18239"/>
        <n v="-2.13511"/>
        <n v="7.6647"/>
        <n v="16.085917"/>
        <n v="-8.87674"/>
        <n v="12.7167"/>
        <n v="-6.895319"/>
        <n v="24.03834"/>
        <n v="9.81"/>
        <n v="8.75774"/>
        <n v="8.10269"/>
        <n v="18.292761"/>
        <n v="20.647105"/>
        <n v="5.0"/>
        <n v="22.069182"/>
        <n v="18.719982"/>
        <n v="14.12858139"/>
        <n v="8.6505"/>
        <n v="6.430421"/>
        <n v="21.44509125"/>
        <n v="3.36945"/>
        <n v="5.912952"/>
        <n v="28.01736"/>
        <n v="17.26642222"/>
        <n v="7.37527"/>
        <n v="4.641672"/>
        <n v="18.263555"/>
        <n v="0.31926"/>
        <n v="22.03069"/>
        <n v="2.41632"/>
        <n v="19.104605"/>
        <n v="8.2391"/>
        <n v="18.846948"/>
        <n v="19.340795"/>
        <n v="18.398833"/>
        <n v="-3.9"/>
        <n v="3.03251"/>
        <n v="4.62159"/>
        <n v="15.180555"/>
        <n v="19.02972221"/>
        <n v="8.1568"/>
        <n v="15.2164"/>
        <n v="-3.633"/>
        <n v="19.055637"/>
        <n v="21.906"/>
        <n v="3.2105"/>
        <n v="-22.02865"/>
        <n v="19.25732994"/>
        <n v="0.99013"/>
        <n v="-1.28138"/>
        <n v="11.8367"/>
        <n v="-0.541845"/>
        <n v="12.2003"/>
        <n v="24.170937"/>
        <n v="13.82477"/>
        <n v="16.6569"/>
        <n v="19.103282"/>
        <n v="22.080833"/>
        <n v="13.052528"/>
        <n v="21.18369522"/>
        <n v="20.61518"/>
        <n v="-8.903386"/>
        <n v="6.96899"/>
        <n v="9.7186"/>
        <n v="21.02302"/>
        <n v="24.324309"/>
        <n v="1.75043"/>
        <n v="-16.946105"/>
        <n v="18.761255"/>
        <n v="-5.391025"/>
        <n v="26.5310908"/>
        <n v="8.50439288084779"/>
        <n v="14.16755"/>
        <n v="4.11336"/>
        <n v="27.77893"/>
        <n v="8.5222"/>
        <n v="9.5529"/>
        <n v="5.2680287"/>
        <n v="6.35903"/>
        <n v="1.88441"/>
        <n v="3.22501"/>
        <n v="2.186544"/>
        <n v="18.6932888"/>
        <n v="-5.809021"/>
        <n v="15.58"/>
        <n v="10.4739"/>
        <n v="5.38547"/>
        <n v="22.60183907"/>
        <n v="1.4315"/>
        <n v="18.0821819"/>
        <n v="11.7517"/>
        <n v="8.4079"/>
        <n v="6.10325"/>
        <n v="5.63152"/>
        <n v="-61.05727"/>
        <n v="1.11025"/>
        <n v="23.71095372"/>
        <n v="21.739013"/>
        <n v="16.11762047"/>
        <n v="19.164244"/>
        <n v="-6.768889"/>
        <n v="2.49422"/>
        <n v="15.94858"/>
        <n v="9.4246"/>
        <n v="11.966666"/>
        <n v="3.92123"/>
        <n v="0.889134"/>
        <n v="18.71085548"/>
        <n v="15.708278"/>
        <n v="-2.771422"/>
        <n v="13.0042"/>
        <n v="2.32505"/>
        <n v="-6.12817"/>
        <n v="11.5921"/>
        <n v="14.725278"/>
        <n v="4.16283"/>
        <n v="5.81144"/>
        <n v="7.4847"/>
        <n v="6.5464"/>
        <n v="-4.500743"/>
        <n v="-4.810097"/>
        <n v="12.7394"/>
        <n v="-8.84746"/>
        <n v="27.04849"/>
        <n v="5.39075"/>
        <n v="20.842372"/>
        <n v="20.2093277"/>
        <n v="20.29166"/>
        <n v="-4.162595"/>
        <n v="25.47789"/>
        <n v="19.05249977"/>
        <n v="9.68161925929006"/>
        <n v="5.1671"/>
        <n v="21.630453"/>
        <n v="4.32261"/>
        <n v="7.2493"/>
        <n v="13.814333"/>
        <n v="-0.776613"/>
        <n v="2.27132"/>
        <n v="18.426762"/>
        <n v="12.6178"/>
        <n v="18.29222107"/>
        <n v="-5.412848"/>
        <n v="16.433333"/>
        <n v="20.51289177"/>
        <n v="20.223414"/>
        <n v="17.9201355"/>
        <n v="2.84918"/>
        <n v="45.16739"/>
        <n v="4.33484"/>
        <n v="6.41779"/>
        <n v="16.3739433"/>
        <n v="14.441111"/>
        <n v="13.2503"/>
        <n v="14.12122"/>
        <n v="3.00292"/>
        <n v="4.42339"/>
        <n v="-52.27228"/>
        <n v="17.153697"/>
        <n v="16.2892"/>
        <n v="10.853472"/>
        <n v="0.52159"/>
        <n v="-25.613451"/>
        <n v="18.1997"/>
        <n v="-6.670802"/>
        <n v="-2.189981"/>
        <n v="24.183068"/>
        <n v="-3.06202"/>
        <n v="4.68449"/>
        <n v="13.57208569"/>
        <n v="4.8602"/>
        <n v="15.6736"/>
        <n v="-3.0"/>
        <n v="13.5906"/>
        <n v="3.42766"/>
        <n v="5.87595"/>
        <n v="-17.791705"/>
        <n v="12.25"/>
        <n v="2.90492"/>
        <n v="18.103758"/>
        <n v="-2.668048"/>
        <n v="15.435972"/>
        <n v="26.54913"/>
        <n v="19.47548866"/>
        <n v="-0.27352"/>
        <n v="-0.60949"/>
        <n v="-15.411372"/>
        <n v="-4.04713"/>
        <n v="10.0333"/>
        <n v="21.022157"/>
        <n v="7.5678"/>
        <n v="6.1816"/>
        <n v="5.55078"/>
        <n v="-1.488365"/>
        <n v="-3.7418"/>
        <n v="15.423906"/>
        <n v="5.179099"/>
        <n v="16.06588745"/>
        <n v="20.106335"/>
        <n v="9.6261"/>
        <n v="-4.709634"/>
        <n v="-3.75087"/>
        <n v="-5.875078"/>
        <n v="10.6167"/>
        <n v="7.23784"/>
        <n v="-0.982184"/>
        <n v="18.77243805"/>
        <n v="-16.722961"/>
        <n v="18.416884"/>
        <n v="-8.097592"/>
        <n v="14.117306"/>
        <n v="-8.800138"/>
        <n v="11.82119"/>
        <n v="16.02847"/>
        <n v="10.2269"/>
        <n v="3.04265"/>
        <n v="10.3316"/>
        <n v="4.32097"/>
        <n v="18.00814629"/>
        <n v="-5.32"/>
        <n v="-6.698699"/>
        <n v="-2.937943"/>
        <n v="15.6048"/>
        <n v="-4.466111"/>
        <n v="9.024167"/>
        <n v="-5.407446"/>
        <n v="10.637861"/>
        <n v="0.25948"/>
        <n v="-2.884469"/>
        <n v="8.6697"/>
        <n v="16.5486"/>
        <n v="24.317765"/>
        <n v="25.153158"/>
        <n v="18.59751"/>
        <n v="2.37389"/>
        <n v="-5.385402"/>
        <n v="-4.491705"/>
        <n v="5.5826173"/>
        <n v="-3.4406"/>
        <n v="-5.480688"/>
        <n v="-6.879285"/>
        <n v="21.10705566"/>
        <n v="-4.57027"/>
        <n v="15.1839"/>
        <n v="-63.08035"/>
        <n v="2.65534"/>
        <n v="18.907018"/>
        <n v="-0.294715"/>
        <n v="9.2828"/>
        <n v="-1.999106"/>
        <n v="4.88914"/>
        <n v="23.07361"/>
        <n v="-0.41583"/>
        <n v="12.259722"/>
        <n v="16.493889"/>
        <n v="-3.1176"/>
        <n v="23.59286"/>
        <n v="-3.541294"/>
        <n v="4.7077"/>
        <n v="17.189958"/>
        <n v="21.13066673"/>
        <n v="15.2723"/>
        <n v="8.7952"/>
        <n v="8.7397"/>
        <n v="6.26577"/>
        <n v="-3.710147"/>
        <n v="-0.37976187"/>
        <n v="19.09898758"/>
        <n v="14.346667"/>
        <n v="-1.66578"/>
        <n v="20.8001194"/>
        <n v="19.037777"/>
        <n v="23.624167"/>
        <n v="15.7796"/>
        <n v="-3.110944"/>
        <n v="7.56927"/>
        <n v="20.44405746"/>
        <n v="-1.677389"/>
        <n v="18.72966766"/>
        <n v="11.7031"/>
        <n v="-3.49513"/>
        <n v="15.1905"/>
        <n v="4.79959"/>
        <n v="26.15408"/>
        <n v="24.011566"/>
        <n v="16.15527725"/>
        <n v="-3.58229"/>
        <n v="12.487222"/>
        <n v="18.02789688"/>
        <n v="2.791314"/>
        <n v="3.75495"/>
        <n v="13.258717"/>
        <n v="4.34517"/>
        <n v="16.4489"/>
        <n v="-3.780037"/>
        <n v="4.97"/>
        <n v="5.66991"/>
        <n v="-4.857662"/>
        <n v="-9.08549"/>
        <n v="0.22592"/>
        <n v="10.8333"/>
        <n v="9.7192"/>
        <n v="2.25864"/>
        <n v="23.51083"/>
        <n v="0.56521"/>
        <n v="19.09745979"/>
        <n v="7.0296"/>
        <n v="8.8768"/>
        <n v="13.82722"/>
        <n v="8.25700175444804"/>
        <n v="-3.3897"/>
        <n v="7.4175"/>
        <n v="-8.494415"/>
        <n v="23.60276"/>
        <n v="-5.39647"/>
        <n v="18.49604444"/>
        <n v="18.47851389"/>
        <n v="22.176387"/>
        <n v="18.896743"/>
        <n v="17.52029028"/>
        <n v="-6.894507"/>
        <n v="15.219444"/>
        <n v="-4.0497"/>
        <n v="20.45085"/>
        <n v="3.91058"/>
        <n v="-3.37015"/>
        <n v="18.847665"/>
        <n v="7.7042"/>
        <n v="0.014574"/>
        <n v="7.6008"/>
        <n v="16.77406374"/>
        <n v="5.04725"/>
        <n v="21.26869"/>
        <n v="9.15584927637488"/>
        <n v="8.7858"/>
        <n v="-8.446743"/>
        <n v="17.193"/>
        <n v="4.86113"/>
        <n v="16.73537445"/>
        <n v="9.00644860042782"/>
        <n v="14.5342"/>
        <n v="-2.12806"/>
        <n v="4.93111"/>
        <n v="4.93663"/>
        <n v="17.428525"/>
        <n v="10.3365"/>
        <n v="-5.91113"/>
        <n v="17.1999"/>
        <n v="12.2667"/>
        <n v="17.00142"/>
        <n v="24.647993"/>
        <n v="7.0358"/>
        <n v="22.87819"/>
        <n v="8.9466"/>
        <n v="3.81872"/>
        <n v="21.01035"/>
        <n v="12.54737"/>
        <n v="-3.39504"/>
        <n v="7.1244"/>
        <n v="7.755"/>
        <n v="15.067"/>
        <n v="5.10169"/>
        <n v="6.8516"/>
        <n v="14.2772"/>
        <n v="16.39852"/>
        <n v="16.547028"/>
        <n v="-61.03075"/>
        <n v="7.6194"/>
        <n v="-17.723"/>
        <n v="6.8469"/>
        <n v="7.5416"/>
        <n v="6.6286"/>
        <n v="7.3608"/>
        <n v="6.05194"/>
        <n v="9.5969"/>
        <n v="12.6667"/>
        <n v="18.83472252"/>
        <n v="13.2534"/>
        <n v="4.27594"/>
        <n v="5.95579"/>
        <n v="-5.421245"/>
        <n v="13.0778"/>
        <n v="5.89753"/>
        <n v="20.09319305"/>
        <n v="4.5354776"/>
        <n v="5.50021"/>
        <n v="1.979523"/>
        <n v="-14.099652"/>
        <n v="-9.082164"/>
        <n v="-21.785483"/>
        <n v="17.86922797"/>
        <n v="7.8729"/>
        <n v="9.3028"/>
        <n v="4.28916"/>
        <n v="4.271"/>
        <n v="4.2185373"/>
        <n v="25.615"/>
        <n v="7.03121"/>
        <n v="8.0704225115173"/>
        <n v="11.9032958254118"/>
        <n v="1.220202"/>
        <n v="-7.2394"/>
        <n v="27.594131"/>
        <n v="9.97278369040868"/>
        <n v="22.29048"/>
        <n v="28.17438"/>
        <n v="13.8369291710775"/>
        <n v="9.57999294941876"/>
        <n v="12.0282827844467"/>
        <n v="8.33624692976314"/>
        <n v="9.76852424826161"/>
        <n v="9.61789116473121"/>
        <n v="12.1816257344646"/>
        <n v="8.5106589298536"/>
        <n v="9.88593387119076"/>
        <n v="10.7003436919644"/>
        <n v="8.02881626677174"/>
        <n v="8.05402878770055"/>
        <n v="9.86504160545953"/>
        <n v="8.33468194465238"/>
        <n v="10.9977241940792"/>
        <n v="8.07317124217995"/>
        <n v="8.74404617045357"/>
        <n v="9.50951892654723"/>
        <n v="6.76682813650854"/>
        <n v="-6.386672"/>
        <n v="-8.693808"/>
        <n v="-7.140934"/>
        <n v="22.331876"/>
        <n v="28.307913"/>
        <n v="25.281858"/>
        <n v="25.41758611"/>
        <n v="26.029587"/>
        <n v="22.866436"/>
        <n v="-2.4715"/>
        <n v="-6.7661"/>
        <n v="10.0417365035144"/>
        <n v="20.06674194"/>
        <n v="-0.176455"/>
        <n v="-0.104481"/>
        <n v="-0.172821"/>
        <n v="-0.235392"/>
        <n v="8.6908"/>
        <n v="8.0108"/>
        <n v="6.65805487"/>
        <n v="14.46791077"/>
        <n v="16.98888969"/>
        <n v="20.56609726"/>
        <n v="14.58581066"/>
        <n v="18.27581868"/>
        <n v="6.72886541591025"/>
        <n v="6.74357527104311"/>
        <n v="6.97077265943461"/>
        <n v="18.937737"/>
        <n v="8.2897"/>
        <n v="19.33722496"/>
        <n v="18.14252853"/>
        <n v="18.48666763"/>
        <n v="15.71540491"/>
        <n v="12.007523964564"/>
        <n v="2.3358"/>
        <n v="4.66"/>
        <n v="8.68672846423849"/>
        <n v="6.75413698244507"/>
        <n v="9.01114385737888"/>
        <n v="7.16596499401585"/>
        <n v="19.45518112"/>
        <n v="15.4512"/>
        <n v="7.5639"/>
        <n v="8.4435"/>
        <n v="16.79753"/>
        <n v="14.07952847"/>
        <n v="7.50742"/>
        <n v="24.47708"/>
        <n v="18.139487"/>
        <n v="24.335496"/>
        <n v="3.85005"/>
        <n v="21.97403145"/>
        <n v="24.506814"/>
        <n v="-4.0586"/>
        <n v="-6.887875"/>
        <n v="-2.7971083"/>
        <n v="9.621395"/>
        <n v="26.5279"/>
        <n v="11.8766961740924"/>
        <n v="11.1473328717118"/>
        <n v="9.72995537774214"/>
        <n v="12.1149898218878"/>
        <n v="10.5595538731267"/>
        <n v="6.66358395440062"/>
        <n v="9.79506332154024"/>
        <n v="10.0801581297894"/>
        <n v="8.22098281442473"/>
        <n v="6.37312120156878"/>
        <n v="12.8827501613666"/>
        <n v="-4.8334"/>
        <n v="10.8136639584265"/>
        <n v="12.1345270883254"/>
        <n v="24.83237"/>
        <n v="13.5171565621373"/>
        <n v="6.63440381669402"/>
        <n v="12.0194529164339"/>
        <n v="7.39776960254191"/>
        <n v="14.2557528609743"/>
        <n v="8.76211082876905"/>
        <n v="8.95241654099319"/>
        <n v="7.472332581"/>
        <n v="8.0731821024339"/>
        <n v="11.4789708504873"/>
        <n v="6.87344826377586"/>
        <n v="7.20169769087538"/>
        <n v="7.81991703273898"/>
        <n v="9.115096908"/>
        <n v="9.06184800341969"/>
        <n v="7.62975704197108"/>
        <n v="10.0717072012753"/>
        <n v="8.2627727883252"/>
        <n v="8.49490776409237"/>
        <n v="7.465965313"/>
        <n v="13.5047333343765"/>
        <n v="7.17140668462104"/>
        <n v="6.90699"/>
        <n v="4.59954"/>
        <n v="-1.4314543"/>
        <n v="4.28761"/>
        <n v="4.32686"/>
        <n v="25.51675"/>
        <n v="0.20993"/>
        <n v="2.88563"/>
        <n v="5.00058"/>
        <n v="7.54591"/>
        <n v="9.207870944"/>
        <n v="9.50412189043017"/>
        <n v="12.0021410035314"/>
        <n v="11.9958175443404"/>
        <n v="9.18659604122203"/>
        <n v="1.231349"/>
        <n v="-4.0571"/>
        <n v="-8.47791"/>
        <n v="27.635453"/>
        <n v="17.43183152"/>
        <n v="17.95567516"/>
        <n v="12.0553223346468"/>
        <n v="8.22749681415228"/>
        <n v="9.497936443"/>
        <n v="7.43914792319829"/>
        <n v="6.91846142619725"/>
        <n v="6.6666520565427"/>
        <n v="6.70523734954119"/>
        <n v="6.6623845315366"/>
        <n v="7.31614847722135"/>
        <n v="11.5760525585048"/>
        <n v="8.35773224729081"/>
        <n v="8.54674104451135"/>
        <n v="-9.059835"/>
        <n v="4.25626"/>
        <n v="4.28743"/>
        <n v="4.26431"/>
        <n v="4.27863"/>
        <n v="4.25934"/>
        <n v="-1.2670638"/>
        <n v="-3.5008405"/>
        <n v="-1.1878099"/>
        <n v="-1.2035841"/>
        <n v="-0.16025843"/>
        <n v="8.68502"/>
        <n v="27.89565374"/>
        <n v="27.23802424"/>
        <n v="-0.61294"/>
        <n v="12.5844"/>
        <n v="14.62731934"/>
        <n v="8.0923"/>
        <n v="-4.98811"/>
        <n v="9.84139878684372"/>
        <n v="2.84582"/>
        <n v="11.2424798151368"/>
        <n v="6.04371"/>
        <n v="22.06102753"/>
        <n v="-0.177051"/>
        <n v="4.692587"/>
        <n v="26.519583"/>
        <n v="24.739861"/>
        <n v="15.7059"/>
        <n v="13.80121838"/>
        <n v="2.30119"/>
        <n v="6.84162"/>
        <n v="4.84205"/>
        <n v="7.50798"/>
        <n v="4.0304"/>
        <n v="6.93341896789284"/>
        <n v="12.0764688642303"/>
        <n v="7.06458706146246"/>
        <n v="11.5807796104315"/>
        <n v="11.4401830927221"/>
        <n v="12.2435785466782"/>
        <n v="13.0035502759774"/>
        <n v="12.2433875883319"/>
        <n v="11.3820935858754"/>
        <n v="20.686429"/>
        <n v="13.2324"/>
        <n v="15.938142"/>
        <n v="12.2592"/>
        <n v="7.5908"/>
        <n v="10.3858"/>
        <n v="14.75"/>
        <n v="5.93165"/>
        <n v="5.08588"/>
        <n v="19.93492126"/>
        <n v="19.18998718"/>
        <n v="19.30139351"/>
        <n v="22.71411133"/>
        <n v="-8.91975"/>
        <n v="27.328113"/>
        <n v="-0.9578"/>
        <n v="-5.929742"/>
        <n v="-6.356428"/>
        <n v="-1.665802"/>
        <n v="-3.2595"/>
        <n v="-0.255923"/>
        <n v="-2.815975"/>
        <n v="-1.43893"/>
        <n v="-3.80083"/>
        <n v="-0.90936"/>
        <n v="-2.74354"/>
        <n v="-1.085694"/>
        <n v="8.9011"/>
        <n v="10.3677726341878"/>
        <n v="11.3736099910559"/>
        <n v="8.99610467582824"/>
        <n v="8.397526681"/>
        <n v="12.4711510640536"/>
        <n v="7.5397"/>
        <n v="-9.34926"/>
        <n v="-2.127925"/>
        <n v="-2.9085"/>
        <n v="16.110249"/>
        <n v="20.26840782"/>
        <n v="14.29629803"/>
        <n v="21.46174812"/>
        <n v="22.30360794"/>
        <n v="16.886944"/>
        <n v="27.855556"/>
        <n v="23.700172"/>
        <n v="23.532042"/>
        <n v="23.25816"/>
        <n v="10.7979816885375"/>
        <n v="9.65238614962956"/>
        <n v="9.8637436349149"/>
        <n v="9.82517925012192"/>
        <n v="2.645"/>
        <n v="23.65238"/>
        <n v="21.61202812"/>
        <n v="18.84647369"/>
        <n v="18.37431335"/>
        <n v="19.46277809"/>
        <n v="18.25942039"/>
        <n v="18.96583366"/>
        <n v="18.93077087"/>
        <n v="15.2688055"/>
        <n v="19.38529205"/>
        <n v="19.39416695"/>
        <n v="18.08328629"/>
        <n v="-7.472355"/>
        <n v="8.5608"/>
        <n v="-0.58549139"/>
        <n v="-2.6183583"/>
        <n v="-2.0117909"/>
        <n v="12.1343193810549"/>
        <n v="7.84167749411479"/>
        <n v="7.04190223059343"/>
        <n v="13.8300469517843"/>
        <n v="25.109331"/>
        <n v="11.444128"/>
        <n v="6.84622636832365"/>
        <n v="6.79909816150665"/>
        <n v="6.73512444078458"/>
        <n v="20.19092"/>
        <n v="-3.76471"/>
        <n v="27.336508"/>
        <n v="14.32869175"/>
        <n v="15.74508121"/>
        <n v="11.1036079016391"/>
        <n v="9.7524233697535"/>
        <n v="25.52596"/>
        <n v="14.2381215333281"/>
        <n v="7.02890850572054"/>
        <n v="7.00575627868132"/>
        <n v="12.0001179708505"/>
        <n v="8.32905386692406"/>
        <n v="6.976845536"/>
        <n v="7.03720284379516"/>
        <n v="7.31181464088802"/>
        <n v="11.7580033141637"/>
        <n v="9.07977443187903"/>
        <n v="12.8365268762075"/>
        <n v="9.95158189424644"/>
        <n v="8.346402204"/>
        <n v="11.472950828513"/>
        <n v="11.7179066686173"/>
        <n v="11.5988829003105"/>
        <n v="-8.24794"/>
        <n v="4.33533"/>
        <n v="4.29626"/>
        <n v="4.10779"/>
        <n v="3.72705"/>
        <n v="4.16573"/>
        <n v="4.21727"/>
        <n v="26.010388"/>
        <n v="28.646779"/>
        <n v="26.079463"/>
        <n v="11.42308"/>
        <n v="11.87983"/>
        <n v="17.96672"/>
        <n v="-1.354595"/>
        <n v="-5.02788"/>
        <n v="-2.8412063"/>
        <n v="-3.68694"/>
        <n v="-3.1841082"/>
        <n v="-3.67143"/>
        <n v="-1.84334"/>
        <n v="-1.1729941"/>
        <n v="0.11369477"/>
        <n v="-3.12212"/>
        <n v="1.4649647"/>
        <n v="5.033256"/>
        <n v="5.512849"/>
        <n v="23.602005"/>
        <n v="10.5136118"/>
        <n v="6.78060280078902"/>
        <n v="10.0349698471195"/>
        <n v="7.50803445438934"/>
        <n v="9.88720980155128"/>
        <n v="6.7697156550606"/>
        <n v="6.9681697478088"/>
        <n v="24.3902516"/>
        <n v="15.790806"/>
        <n v="12.3793"/>
        <n v="17.36375"/>
        <n v="8.553916"/>
        <n v="5.312593"/>
        <n v="6.360833"/>
        <n v="7.82489"/>
        <n v="6.891349"/>
        <n v="9.623832"/>
        <n v="6.783232"/>
        <n v="5.768265"/>
        <n v="14.1634941"/>
        <n v="6.06832"/>
        <n v="12.1959365831697"/>
        <n v="9.48333036898341"/>
        <n v="9.9469"/>
        <n v="10.3557"/>
        <n v="6.00036"/>
        <n v="6.98393"/>
        <n v="4.58016"/>
        <n v="-3.3176"/>
        <n v="0.49650163"/>
        <n v="23.44638"/>
        <n v="21.67650414"/>
        <n v="17.98957253"/>
        <n v="20.27270317"/>
        <n v="17.91391563"/>
        <n v="18.07917595"/>
        <n v="5.0958"/>
        <n v="18.23310059"/>
        <n v="5.41395"/>
        <n v="7.53896"/>
        <n v="4.7973"/>
        <n v="4.83242"/>
        <n v="-0.52135"/>
        <n v="5.49868"/>
        <n v="8.364111816196"/>
        <n v="11.9551840450538"/>
        <n v="-0.005726"/>
        <n v="7.6631"/>
        <n v="4.27224"/>
        <n v="5.2071075"/>
        <n v="4.30723"/>
        <n v="3.79426"/>
        <n v="4.27366"/>
        <n v="12.66782347"/>
        <n v="0.52521"/>
        <n v="-1.29873"/>
        <n v="6.70733"/>
        <n v="8.42344564701332"/>
        <n v="13.8869788480767"/>
        <n v="9.1579628979056"/>
        <n v="9.95292127256902"/>
        <n v="18.912516"/>
        <n v="-8.82023"/>
        <n v="-5.436111"/>
        <n v="-8.022836"/>
        <n v="-8.234449"/>
        <n v="4.33203"/>
        <n v="5.00127"/>
        <n v="4.216302"/>
        <n v="4.26567"/>
        <n v="13.61185648"/>
        <n v="17.95504475"/>
        <n v="25.5211"/>
        <n v="5.0173"/>
        <n v="0.2231"/>
        <n v="2.2455"/>
        <n v="12.3560994005554"/>
        <n v="-8.83258"/>
        <n v="1.226122"/>
        <n v="-5.395147"/>
        <n v="-6.889568"/>
        <n v="-0.924361"/>
        <n v="11.82554"/>
        <n v="7.8914"/>
        <n v="7.8819"/>
        <n v="-3.31055"/>
        <n v="-3.68727"/>
        <n v="-3.29872"/>
        <n v="9.593346"/>
        <n v="13.616"/>
        <n v="6.846742503362"/>
        <n v="6.9631173363288"/>
        <n v="7.10303987874825"/>
        <n v="12.8442429616795"/>
        <n v="11.7086400239983"/>
        <n v="6.79844793202542"/>
        <n v="6.98618228038424"/>
        <n v="6.6467441343741"/>
        <n v="7.08970812018283"/>
        <n v="15.1973"/>
        <n v="18.0022"/>
        <n v="15.169505"/>
        <n v="12.2363"/>
        <n v="10.8376"/>
        <n v="12.2375"/>
        <n v="9.7667"/>
        <n v="3.78247"/>
        <n v="5.79632"/>
        <n v="4.56212"/>
        <n v="4.25585"/>
        <n v="4.25308"/>
        <n v="18.52277565"/>
        <n v="15.10008049"/>
        <n v="17.26286697"/>
        <n v="17.31589699"/>
        <n v="18.97097206"/>
        <n v="-1.1010294"/>
        <n v="-0.2368711"/>
        <n v="-1.2450507"/>
        <n v="-1.2759475"/>
        <n v="16.278111"/>
        <n v="8.8561"/>
        <n v="8.0236"/>
        <n v="11.3028"/>
        <n v="7.483333"/>
        <n v="3.8026"/>
        <n v="4.12249"/>
        <n v="6.49511"/>
        <n v="4.43437"/>
        <n v="0.45208327"/>
        <n v="0.72693145"/>
        <n v="-2.3288724"/>
        <n v="-0.81741601"/>
        <n v="12.4643821518335"/>
        <n v="9.58067897492415"/>
        <n v="8.5172"/>
        <n v="24.522258"/>
        <n v="8.85222756548707"/>
        <n v="8.50001249518561"/>
        <n v="8.59806919297454"/>
        <n v="14.3197657762306"/>
        <n v="11.4513550592916"/>
        <n v="10.9000793781866"/>
        <n v="9.82076320370416"/>
        <n v="8.1328158702133"/>
        <n v="7.23433081671906"/>
        <n v="7.3623602809326"/>
        <n v="14.3188386845824"/>
        <n v="8.40002469780938"/>
        <n v="8.08623194860973"/>
        <n v="8.073864881"/>
        <n v="11.1744606205021"/>
        <n v="12.5913417810145"/>
        <n v="5.72846"/>
        <n v="6.00251"/>
        <n v="6.05477"/>
        <n v="5.69424"/>
        <n v="4.63896"/>
        <n v="-4.63957"/>
        <n v="-3.86979"/>
        <n v="-2.4193716"/>
        <n v="12.3937231156561"/>
        <n v="12.6052486610034"/>
        <n v="11.5093172352088"/>
        <n v="12.4790411468954"/>
        <n v="8.49350492185674"/>
        <n v="12.4860687431455"/>
        <n v="11.1207203140309"/>
        <n v="8.04689888529357"/>
        <n v="7.8882"/>
        <n v="7.9786"/>
        <n v="7.0239"/>
        <n v="6.0749"/>
        <n v="8.9225"/>
        <n v="23.10493"/>
        <n v="18.64728154"/>
        <n v="18.30577783"/>
        <n v="24.42882"/>
        <n v="24.19413"/>
        <n v="10.4030753147256"/>
        <n v="6.712267332"/>
        <n v="6.74365260267512"/>
        <n v="14.6176822369296"/>
        <n v="6.73172256941078"/>
        <n v="6.70664443016312"/>
        <n v="6.73795378586826"/>
        <n v="6.74199127781899"/>
        <n v="6.74522072569104"/>
        <n v="8.0495011070373"/>
        <n v="12.4988856602741"/>
        <n v="10.8602042369254"/>
        <n v="10.2381861179187"/>
        <n v="4.59217"/>
        <n v="27.972194"/>
        <n v="17.12562"/>
        <n v="22.21426"/>
        <n v="16.18031"/>
        <n v="6.55428"/>
        <n v="25.305538"/>
        <n v="12.0058630649957"/>
        <n v="14.47983"/>
        <n v="0.38603075"/>
        <n v="26.132015"/>
        <n v="26.002517"/>
        <n v="25.908917"/>
        <n v="23.0344"/>
        <n v="23.414279"/>
        <n v="23.0375"/>
        <n v="25.90614"/>
        <n v="26.0"/>
        <n v="23.28439"/>
        <n v="23.078333"/>
        <n v="24.740972"/>
        <n v="33.2898"/>
        <n v="33.7462"/>
        <n v="13.67737464"/>
        <n v="13.33814444"/>
        <n v="13.25870278"/>
        <n v="12.69636069"/>
        <n v="14.41332782"/>
        <n v="13.78065556"/>
        <n v="15.453"/>
        <n v="18.31420993"/>
        <n v="18.64454782"/>
        <n v="15.79189458"/>
        <n v="13.67677778"/>
        <n v="18.21054444"/>
        <n v="13.98540938"/>
        <n v="12.61021389"/>
        <n v="13.39895888"/>
        <n v="14.33015417"/>
        <n v="18.46560278"/>
        <n v="13.34546117"/>
        <n v="14.4855011"/>
        <n v="16.60640497"/>
        <n v="18.27635"/>
        <n v="14.70002942"/>
        <n v="16.62002715"/>
        <n v="8.45534222"/>
        <n v="10.0426097376164"/>
        <n v="10.3435359704572"/>
        <n v="10.4052116611815"/>
        <n v="5.1088522"/>
        <n v="4.76022128"/>
        <n v="12.4815277703147"/>
        <n v="5.03127702"/>
        <n v="9.55985867206483"/>
        <n v="5.00729211"/>
        <n v="9.41488862836177"/>
        <n v="11.8789513589375"/>
        <n v="12.3112114625818"/>
        <n v="14.6969535713226"/>
        <n v="12.5576397431265"/>
        <n v="12.5875466768677"/>
        <n v="12.5231101925944"/>
        <n v="9.952268447"/>
        <n v="9.61816228428842"/>
        <n v="9.55689420241627"/>
        <n v="9.94932453511674"/>
        <n v="11.0796100196811"/>
        <n v="9.94731053593146"/>
        <n v="4.27355939"/>
        <n v="10.0473999109711"/>
        <n v="10.0187490624934"/>
        <n v="4.80320236"/>
        <n v="27.90123021"/>
        <n v="27.2415407"/>
        <n v="24.92582896"/>
        <n v="24.41754"/>
        <n v="24.97122"/>
        <n v="24.7174"/>
        <n v="25.73719"/>
        <n v="21.40476"/>
        <n v="25.17286"/>
        <n v="6.61228868229434"/>
        <n v="14.5743200176594"/>
        <n v="6.66658162215302"/>
        <n v="14.4579893421062"/>
        <n v="6.31457811541502"/>
        <n v="12.3716433864114"/>
        <n v="14.3535757297201"/>
        <n v="8.49223926198042"/>
        <n v="8.30421110336022"/>
        <n v="11.9503990055343"/>
        <n v="6.72648284165997"/>
        <n v="7.3424789102195"/>
        <n v="7.00482392919569"/>
        <n v="7.46523625444889"/>
        <n v="6.71911732581523"/>
        <n v="6.71961908206987"/>
        <n v="8.686147976"/>
        <n v="6.73103049605836"/>
        <n v="8.95345043811679"/>
        <n v="7.61912788063279"/>
        <n v="9.20758224387619"/>
        <n v="10.7683357741011"/>
        <n v="14.6333977168196"/>
        <n v="11.6397995539132"/>
        <n v="12.1329421897267"/>
        <n v="9.64759600897811"/>
        <n v="8.13830210720109"/>
        <n v="7.18745829017412"/>
        <n v="13.2437266143066"/>
        <n v="9.37130176590088"/>
        <n v="11.7994727126333"/>
        <n v="8.99600372621488"/>
        <n v="7.30605725134808"/>
        <n v="9.725753134"/>
        <n v="8.516171218"/>
        <n v="10.0655194812345"/>
        <n v="12.9230356184202"/>
        <n v="11.5792129311002"/>
        <n v="6.878998636"/>
        <n v="6.74166740311066"/>
        <n v="10.0914151919895"/>
        <n v="6.8276255398247"/>
        <n v="12.0004992411527"/>
        <n v="6.72915097863113"/>
        <n v="8.653231748"/>
        <n v="6.98590089995225"/>
        <n v="7.23549287848781"/>
        <n v="13.5221035692815"/>
        <n v="8.87301996378213"/>
        <n v="13.42062692"/>
        <n v="13.7081862860673"/>
        <n v="8.24088276010184"/>
        <n v="9.432695784"/>
        <n v="10.5147048157369"/>
        <n v="7.928664191"/>
        <n v="13.3114105208763"/>
        <n v="11.5556842839341"/>
        <n v="7.183956759703"/>
        <n v="13.4959737040295"/>
        <n v="13.3449418306943"/>
        <n v="11.57336299"/>
        <n v="11.0607895637263"/>
        <n v="6.96336619430628"/>
        <n v="7.40852995342538"/>
        <n v="12.0763996501377"/>
        <n v="7.03090852567568"/>
        <n v="6.83938548793688"/>
        <n v="11.0401191723366"/>
        <n v="11.7505878874226"/>
        <n v="6.74807002393148"/>
        <n v="6.84088755067133"/>
        <n v="10.2236292023763"/>
        <n v="9.14808045358674"/>
        <n v="12.4171497332868"/>
        <n v="8.24775920116087"/>
        <n v="12.0838301193716"/>
        <n v="9.71430382776379"/>
        <n v="9.43722581605843"/>
        <n v="12.8682289670424"/>
        <n v="12.0056724340396"/>
        <n v="8.72546597048624"/>
        <n v="8.74536168329064"/>
        <n v="6.84716942373725"/>
        <n v="11.9928829729711"/>
        <n v="12.3781626779252"/>
        <n v="8.68266305569621"/>
        <n v="7.64051049088002"/>
        <n v="12.7312538840655"/>
        <n v="7.84399295825121"/>
        <n v="11.5852847351569"/>
        <n v="13.7784713333368"/>
        <n v="14.5315166401918"/>
        <n v="7.01481264944726"/>
        <n v="13.979204728812"/>
        <n v="8.02345533321302"/>
        <n v="9.92325928165317"/>
        <n v="9.15770588707745"/>
        <n v="11.7999389594583"/>
        <n v="6.831715029"/>
        <n v="11.7597024740569"/>
        <n v="12.5699365772614"/>
        <n v="10.4129671721628"/>
        <n v="7.08115663540051"/>
        <n v="13.7127734895108"/>
        <n v="8.30379563081159"/>
        <n v="13.29593789"/>
        <n v="10.1175400946874"/>
        <n v="7.57956945695337"/>
        <n v="11.3286181533123"/>
        <n v="8.627828008"/>
        <n v="13.7128302181013"/>
        <n v="11.5960512744538"/>
        <n v="6.978179572"/>
        <n v="11.0021131062364"/>
        <n v="8.61809687912699"/>
        <n v="11.0076788122775"/>
        <n v="12.1183570779477"/>
        <n v="13.7832298229824"/>
        <n v="7.662230264"/>
        <n v="7.76087239410964"/>
        <n v="12.2309618436402"/>
        <n v="-9.42322"/>
        <n v="-8.251072"/>
        <n v="-6.327038"/>
        <n v="-6.326141"/>
        <n v="-8.233573"/>
        <n v="-6.20501"/>
        <n v="-8.382838"/>
        <n v="-6.187482"/>
        <n v="-6.991127"/>
        <n v="-7.085629"/>
        <n v="-9.364819"/>
        <n v="6.86172"/>
        <n v="4.02657"/>
        <n v="4.63213"/>
        <n v="4.84388"/>
        <n v="4.07205"/>
        <n v="4.60557"/>
        <n v="6.8809"/>
        <n v="5.53022"/>
        <n v="6.85915"/>
        <n v="4.36753"/>
        <n v="4.09409"/>
        <n v="3.69338"/>
        <n v="5.02118"/>
        <n v="5.90717"/>
        <n v="6.78419"/>
        <n v="6.98765"/>
        <n v="4.8471"/>
        <n v="5.07229"/>
        <n v="4.35213"/>
        <n v="6.95435"/>
        <n v="4.35179"/>
        <n v="4.58078"/>
        <n v="4.57803"/>
        <n v="5.79452"/>
        <n v="6.79425"/>
        <n v="5.08426"/>
        <n v="5.85219"/>
        <n v="4.25436"/>
        <n v="4.25733"/>
        <n v="4.29057"/>
        <n v="4.56111"/>
        <n v="23.135748"/>
        <n v="23.409223"/>
        <n v="25.9987928"/>
        <n v="23.718711"/>
        <n v="23.815663"/>
        <n v="24.289399"/>
        <n v="26.155651"/>
        <n v="24.183442"/>
        <n v="26.078308"/>
        <n v="25.979132"/>
        <n v="23.261338"/>
        <n v="26.107311"/>
        <n v="21.895833"/>
        <n v="26.063337"/>
        <n v="27.718194"/>
        <n v="21.197777"/>
        <n v="26.009166"/>
        <n v="28.648292"/>
        <n v="28.607716"/>
        <n v="15.053442"/>
        <n v="22.21368"/>
        <n v="14.83779"/>
        <n v="14.65081"/>
        <n v="17.2693"/>
        <n v="18.13086"/>
        <n v="11.99908"/>
        <n v="14.83397"/>
        <n v="17.13577"/>
        <n v="-0.62002078"/>
        <n v="-5.0002"/>
        <n v="-0.86486931"/>
        <n v="-0.23947463"/>
        <n v="-0.41534129"/>
        <n v="0.71282154"/>
        <n v="-1.2690166"/>
        <n v="-0.79927458"/>
        <n v="-1.5390161"/>
        <n v="-0.24406367"/>
        <n v="-0.14480713"/>
        <n v="-0.1321921"/>
        <n v="-1.78838"/>
        <n v="-2.4109007"/>
        <n v="-0.78176602"/>
        <n v="-2.7255485"/>
        <n v="-0.25703528"/>
        <n v="-2.6883565"/>
        <n v="-5.7864"/>
        <n v="-2.6534001"/>
        <n v="-0.26734612"/>
        <n v="-5.7661"/>
        <n v="0.50526849"/>
        <n v="-0.78568665"/>
        <n v="-3.07414"/>
        <n v="1.7314323"/>
        <n v="-0.75044205"/>
        <n v="0.61157746"/>
        <n v="-0.81153637"/>
        <n v="0.1916851"/>
        <n v="-4.0102612"/>
        <n v="-1.2542591"/>
        <n v="-2.97543"/>
        <n v="-7.2456"/>
        <n v="0.68911546"/>
        <n v="-0.023550721"/>
        <n v="-3.69854"/>
        <n v="1.83624"/>
        <n v="-3.69158"/>
        <n v="0.72374753"/>
        <n v="1.13876"/>
        <n v="-4.08581"/>
        <n v="-0.97597"/>
        <n v="0.75120261"/>
        <n v="-2.5261278"/>
        <n v="1.32164"/>
        <n v="-3.83413"/>
        <n v="1.46909"/>
        <n v="-0.51171439"/>
        <n v="1.66147"/>
        <n v="1.10001"/>
        <n v="1.29175"/>
        <n v="1.28186"/>
        <n v="1.73353"/>
        <n v="-1.403064"/>
        <n v="0.008789124"/>
        <n v="1.95381"/>
        <n v="1.30543"/>
        <n v="0.1311985"/>
        <n v="0.25111"/>
        <n v="-0.38367314"/>
        <n v="1.67096"/>
        <n v="1.45037"/>
        <n v="-5.08436"/>
        <n v="1.72167"/>
        <n v="2.33704"/>
        <n v="-4.27515"/>
        <n v="-1.25986"/>
        <n v="0.20023"/>
        <n v="1.73222"/>
        <n v="1.30468"/>
        <n v="-0.31667"/>
        <n v="0.91948"/>
        <n v="-2.29392"/>
        <n v="1.65833"/>
        <n v="1.38826"/>
        <n v="-1.27183"/>
        <n v="0.89245"/>
        <n v="1.14555"/>
        <n v="-2.54426"/>
        <n v="2.28833"/>
        <n v="0.71304"/>
        <n v="0.76135415"/>
        <n v="3.57687"/>
        <n v="-0.70122447"/>
        <n v="1.07963"/>
        <n v="-0.80813"/>
        <n v="0.380041"/>
        <n v="0.07369"/>
        <n v="-3.0081171"/>
        <n v="1.57099"/>
        <n v="1.57976"/>
        <n v="1.07278"/>
        <n v="-2.7513047"/>
        <n v="0.91611"/>
        <n v="2.23501"/>
        <n v="1.00001"/>
        <n v="2.09383"/>
        <n v="1.43833"/>
        <n v="1.14944"/>
        <n v="-3.24155"/>
        <n v="1.84591"/>
        <n v="-3.58056"/>
        <n v="2.08996"/>
        <n v="0.50507"/>
        <n v="-1.77001"/>
        <n v="1.40274"/>
        <n v="1.29415"/>
        <n v="0.70778"/>
        <n v="0.58217"/>
        <n v="2.17666"/>
        <n v="2.29444"/>
        <n v="1.52706"/>
        <n v="9.98085274575312"/>
        <n v="11.6792316420522"/>
        <n v="9.9958586092397"/>
        <n v="9.97729204311675"/>
        <n v="20.188964"/>
        <n v="15.8972"/>
        <n v="16.0871"/>
        <n v="29.565711"/>
        <n v="6.725545"/>
        <n v="2.187338"/>
        <n v="2.8256"/>
        <n v="1.852061"/>
        <n v="3.72485"/>
        <n v="3.221415"/>
        <n v="1.90703"/>
        <n v="2.142531"/>
        <n v="7.654019"/>
        <n v="7.315686"/>
        <n v="8.086531"/>
        <n v="6.549454"/>
        <n v="1.716314"/>
        <n v="2.248272"/>
        <n v="2.457112"/>
        <n v="3.264366"/>
        <n v="1.996792"/>
        <n v="2.485774"/>
        <n v="2.795247"/>
        <n v="2.497937"/>
        <n v="7.780844"/>
        <n v="2.84584"/>
        <n v="3.045078"/>
        <n v="2.773479"/>
        <n v="2.227158"/>
        <n v="2.384727"/>
        <n v="2.89612"/>
        <n v="2.3858"/>
        <n v="3.895116"/>
        <n v="2.933486"/>
        <n v="12.45055509"/>
        <n v="7.4284"/>
        <n v="0.095074261"/>
        <n v="22.976383"/>
        <n v="14.05710849"/>
        <n v="16.94784761"/>
        <n v="18.11595116"/>
        <n v="7.02249287903465"/>
        <n v="11.7563323961521"/>
        <n v="11.6603377807005"/>
        <n v="9.73048444262082"/>
        <n v="9.73469313178231"/>
        <n v="10.1624787804246"/>
        <n v="8.61445443081367"/>
        <n v="8.77910185188865"/>
        <n v="10.8340204083728"/>
        <n v="10.8276711982595"/>
        <n v="10.1908974492968"/>
        <n v="11.934038611612"/>
        <n v="8.11153927412408"/>
        <n v="8.052328226"/>
        <n v="10.7639040421948"/>
        <n v="7.54366592587855"/>
        <n v="12.1387305698536"/>
        <n v="8.68583290073294"/>
        <n v="10.6996185632389"/>
        <n v="7.96905593015356"/>
        <n v="9.90240737650807"/>
        <n v="8.37499154090088"/>
        <n v="25.1110277"/>
        <n v="25.41907778"/>
        <n v="18.80276"/>
        <n v="-1.2863181"/>
        <n v="-1.7538125"/>
        <n v="-1.1986549"/>
        <n v="-0.52852895"/>
        <n v="-2.6649095"/>
        <n v="-1.8554665"/>
        <n v="-1.8707148"/>
        <n v="12.6191829039756"/>
        <n v="8.50800852426289"/>
        <n v="10.0157051273962"/>
        <n v="9.446760903"/>
        <n v="12.4222021985845"/>
        <n v="10.0320378738672"/>
        <n v="9.78127169024753"/>
        <n v="10.5782417429169"/>
        <n v="12.6150728173451"/>
        <n v="25.12936"/>
        <n v="6.83333984365514"/>
        <n v="7.16342556252107"/>
        <n v="8.45245463748136"/>
        <n v="11.6803262226311"/>
        <n v="12.0879080906819"/>
        <n v="13.2379154933709"/>
        <n v="11.9957640034843"/>
        <n v="10.9777511752995"/>
        <n v="9.21983392948371"/>
        <n v="6.74319308239618"/>
        <n v="9.99102497589075"/>
        <n v="6.82300187851178"/>
        <n v="9.84919743169047"/>
        <n v="14.6405265190962"/>
        <n v="6.94884604115381"/>
        <n v="14.3649474517534"/>
        <n v="9.9347254971451"/>
        <n v="10.2245426306666"/>
        <n v="13.8307896044107"/>
        <n v="9.998113272"/>
        <n v="7.07750000287546"/>
        <n v="9.85302739712608"/>
        <n v="7.74479304914708"/>
        <n v="10.9332461415157"/>
        <n v="12.7346892480832"/>
        <n v="11.4929794497033"/>
        <n v="13.977446475568"/>
        <n v="11.0554954330519"/>
        <n v="8.76892725388482"/>
        <n v="7.356391449"/>
        <n v="8.42635642156391"/>
        <n v="7.00420222599992"/>
        <n v="9.99459263769752"/>
        <n v="8.64630678452404"/>
        <n v="9.942925565"/>
        <n v="7.59582012813437"/>
        <n v="9.67148048770375"/>
        <n v="12.3599413318923"/>
        <n v="12.7823306915411"/>
        <n v="10.8591671917864"/>
        <n v="10.8538141643245"/>
        <n v="7.69613860100278"/>
        <n v="-6.200382"/>
        <n v="-6.391748"/>
        <n v="4.27639"/>
        <n v="4.79289"/>
        <n v="4.76268"/>
        <n v="4.58162"/>
        <n v="6.51498"/>
        <n v="4.44383"/>
        <n v="4.73767"/>
        <n v="5.4291"/>
        <n v="4.74067"/>
        <n v="-1.3742767"/>
        <n v="-1.2817283"/>
        <n v="0.15542173"/>
        <n v="-2.404795"/>
        <n v="-3.16208"/>
        <n v="-3.38077"/>
        <n v="1.0985239"/>
        <n v="-0.50648114"/>
        <n v="-2.46306"/>
        <n v="-1.4914687"/>
        <n v="-0.97976911"/>
        <n v="-4.8912823"/>
        <n v="-1.4492198"/>
        <n v="-2.1827354"/>
        <n v="-4.1863485"/>
        <n v="0.04919386"/>
        <n v="-0.59503681"/>
        <n v="-1.0544553"/>
        <n v="-1.2852732"/>
        <n v="-1.5042477"/>
        <n v="-1.1351676"/>
        <n v="1.128652"/>
        <n v="-0.59095616"/>
        <n v="-1.7775451"/>
        <n v="-0.040538506"/>
        <n v="-0.6254345"/>
        <n v="-3.08594"/>
        <n v="-2.2074329"/>
        <n v="0.33100218"/>
        <n v="-2.1245608"/>
        <n v="-2.082889"/>
        <n v="-2.90211"/>
      </sharedItems>
    </cacheField>
    <cacheField name="Latitude">
      <sharedItems containsMixedTypes="1" containsNumber="1">
        <n v="50.3668147"/>
        <n v="49.345139"/>
        <n v="46.7677625"/>
        <n v="54.507659"/>
        <n v="51.079018"/>
        <n v="51.9249992"/>
        <n v="50.5333388"/>
        <n v="50.2849358"/>
        <n v="36.1888142"/>
        <n v="37.580706"/>
        <n v="47.6752151"/>
        <n v="48.441188"/>
        <n v="43.3623926"/>
        <n v="51.045509"/>
        <n v="47.2045397"/>
        <n v="50.4822855"/>
        <n v="47.0834159"/>
        <n v="55.9246957"/>
        <n v="53.313166"/>
        <n v="51.9230606"/>
        <n v="58.61191"/>
        <n v="53.089595"/>
        <n v="51.62737"/>
        <n v="43.1560523"/>
        <n v="40.9684105"/>
        <n v="51.8760535"/>
        <n v="59.3796931"/>
        <n v="63.2706493"/>
        <n v="53.1830511"/>
        <n v="48.0876011"/>
        <n v="49.7420389"/>
        <n v="48.535308"/>
        <n v="52.550773"/>
        <n v="49.390377"/>
        <n v="51.0037858"/>
        <n v="53.85412"/>
        <n v="49.350189"/>
        <n v="53.2146573"/>
        <n v="48.7247965"/>
        <n v="52.3960775"/>
        <n v="50.9395705"/>
        <n v="48.8569904"/>
        <n v="48.4920836"/>
        <n v="49.4902192"/>
        <n v="49.7689481"/>
        <n v="53.7789203"/>
        <n v="51.9848016"/>
        <n v="44.6480984"/>
        <n v="51.141864"/>
        <n v="53.4763116"/>
        <n v="51.2354912"/>
        <n v="51.7252265"/>
        <n v="51.1415947"/>
        <n v="52.37619"/>
        <n v="48.3366754"/>
        <n v="43.6687292"/>
        <n v="60.7667546"/>
        <n v="48.873165"/>
        <n v="48.4465089"/>
        <n v="50.4877466"/>
        <n v="42.0998448"/>
        <n v="43.4138043"/>
        <n v="45.1919142"/>
        <n v="46.4130553"/>
        <n v="42.4795352"/>
        <n v="63.2713094"/>
        <n v="60.9431653"/>
        <n v="62.6850366"/>
        <n v="49.9558345"/>
        <n v="48.199531"/>
        <n v="64.2221775"/>
        <n v="64.9639516"/>
        <n v="50.6324117"/>
        <n v="57.70887"/>
        <n v="63.2712539"/>
        <n v="55.659734"/>
        <n v="55.070084"/>
        <n v="61.0549929"/>
        <n v="65.316698"/>
        <n v="60.9928787"/>
        <n v="60.9918062"/>
        <n v="62.4728387"/>
        <n v="56.0097152"/>
        <n v="48.8975459"/>
        <n v="44.8470779"/>
        <n v="55.787672"/>
        <n v="55.727987"/>
        <n v="55.160428"/>
        <n v="55.7855742"/>
        <s v="N/A"/>
        <n v="53.736715"/>
        <n v="47.51752"/>
        <n v="62.59286"/>
        <n v="51.26666641"/>
        <n v="61.24909"/>
        <n v="62.47519"/>
        <n v="57.09152"/>
        <n v="57.22166"/>
        <n v="50.46118536"/>
        <n v="65.75583"/>
        <n v="59.33827"/>
        <n v="63.3235"/>
        <n v="38.493319"/>
        <n v="62.92722"/>
        <n v="61.13091"/>
        <n v="61.1107"/>
        <n v="43.54111"/>
        <n v="60.64365"/>
        <n v="60.6811"/>
        <n v="65.31475"/>
        <n v="65.00547"/>
        <n v="56.16098"/>
        <n v="51.65000153"/>
        <n v="47.2175"/>
        <n v="60.91123"/>
        <n v="49.549896"/>
        <n v="59.35339"/>
        <n v="59.31854"/>
        <n v="40.053571"/>
        <n v="61.06625"/>
        <n v="61.63863"/>
        <n v="50.94794464"/>
        <n v="58.57869"/>
        <n v="65.79194"/>
        <n v="59.58845"/>
        <n v="44.6288"/>
        <n v="40.6846"/>
        <n v="60.49098"/>
        <n v="59.47975"/>
        <n v="50.75166702"/>
        <n v="65.27232"/>
        <n v="60.45833"/>
        <n v="62.3164"/>
        <n v="62.97543"/>
        <n v="43.09715"/>
        <n v="61.18825"/>
        <n v="40.058793"/>
        <n v="41.703661"/>
        <n v="61.06663"/>
        <n v="40.5638"/>
        <n v="59.16017"/>
        <n v="50.43808746"/>
        <n v="59.17495"/>
        <n v="63.70116"/>
        <n v="53.329105"/>
        <n v="59.25761"/>
        <n v="43.8314"/>
        <n v="65.03573"/>
        <n v="48.84695833"/>
        <n v="63.26929"/>
        <n v="43.7932"/>
        <n v="40.3921"/>
        <n v="58.75529"/>
        <n v="42.1275"/>
        <n v="46.862222"/>
        <n v="59.26523"/>
        <n v="51.15711"/>
        <n v="50.57239722"/>
        <n v="47.67575"/>
        <n v="45.87558"/>
        <n v="58.61956"/>
        <n v="45.0381"/>
        <n v="59.60967"/>
        <n v="58.43668"/>
        <n v="57.73201"/>
        <n v="48.82345"/>
        <n v="61.57752"/>
        <n v="51.5154305113767"/>
        <n v="59.38069"/>
        <n v="55.63196"/>
        <n v="53.1146126302392"/>
        <n v="53.53143037"/>
        <n v="59.38647"/>
        <n v="47.788452"/>
        <n v="51.0321"/>
        <n v="45.76569"/>
        <n v="50.3461113"/>
        <n v="49.0425646011251"/>
        <n v="57.69603"/>
        <n v="56.99926"/>
        <n v="50.8831"/>
        <n v="39.644351"/>
        <n v="40.5108"/>
        <n v="38.827578"/>
        <n v="41.546601"/>
        <n v="50.20388794"/>
        <n v="48.83214"/>
        <n v="51.10665"/>
        <n v="50.13459396"/>
        <n v="60.20553"/>
        <n v="59.43737888"/>
        <n v="48.91456"/>
        <n v="58.39915675"/>
        <n v="61.11848"/>
        <n v="58.36946708"/>
        <n v="60.28212"/>
        <n v="60.16132"/>
        <n v="59.27046728"/>
        <n v="60.1604"/>
        <n v="61.66892"/>
        <n v="62.59351"/>
        <n v="48.617783"/>
        <n v="50.54903"/>
        <n v="43.4201"/>
        <n v="63.2767"/>
        <n v="59.35296444"/>
        <n v="50.34780502"/>
        <n v="60.46577"/>
        <n v="62.59464"/>
        <n v="61.48722"/>
        <n v="65.03762"/>
        <n v="51.47094"/>
        <n v="51.2253054844507"/>
        <n v="48.130874"/>
        <n v="41.4375"/>
        <n v="50.16154591"/>
        <n v="40.8516"/>
        <n v="52.18744659"/>
        <n v="63.8685"/>
        <n v="61.17867"/>
        <n v="45.4313"/>
        <n v="59.85219"/>
        <n v="41.2284"/>
        <n v="50.679726"/>
        <n v="53.1247603940725"/>
        <n v="62.74109"/>
        <n v="56.03393"/>
        <n v="59.3405855"/>
        <n v="59.8406258"/>
        <n v="50.764"/>
        <n v="39.471594"/>
        <n v="61.91536"/>
        <n v="47.582716"/>
        <n v="45.5042"/>
        <n v="62.94477"/>
        <n v="63.711853"/>
        <n v="51.5647084116264"/>
        <n v="49.420049"/>
        <n v="43.552693"/>
        <n v="45.1002"/>
        <n v="47.1135"/>
        <n v="60.33168"/>
        <n v="62.35491"/>
        <n v="45.1805"/>
        <n v="60.6078"/>
        <n v="58.9878"/>
        <n v="58.74324"/>
        <n v="59.12504"/>
        <n v="40.6411"/>
        <n v="61.26414"/>
        <n v="48.233917"/>
        <n v="50.0255109919289"/>
        <n v="58.41941"/>
        <n v="63.09079"/>
        <n v="50.8566533539863"/>
        <n v="47.2153"/>
        <n v="59.17748"/>
        <n v="60.9748"/>
        <n v="64.74415"/>
        <n v="52.30115128"/>
        <n v="46.1942"/>
        <n v="50.210278"/>
        <n v="60.36898"/>
        <n v="60.70799"/>
        <n v="38.8825694"/>
        <n v="41.419171"/>
        <n v="50.41783895"/>
        <n v="52.458434"/>
        <n v="48.56449"/>
        <n v="48.183056"/>
        <n v="53.5479128520869"/>
        <n v="49.9763275335496"/>
        <n v="67.36347"/>
        <n v="52.672711"/>
        <n v="47.4142"/>
        <n v="57.71172"/>
        <n v="60.45549"/>
        <n v="59.40091388"/>
        <n v="64.23316"/>
        <n v="59.62796"/>
        <n v="50.8408275415185"/>
        <n v="47.855328"/>
        <n v="51.485479"/>
        <n v="50.91097"/>
        <n v="55.68099"/>
        <n v="60.2826"/>
        <n v="45.2804"/>
        <n v="62.02764"/>
        <n v="47.5467"/>
        <n v="56.0395"/>
        <n v="59.40365579"/>
        <n v="59.36258"/>
        <n v="37.1291"/>
        <n v="47.5575"/>
        <n v="48.176167"/>
        <n v="46.057961"/>
        <n v="65.76958"/>
        <n v="28.12218"/>
        <n v="58.63975"/>
        <n v="50.53480556"/>
        <n v="48.9841"/>
        <n v="61.47262"/>
        <n v="47.134111"/>
        <n v="50.058815"/>
        <n v="52.29538727"/>
        <n v="38.2019"/>
        <n v="57.72902"/>
        <n v="51.38594"/>
        <n v="49.36547"/>
        <n v="51.932956"/>
        <n v="44.448611"/>
        <n v="48.693671"/>
        <n v="43.5583"/>
        <n v="49.14768"/>
        <n v="50.30701447"/>
        <n v="36.183696"/>
        <n v="39.46891"/>
        <n v="45.149"/>
        <n v="49.2142779753116"/>
        <n v="50.9201"/>
        <n v="46.5277"/>
        <n v="56.06926"/>
        <n v="49.42393788"/>
        <n v="47.992333"/>
        <n v="45.724"/>
        <n v="45.8169"/>
        <n v="59.34484"/>
        <n v="50.05347061"/>
        <n v="34.7217"/>
        <n v="48.5184"/>
        <n v="47.4981"/>
        <n v="60.47105"/>
        <n v="61.85967"/>
        <n v="47.3083"/>
        <n v="43.31161"/>
        <n v="37.573222"/>
        <n v="47.27406"/>
        <n v="27.804006"/>
        <n v="47.1756"/>
        <n v="44.6714"/>
        <n v="45.0593"/>
        <n v="45.0899"/>
        <n v="51.21008"/>
        <n v="51.5188843593103"/>
        <n v="62.40352"/>
        <n v="37.41566"/>
        <n v="51.13471"/>
        <n v="45.3345"/>
        <n v="44.7974"/>
        <n v="48.182"/>
        <n v="45.6356"/>
        <n v="50.34999847"/>
        <n v="42.7344"/>
        <n v="50.07892459"/>
        <n v="44.5239"/>
        <n v="45.5936"/>
        <n v="45.4083"/>
        <n v="46.1722"/>
        <n v="46.758111"/>
        <n v="49.55374"/>
        <n v="50.30847549"/>
        <n v="42.175109"/>
        <n v="49.52291"/>
        <n v="43.3531"/>
        <n v="41.069609"/>
        <n v="46.9515"/>
        <n v="53.84944153"/>
        <n v="48.95867"/>
        <n v="37.310089"/>
        <n v="42.591005"/>
        <n v="38.875"/>
        <n v="39.1962"/>
        <n v="60.7877"/>
        <n v="60.52322"/>
        <n v="62.57335"/>
        <n v="51.3627597328411"/>
        <n v="63.7046"/>
        <n v="48.21104"/>
        <n v="43.1256"/>
        <n v="39.677606"/>
        <n v="56.12483"/>
        <n v="56.2276273295549"/>
        <n v="37.9691"/>
        <n v="51.6111982803914"/>
        <n v="46.2781"/>
        <n v="41.693825"/>
        <n v="49.56116667"/>
        <n v="59.06192"/>
        <n v="41.670085"/>
        <n v="48.206944"/>
        <n v="45.13794"/>
        <n v="65.82875"/>
        <n v="43.9725"/>
        <n v="36.18"/>
        <n v="51.4504368722986"/>
        <n v="54.37774277"/>
        <n v="48.259556"/>
        <n v="51.01564"/>
        <n v="41.420832"/>
        <n v="43.447809"/>
        <n v="43.8008"/>
        <n v="38.36083"/>
        <n v="47.389"/>
        <n v="53.427043"/>
        <n v="39.011505"/>
        <n v="50.285"/>
        <n v="47.7588540291392"/>
        <n v="49.97431183"/>
        <n v="52.30110931"/>
        <n v="50.48952639"/>
        <n v="59.2729225"/>
        <n v="46.4674"/>
        <n v="50.4320179048255"/>
        <n v="60.19051"/>
        <n v="39.7111"/>
        <n v="44.4844"/>
        <n v="44.9925"/>
        <n v="48.548083"/>
        <n v="56.69214"/>
        <n v="45.1854"/>
        <n v="42.5806"/>
        <n v="52.74944305"/>
        <n v="45.6111"/>
        <n v="45.2377"/>
        <n v="45.59719"/>
        <n v="44.8499"/>
        <n v="37.74695"/>
        <n v="44.2766"/>
        <n v="50.63272"/>
        <n v="49.89545861"/>
        <n v="44.2331"/>
        <n v="47.707278"/>
        <n v="58.50765"/>
        <n v="48.41281"/>
        <n v="51.10305405"/>
        <n v="45.2219"/>
        <n v="45.19794"/>
        <n v="61.77319"/>
        <n v="53.56982803"/>
        <n v="55.5093869239486"/>
        <n v="45.8224"/>
        <n v="47.4844"/>
        <n v="43.9793"/>
        <n v="44.8605"/>
        <n v="46.06865"/>
        <n v="50.2852881381061"/>
        <n v="39.567803"/>
        <n v="45.8378"/>
        <n v="36.675206"/>
        <n v="47.7"/>
        <n v="57.72856"/>
        <n v="58.36663"/>
        <n v="59.9295425"/>
        <n v="50.88175"/>
        <n v="48.9989"/>
        <n v="41.5136"/>
        <n v="52.1749858906752"/>
        <n v="47.4233"/>
        <n v="49.21641099"/>
        <n v="47.278056"/>
        <n v="41.296097"/>
        <n v="50.2323"/>
        <n v="45.0286"/>
        <n v="43.28318"/>
        <n v="48.3555"/>
        <n v="46.9161"/>
        <n v="46.7621"/>
        <n v="37.1791"/>
        <n v="45.5119"/>
        <n v="43.443333"/>
        <n v="49.69812222"/>
        <n v="40.81402"/>
        <n v="41.1774"/>
        <n v="41.6994"/>
        <n v="47.135"/>
        <n v="43.3822"/>
        <n v="49.1161"/>
        <n v="50.420174"/>
        <n v="54.3073253576428"/>
        <n v="45.7933"/>
        <n v="59.18537"/>
        <n v="47.73823"/>
        <n v="48.94769"/>
        <n v="41.6578"/>
        <n v="48.5228"/>
        <n v="63.32585"/>
        <n v="48.87442"/>
        <n v="49.6961"/>
        <n v="48.33663"/>
        <n v="52.636704"/>
        <n v="47.504806"/>
        <n v="52.5945816"/>
        <n v="53.62452698"/>
        <n v="51.78849792"/>
        <n v="50.02277756"/>
        <n v="51.74708176"/>
        <n v="45.4458"/>
        <n v="45.78393"/>
        <n v="48.5414"/>
        <n v="54.932576"/>
        <n v="48.4187251330907"/>
        <n v="47.3589"/>
        <n v="46.7725"/>
        <n v="41.84"/>
        <n v="-20.9289"/>
        <n v="47.4166"/>
        <n v="49.338141641104"/>
        <n v="47.2245"/>
        <n v="51.28527832"/>
        <n v="55.9010889816822"/>
        <n v="48.90826"/>
        <n v="38.13018"/>
        <n v="43.363203"/>
        <n v="45.7733"/>
        <n v="45.103"/>
        <n v="49.00516"/>
        <n v="48.717"/>
        <n v="51.79819489"/>
        <n v="48.181531"/>
        <n v="45.1622"/>
        <n v="44.8513"/>
        <n v="37.570458"/>
        <n v="49.28"/>
        <n v="49.8349"/>
        <n v="38.27949"/>
        <n v="50.42"/>
        <n v="41.420804"/>
        <n v="48.6937"/>
        <n v="49.602026022856"/>
        <n v="37.92361"/>
        <n v="45.0585"/>
        <n v="51.0814"/>
        <n v="50.3935"/>
        <n v="46.08779"/>
        <n v="65.0345"/>
        <n v="43.3816"/>
        <n v="51.21203"/>
        <n v="45.59021"/>
        <n v="45.6164"/>
        <n v="45.0297"/>
        <n v="52.76444626"/>
        <n v="-21.28168"/>
        <n v="46.3939"/>
        <n v="38.4408"/>
        <n v="51.1371727"/>
        <n v="43.91568"/>
        <n v="67.19643"/>
        <n v="43.45997"/>
        <n v="42.0497"/>
        <n v="40.12417"/>
        <n v="45.4537"/>
        <n v="53.09916687"/>
        <n v="61.50999"/>
        <n v="39.648724"/>
        <n v="53.63199997"/>
        <n v="35.00491"/>
        <n v="54.678451"/>
        <n v="43.332727"/>
        <n v="52.02193451"/>
        <n v="54.04150009"/>
        <n v="41.2018"/>
        <n v="16.30904"/>
        <n v="50.431004"/>
        <n v="46.944216"/>
        <n v="37.978635"/>
        <n v="53.14852524"/>
        <n v="46.2693"/>
        <n v="45.954139"/>
        <n v="48.173944"/>
        <n v="48.198972"/>
        <n v="45.0545"/>
        <n v="39.35171"/>
        <n v="53.043603"/>
        <n v="50.80694199"/>
        <n v="54.55390167"/>
        <n v="45.7969"/>
        <n v="52.72475052"/>
        <n v="46.943314"/>
        <n v="38.92382"/>
        <n v="51.05821"/>
        <n v="50.76022"/>
        <n v="48.55251"/>
        <n v="50.600388"/>
        <n v="40.68713"/>
        <n v="56.314417"/>
        <n v="50.7065918471057"/>
        <n v="48.8827"/>
        <n v="45.68608"/>
        <n v="53.39111328"/>
        <n v="38.23702"/>
        <n v="35.34118"/>
        <n v="50.21416855"/>
        <n v="36.185"/>
        <n v="50.80405"/>
        <n v="47.428174"/>
        <n v="51.36912"/>
        <n v="54.665707"/>
        <n v="43.4368"/>
        <n v="50.40981"/>
        <n v="45.5153"/>
        <n v="38.38992"/>
        <n v="41.06447"/>
        <n v="48.298889"/>
        <n v="50.81815"/>
        <n v="54.131276"/>
        <n v="41.5494"/>
        <n v="35.8338321"/>
        <n v="42.1231"/>
        <n v="38.35739"/>
        <n v="47.0956"/>
        <n v="43.5643"/>
        <n v="46.92113"/>
        <n v="45.45562"/>
        <n v="45.3425"/>
        <n v="39.9447"/>
        <n v="39.1022"/>
        <n v="50.28487396"/>
        <n v="38.37488"/>
        <n v="-20.91529"/>
        <n v="48.10872"/>
        <n v="40.834"/>
        <n v="16.23698"/>
        <n v="44.2833"/>
        <n v="53.888327"/>
        <n v="41.408723"/>
        <n v="14.66798"/>
        <n v="41.900239"/>
        <n v="28.97001"/>
        <n v="48.458203"/>
        <n v="41.314665"/>
        <n v="49.99618792"/>
        <n v="56.919167"/>
        <n v="46.911667"/>
        <n v="49.96454239"/>
        <n v="45.8081"/>
        <n v="42.419287"/>
        <n v="48.77821"/>
        <n v="45.6847"/>
        <n v="40.292873"/>
        <n v="47.328165"/>
        <n v="48.72431"/>
        <n v="42.528"/>
        <n v="50.576035"/>
        <n v="51.95111084"/>
        <n v="43.503"/>
        <n v="48.6196"/>
        <n v="50.4723"/>
        <n v="41.1024"/>
        <n v="38.500542"/>
        <n v="43.697515"/>
        <n v="49.34907"/>
        <n v="64.363836"/>
        <n v="50.30305481"/>
        <n v="40.960084"/>
        <n v="39.957654"/>
        <n v="52.43334579"/>
        <n v="51.10492"/>
        <n v="41.4456"/>
        <n v="43.34284"/>
        <n v="50.0884160346366"/>
        <n v="41.9372"/>
        <n v="50.603073"/>
        <n v="48.699668"/>
        <n v="50.6999"/>
        <n v="43.4874"/>
        <n v="51.0011"/>
        <n v="41.105973"/>
        <n v="50.29805374"/>
        <n v="56.68722222"/>
        <n v="44.6336"/>
        <n v="51.00056"/>
        <n v="46.064103"/>
        <n v="51.5944766435112"/>
        <n v="36.75"/>
        <n v="47.983333"/>
        <n v="45.5212"/>
        <n v="40.24483"/>
        <n v="40.6991"/>
        <n v="45.45294"/>
        <n v="38.6212"/>
        <n v="51.23458"/>
        <n v="37.353682"/>
        <n v="38.33557"/>
        <n v="44.54496"/>
        <n v="63.3178329"/>
        <n v="51.21584"/>
        <n v="45.3983"/>
        <n v="41.338591"/>
        <n v="48.91178"/>
        <n v="37.19141"/>
        <n v="50.29308"/>
        <n v="38.1977"/>
        <n v="49.76945"/>
        <n v="48.6394"/>
        <n v="39.896436"/>
        <n v="50.570454"/>
        <n v="36.9665"/>
        <n v="48.1668"/>
        <n v="40.049206"/>
        <n v="43.330897"/>
        <n v="41.0088"/>
        <n v="46.016013"/>
        <n v="50.8137"/>
        <n v="59.11531"/>
        <n v="50.10638809"/>
        <n v="49.22539815"/>
        <n v="0.0"/>
        <n v="50.93764"/>
        <n v="42.799394"/>
        <n v="43.54171"/>
        <n v="46.2529"/>
        <n v="46.849889"/>
        <n v="49.4238"/>
        <n v="37.60976"/>
        <n v="42.131137"/>
        <n v="49.46619"/>
        <n v="39.0971"/>
        <n v="45.7794"/>
        <n v="45.36192"/>
        <n v="43.8233"/>
        <n v="43.3636"/>
        <n v="46.80699"/>
        <n v="50.79451752"/>
        <n v="49.31161"/>
        <n v="47.3093"/>
        <n v="47.5325"/>
        <n v="47.87225"/>
        <n v="40.05203"/>
        <n v="42.0001"/>
        <n v="37.182824"/>
        <n v="35.48812"/>
        <n v="44.7667"/>
        <n v="41.9305"/>
        <n v="48.85791"/>
        <n v="49.033025"/>
        <n v="48.247852"/>
        <n v="43.38"/>
        <n v="48.531986"/>
        <n v="47.08588"/>
        <n v="50.15349761"/>
        <n v="45.4593"/>
        <n v="60.43092"/>
        <n v="50.94822311"/>
        <n v="49.39425"/>
        <n v="50.25002"/>
        <n v="36.37757"/>
        <n v="49.58725833"/>
        <n v="43.7908"/>
        <n v="50.409557"/>
        <n v="46.064781"/>
        <n v="49.4983"/>
        <n v="50.0648"/>
        <n v="48.789"/>
        <n v="47.811315"/>
        <n v="47.5217"/>
        <n v="48.564183"/>
        <n v="49.246894"/>
        <n v="45.811201"/>
        <n v="40.011"/>
        <n v="43.0221"/>
        <n v="43.80428"/>
        <n v="37.194444"/>
        <n v="49.875"/>
        <n v="47.4147"/>
        <n v="37.1399"/>
        <n v="38.083"/>
        <n v="47.463478"/>
        <n v="47.737169"/>
        <n v="51.26208"/>
        <n v="64.046185"/>
        <n v="50.87509155"/>
        <n v="43.18562"/>
        <n v="42.57708"/>
        <n v="43.6581"/>
        <n v="38.378608"/>
        <n v="42.9946"/>
        <n v="43.088184"/>
        <n v="58.38436"/>
        <n v="40.6753"/>
        <n v="47.553512"/>
        <n v="50.552222"/>
        <n v="47.721444"/>
        <n v="48.60596805"/>
        <n v="50.89771"/>
        <n v="39.686559"/>
        <n v="48.6902"/>
        <n v="45.0497"/>
        <n v="47.91439"/>
        <n v="55.742176"/>
        <n v="48.97513"/>
        <n v="32.644905"/>
        <n v="49.220128"/>
        <n v="36.185373"/>
        <n v="59.49644087"/>
        <n v="51.6225605185145"/>
        <n v="66.31336"/>
        <n v="48.53215"/>
        <n v="35.91697"/>
        <n v="47.3867"/>
        <n v="46.9155"/>
        <n v="50.164894"/>
        <n v="45.2767"/>
        <n v="48.09094"/>
        <n v="51.34861"/>
        <n v="41.477659"/>
        <n v="53.0479393"/>
        <n v="43.272737"/>
        <n v="46.744722"/>
        <n v="43.4089"/>
        <n v="49.1132"/>
        <n v="51.23994064"/>
        <n v="38.919048"/>
        <n v="69.2225952"/>
        <n v="45.2542"/>
        <n v="39.2091"/>
        <n v="48.5674"/>
        <n v="48.7112"/>
        <n v="14.5962"/>
        <n v="49.3701"/>
        <n v="56.63512756"/>
        <n v="48.863295"/>
        <n v="51.18238449"/>
        <n v="47.458005"/>
        <n v="42.553611"/>
        <n v="50.56043"/>
        <n v="45.80881"/>
        <n v="46.8263"/>
        <n v="45.877777"/>
        <n v="48.7222"/>
        <n v="41.641266"/>
        <n v="50.29227829"/>
        <n v="48.394833"/>
        <n v="43.206875"/>
        <n v="41.7367"/>
        <n v="48.91189"/>
        <n v="36.658576"/>
        <n v="44.856"/>
        <n v="36.903056"/>
        <n v="49.35026"/>
        <n v="45.9061"/>
        <n v="44.5942"/>
        <n v="46.6557"/>
        <n v="37.361209"/>
        <n v="37.451988"/>
        <n v="46.1778"/>
        <n v="39.44757"/>
        <n v="36.82242"/>
        <n v="43.42341"/>
        <n v="48.592156"/>
        <n v="50.85796738"/>
        <n v="47.040111"/>
        <n v="42.874835"/>
        <n v="36.41309"/>
        <n v="49.81194305"/>
        <n v="50.5675105604299"/>
        <n v="43.51"/>
        <n v="47.518647"/>
        <n v="51.27011"/>
        <n v="47.1848"/>
        <n v="47.980611"/>
        <n v="39.437751"/>
        <n v="51.0382"/>
        <n v="47.560344"/>
        <n v="43.2844"/>
        <n v="50.35719681"/>
        <n v="36.199789"/>
        <n v="48.183333"/>
        <n v="53.77098465"/>
        <n v="48.647483"/>
        <n v="50.68555069"/>
        <n v="48.3857"/>
        <n v="-12.734"/>
        <n v="51.16771"/>
        <n v="45.2343"/>
        <n v="68.09417"/>
        <n v="37.5425"/>
        <n v="38.190833"/>
        <n v="44.96732"/>
        <n v="47.0902"/>
        <n v="50.94085"/>
        <n v="4.85751"/>
        <n v="48.178935"/>
        <n v="41.3167"/>
        <n v="45.887"/>
        <n v="49.5344"/>
        <n v="37.780619"/>
        <n v="40.1678"/>
        <n v="37.363554"/>
        <n v="42.882946"/>
        <n v="56.989796"/>
        <n v="53.15499"/>
        <n v="45.855"/>
        <n v="50.52233538"/>
        <n v="43.42011"/>
        <n v="40.9497"/>
        <n v="38.167304"/>
        <n v="45.9153"/>
        <n v="46.25535"/>
        <n v="45.0727"/>
        <n v="28.662979"/>
        <n v="44.45"/>
        <n v="49.76085"/>
        <n v="48.997314"/>
        <n v="42.869474"/>
        <n v="47.048556"/>
        <n v="39.11857"/>
        <n v="50.27668762"/>
        <n v="49.22192"/>
        <n v="43.4312"/>
        <n v="28.042431"/>
        <n v="43.34901"/>
        <n v="36.19"/>
        <n v="45.7167"/>
        <n v="47.916708"/>
        <n v="44.4378"/>
        <n v="49.1258"/>
        <n v="47.13506"/>
        <n v="41.475622"/>
        <n v="39.9382"/>
        <n v="41.197708"/>
        <n v="50.557106"/>
        <n v="51.48272324"/>
        <n v="50.916948"/>
        <n v="45.7886"/>
        <n v="41.677037"/>
        <n v="43.42204"/>
        <n v="43.316076"/>
        <n v="44.7155"/>
        <n v="47.62907"/>
        <n v="37.622214"/>
        <n v="53.47906494"/>
        <n v="32.744724"/>
        <n v="49.118108"/>
        <n v="37.134296"/>
        <n v="47.90825"/>
        <n v="37.963901"/>
        <n v="57.71094"/>
        <n v="59.49812"/>
        <n v="45.5333"/>
        <n v="49.87815"/>
        <n v="45.4594"/>
        <n v="51.296"/>
        <n v="52.82714081"/>
        <n v="35.89"/>
        <n v="43.507663"/>
        <n v="35.290441"/>
        <n v="38.274"/>
        <n v="41.941389"/>
        <n v="39.469722"/>
        <n v="36.205306"/>
        <n v="47.551528"/>
        <n v="47.5965"/>
        <n v="43.205201"/>
        <n v="44.8856"/>
        <n v="40.4175"/>
        <n v="55.749369"/>
        <n v="54.668059"/>
        <n v="48.195833"/>
        <n v="47.7584"/>
        <n v="36.21002"/>
        <n v="37.473165"/>
        <n v="50.61833"/>
        <n v="39.03"/>
        <n v="37.100491"/>
        <n v="37.192909"/>
        <n v="51.35669327"/>
        <n v="37.240991"/>
        <n v="37.1841"/>
        <n v="18.07732"/>
        <n v="48.8724"/>
        <n v="49.059218"/>
        <n v="41.215786"/>
        <n v="45.4172"/>
        <n v="43.286599"/>
        <n v="43.4307"/>
        <n v="37.91778"/>
        <n v="48.1574"/>
        <n v="45.815833"/>
        <n v="48.144722"/>
        <n v="39.3954"/>
        <n v="38.03679"/>
        <n v="36.733447"/>
        <n v="44.33976"/>
        <n v="48.117749"/>
        <n v="52.26838684"/>
        <n v="38.2027"/>
        <n v="45.4334"/>
        <n v="45.6203"/>
        <n v="48.6396"/>
        <n v="41.664861"/>
        <n v="53.587303"/>
        <n v="52.65243149"/>
        <n v="48.268056"/>
        <n v="48.0797"/>
        <n v="52.1704216"/>
        <n v="47.563797"/>
        <n v="38.31638"/>
        <n v="40.2672"/>
        <n v="43.325743"/>
        <n v="48.0302"/>
        <n v="53.74660492"/>
        <n v="42.169129"/>
        <n v="54.34992981"/>
        <n v="44.3697"/>
        <n v="43.35597"/>
        <n v="37.2216"/>
        <n v="45.3616"/>
        <n v="38.33126"/>
        <n v="54.422754"/>
        <n v="51.43208313"/>
        <n v="39.0224"/>
        <n v="42.539722"/>
        <n v="50.52667618"/>
        <n v="41.988189"/>
        <n v="51.12108"/>
        <n v="42.463755"/>
        <n v="51.25712"/>
        <n v="38.9141"/>
        <n v="43.413535"/>
        <n v="43.428"/>
        <n v="45.2344"/>
        <n v="37.274125"/>
        <n v="42.983626"/>
        <n v="49.51034"/>
        <n v="45.5792"/>
        <n v="40.5425"/>
        <n v="50.9985"/>
        <n v="38.04222"/>
        <n v="49.4884"/>
        <n v="50.76306915"/>
        <n v="47.034"/>
        <n v="45.0997"/>
        <n v="44.86378"/>
        <n v="50.0319095643934"/>
        <n v="51.39407"/>
        <n v="44.3911"/>
        <n v="43.33508"/>
        <n v="38.03236"/>
        <n v="36.185634"/>
        <n v="49.84425556"/>
        <n v="49.8232"/>
        <n v="56.381366"/>
        <n v="47.288829"/>
        <n v="49.20472665"/>
        <n v="37.184329"/>
        <n v="37.135556"/>
        <n v="38.672"/>
        <n v="48.575158"/>
        <n v="50.1149"/>
        <n v="48.13967"/>
        <n v="49.200126"/>
        <n v="47.2747"/>
        <n v="39.976742"/>
        <n v="47.5833"/>
        <n v="49.21546634"/>
        <n v="43.40446"/>
        <n v="64.6681"/>
        <n v="49.98816975"/>
        <n v="45.4372"/>
        <n v="43.353129"/>
        <n v="40.4892"/>
        <n v="45.6774"/>
        <n v="51.2689209"/>
        <n v="56.1217343151864"/>
        <n v="45.28543"/>
        <n v="47.3723"/>
        <n v="43.4483"/>
        <n v="43.4655"/>
        <n v="49.44506111"/>
        <n v="43.5872"/>
        <n v="43.55611"/>
        <n v="40.5167"/>
        <n v="46.10825"/>
        <n v="54.773398"/>
        <n v="47.04"/>
        <n v="40.67952"/>
        <n v="44.5752"/>
        <n v="51.18184"/>
        <n v="67.63903"/>
        <n v="56.20871"/>
        <n v="51.39005"/>
        <n v="46.7992"/>
        <n v="46.3117"/>
        <n v="47.379"/>
        <n v="43.39831"/>
        <n v="46.846"/>
        <n v="37.0554"/>
        <n v="45.71722"/>
        <n v="48.284"/>
        <n v="14.61007"/>
        <n v="46.7628"/>
        <n v="65.67783"/>
        <n v="46.7117"/>
        <n v="46.2819"/>
        <n v="46.5442"/>
        <n v="47.3658"/>
        <n v="48.89616"/>
        <n v="45.6425"/>
        <n v="42.5667"/>
        <n v="50.14944458"/>
        <n v="46.0067"/>
        <n v="48.70933"/>
        <n v="49.5019"/>
        <n v="36.183927"/>
        <n v="46.2306"/>
        <n v="49.52597"/>
        <n v="50.08074188"/>
        <n v="50.415962"/>
        <n v="50.93828"/>
        <n v="41.457531"/>
        <n v="65.033756"/>
        <n v="38.629948"/>
        <n v="64.357596"/>
        <n v="49.95909306"/>
        <n v="47.3065"/>
        <n v="47.4051"/>
        <n v="51.31566"/>
        <n v="51.26858"/>
        <n v="50.54922"/>
        <n v="42.0725"/>
        <n v="49.0053"/>
        <n v="53.6263046765485"/>
        <n v="48.9060984561765"/>
        <n v="41.178667"/>
        <n v="55.0325"/>
        <n v="43.235107"/>
        <n v="57.0632413325793"/>
        <n v="60.28625"/>
        <n v="61.03057"/>
        <n v="52.4890692646813"/>
        <n v="53.8770660165165"/>
        <n v="49.2128291723483"/>
        <n v="51.6017688103701"/>
        <n v="49.9549957963093"/>
        <n v="49.8084520069091"/>
        <n v="47.7908207782779"/>
        <n v="51.6188372960444"/>
        <n v="52.3498313041001"/>
        <n v="48.7767230724458"/>
        <n v="51.8561694432717"/>
        <n v="51.7651737270294"/>
        <n v="52.3753847189091"/>
        <n v="51.5972101448566"/>
        <n v="48.8849029950009"/>
        <n v="51.7602459644145"/>
        <n v="51.6989010644723"/>
        <n v="50.5845244447728"/>
        <n v="50.3339900588749"/>
        <n v="53.684594"/>
        <n v="52.645359"/>
        <n v="53.435529"/>
        <n v="47.038682"/>
        <n v="44.241846"/>
        <n v="45.951652"/>
        <n v="45.12266666"/>
        <n v="46.897861"/>
        <n v="45.954952"/>
        <n v="55.97901"/>
        <n v="54.6178"/>
        <n v="56.37496945"/>
        <n v="50.0798645"/>
        <n v="39.790974"/>
        <n v="40.003122"/>
        <n v="39.855976"/>
        <n v="39.973254"/>
        <n v="47.68"/>
        <n v="47.5078"/>
        <n v="50.9869454451972"/>
        <n v="53.20684814"/>
        <n v="52.43611145"/>
        <n v="50.8081398"/>
        <n v="53.41185379"/>
        <n v="49.85923962"/>
        <n v="51.5009910033005"/>
        <n v="49.3478083436112"/>
        <n v="51.5212819267279"/>
        <n v="46.940316"/>
        <n v="44.3808"/>
        <n v="50.34009171"/>
        <n v="50.41911316"/>
        <n v="50.03777695"/>
        <n v="50.05719241"/>
        <n v="55.9611494448704"/>
        <n v="51.0164"/>
        <n v="44.1"/>
        <n v="53.124939429531"/>
        <n v="49.3571721704399"/>
        <n v="50.8189066798328"/>
        <n v="51.4707561253782"/>
        <n v="50.49417496"/>
        <n v="60.4906"/>
        <n v="47.175"/>
        <n v="47.3007"/>
        <n v="45.46648"/>
        <n v="50.51210615"/>
        <n v="47.7871"/>
        <n v="40.95552"/>
        <n v="47.158499"/>
        <n v="55.083703"/>
        <n v="51.27764"/>
        <n v="51.46070862"/>
        <n v="46.515151"/>
        <n v="38.6659"/>
        <n v="37.184313"/>
        <n v="53.281007"/>
        <n v="59.1204567"/>
        <n v="43.5692"/>
        <n v="54.7622728235396"/>
        <n v="54.8309033091461"/>
        <n v="55.5837637281969"/>
        <n v="55.25993826"/>
        <n v="52.9783673737054"/>
        <n v="51.3389851698415"/>
        <n v="52.1709049159077"/>
        <n v="49.6666275180351"/>
        <n v="49.60038812"/>
        <n v="50.9166163514704"/>
        <n v="48.7876195970641"/>
        <n v="55.26071"/>
        <n v="55.3036141713478"/>
        <n v="55.2547735786258"/>
        <n v="60.77227"/>
        <n v="52.07809835"/>
        <n v="51.3789065321906"/>
        <n v="51.181555468297"/>
        <n v="53.0995110270963"/>
        <n v="52.1812612704417"/>
        <n v="50.1294248356279"/>
        <n v="51.8849210513724"/>
        <n v="51.6195750434093"/>
        <n v="50.7024165783518"/>
        <n v="48.6945720057996"/>
        <n v="52.6193412397699"/>
        <n v="53.3406807156754"/>
        <n v="48.5829149971171"/>
        <n v="52.5458477395675"/>
        <n v="48.6932974396926"/>
        <n v="51.6210865092591"/>
        <n v="53.53156778"/>
        <n v="50.0453026408052"/>
        <n v="49.7790920056326"/>
        <n v="51.62247744"/>
        <n v="51.4660611425215"/>
        <n v="49.6034960741515"/>
        <n v="52.77499"/>
        <n v="51.69383"/>
        <n v="50.897365"/>
        <n v="51.34162"/>
        <n v="51.29134"/>
        <n v="60.31768"/>
        <n v="49.5052"/>
        <n v="48.6105"/>
        <n v="43.39464"/>
        <n v="47.8265"/>
        <n v="53.9106443443535"/>
        <n v="53.6403579506449"/>
        <n v="51.322589772339"/>
        <n v="51.2901100291085"/>
        <n v="53.9019608563247"/>
        <n v="41.186207"/>
        <n v="38.6673"/>
        <n v="43.31573"/>
        <n v="43.199561"/>
        <n v="49.44981568"/>
        <n v="49.50139807"/>
        <n v="55.8524389714379"/>
        <n v="52.9561964039116"/>
        <n v="53.6442938587031"/>
        <n v="51.5451133926918"/>
        <n v="50.8735010569465"/>
        <n v="50.9459336278584"/>
        <n v="51.4395287682031"/>
        <n v="51.3681904153108"/>
        <n v="50.511210221532"/>
        <n v="51.8646815445216"/>
        <n v="49.6632552481938"/>
        <n v="53.5306843650464"/>
        <n v="52.624625"/>
        <n v="51.88525"/>
        <n v="51.87"/>
        <n v="51.89142"/>
        <n v="51.874"/>
        <n v="51.87894"/>
        <n v="54.581893"/>
        <n v="54.41913"/>
        <n v="54.599271"/>
        <n v="54.631729"/>
        <n v="53.614694"/>
        <n v="63.4124222"/>
        <n v="59.27322863"/>
        <n v="59.38670803"/>
        <n v="43.4147"/>
        <n v="45.0905"/>
        <n v="52.59241486"/>
        <n v="47.0625"/>
        <n v="51.71118"/>
        <n v="56.7165201100165"/>
        <n v="46.1674"/>
        <n v="48.7446570537595"/>
        <n v="51.17062"/>
        <n v="52.70851517"/>
        <n v="39.797267"/>
        <n v="50.447548"/>
        <n v="43.275276"/>
        <n v="42.169777"/>
        <n v="46.22116"/>
        <n v="50.64063215"/>
        <n v="50.73078"/>
        <n v="49.1046"/>
        <n v="46.803"/>
        <n v="47.7587"/>
        <n v="50.2877"/>
        <n v="51.5662330196937"/>
        <n v="49.6200881852925"/>
        <n v="50.8744784101201"/>
        <n v="52.0575721581521"/>
        <n v="52.2744246584127"/>
        <n v="49.9465768300534"/>
        <n v="51.5796507723213"/>
        <n v="51.6512326752397"/>
        <n v="50.4395476860768"/>
        <n v="46.586773"/>
        <n v="45.7701"/>
        <n v="41.6503009"/>
        <n v="45.4644"/>
        <n v="44.3867"/>
        <n v="43.7061"/>
        <n v="42.066667"/>
        <n v="49.56496"/>
        <n v="51.88821"/>
        <n v="51.61977768"/>
        <n v="50.78034592"/>
        <n v="50.30580139"/>
        <n v="50.00088882"/>
        <n v="39.73671"/>
        <n v="44.219374"/>
        <n v="38.7149"/>
        <n v="43.575665"/>
        <n v="38.566875"/>
        <n v="42.125474"/>
        <n v="40.5618"/>
        <n v="39.643104"/>
        <n v="53.280942"/>
        <n v="53.5704"/>
        <n v="56.11113"/>
        <n v="53.6978"/>
        <n v="53.4423"/>
        <n v="53.552344"/>
        <n v="46.383"/>
        <n v="55.41032"/>
        <n v="55.406323250278"/>
        <n v="48.6999238084635"/>
        <n v="49.9948229354621"/>
        <n v="48.6466736446315"/>
        <n v="45.2533"/>
        <n v="38.78029"/>
        <n v="43.092545"/>
        <n v="54.8886"/>
        <n v="51.182894"/>
        <n v="52.84041977"/>
        <n v="53.90620041"/>
        <n v="50.30460739"/>
        <n v="52.15895081"/>
        <n v="51.016666"/>
        <n v="43.280278"/>
        <n v="41.588619"/>
        <n v="41.906266"/>
        <n v="41.585047"/>
        <n v="55.1835432753658"/>
        <n v="54.9043747558645"/>
        <n v="55.8500768476535"/>
        <n v="55.5072132991538"/>
        <n v="48.9402"/>
        <n v="38.0747"/>
        <n v="53.1044426"/>
        <n v="50.13369751"/>
        <n v="53.39354706"/>
        <n v="50.20639038"/>
        <n v="50.30339432"/>
        <n v="52.70222473"/>
        <n v="50.50259018"/>
        <n v="52.75086212"/>
        <n v="54.17979431"/>
        <n v="51.84083176"/>
        <n v="53.06920242"/>
        <n v="40.208342"/>
        <n v="47.2182"/>
        <n v="52.048097"/>
        <n v="53.376451"/>
        <n v="52.682295"/>
        <n v="55.2443192256035"/>
        <n v="51.3977023691383"/>
        <n v="51.2481487964896"/>
        <n v="52.4864480501054"/>
        <n v="45.292761"/>
        <n v="63.7843475"/>
        <n v="50.8635647564445"/>
        <n v="50.899209957092"/>
        <n v="51.50698470926"/>
        <n v="67.84939"/>
        <n v="51.55608"/>
        <n v="42.54544"/>
        <n v="50.25840943"/>
        <n v="50.03146588"/>
        <n v="55.6549303636194"/>
        <n v="55.59122786"/>
        <n v="60.31311"/>
        <n v="53.0875852913881"/>
        <n v="51.59603275"/>
        <n v="50.8141104234868"/>
        <n v="51.2876432105941"/>
        <n v="49.057799920466"/>
        <n v="50.8549933741484"/>
        <n v="51.5396069504629"/>
        <n v="52.5618542808937"/>
        <n v="48.78498359"/>
        <n v="54.1608312087665"/>
        <n v="48.1930039242309"/>
        <n v="53.477085862413"/>
        <n v="49.0568293299884"/>
        <n v="48.78936001"/>
        <n v="51.4616142967967"/>
        <n v="48.7657950788379"/>
        <n v="51.820571"/>
        <n v="51.88013"/>
        <n v="51.87221"/>
        <n v="51.94499"/>
        <n v="51.44562"/>
        <n v="51.93494"/>
        <n v="51.91026"/>
        <n v="44.876519"/>
        <n v="44.339117"/>
        <n v="44.946413"/>
        <n v="58.34674"/>
        <n v="57.70185"/>
        <n v="58.92093"/>
        <n v="50.830601"/>
        <n v="51.68669"/>
        <n v="53.273513"/>
        <n v="56.02005"/>
        <n v="54.102414"/>
        <n v="56.00597"/>
        <n v="57.58006"/>
        <n v="54.620021"/>
        <n v="53.660152"/>
        <n v="58.83599"/>
        <n v="52.858539"/>
        <n v="60.8149376"/>
        <n v="59.27473"/>
        <n v="70.69107"/>
        <n v="59.3211441"/>
        <n v="51.1518750785208"/>
        <n v="53.5179853319104"/>
        <n v="51.6065908206215"/>
        <n v="53.51239548"/>
        <n v="51.1504897264693"/>
        <n v="51.4900491737932"/>
        <n v="44.4458066"/>
        <n v="46.393036"/>
        <n v="58.35859"/>
        <n v="62.37568"/>
        <n v="62.6805153"/>
        <n v="59.3149071"/>
        <n v="59.646965"/>
        <n v="61.311573"/>
        <n v="58.2768364"/>
        <n v="59.1272"/>
        <n v="58.07307"/>
        <n v="59.86813"/>
        <n v="66.31256"/>
        <n v="61.21873"/>
        <n v="55.4650782296801"/>
        <n v="51.2792839383848"/>
        <n v="45.1494"/>
        <n v="44.8382"/>
        <n v="51.97054"/>
        <n v="53.31022"/>
        <n v="51.68962"/>
        <n v="39.6337"/>
        <n v="51.293685"/>
        <n v="40.28608"/>
        <n v="50.93042755"/>
        <n v="52.83681488"/>
        <n v="50.82863998"/>
        <n v="50.68064117"/>
        <n v="50.56461716"/>
        <n v="51.05785"/>
        <n v="49.83498533"/>
        <n v="47.05139"/>
        <n v="47.8204"/>
        <n v="45.38515"/>
        <n v="43.43611"/>
        <n v="44.9125"/>
        <n v="43.2833"/>
        <n v="49.6554021282047"/>
        <n v="51.3952918322698"/>
        <n v="39.952916"/>
        <n v="47.5337"/>
        <n v="51.36175"/>
        <n v="50.530754"/>
        <n v="51.30411"/>
        <n v="51.14163"/>
        <n v="51.29118"/>
        <n v="50.18125435"/>
        <n v="49.4891"/>
        <n v="43.947"/>
        <n v="49.1401"/>
        <n v="49.5173911862855"/>
        <n v="51.4803390727399"/>
        <n v="53.9128775"/>
        <n v="53.5186944326293"/>
        <n v="46.83268"/>
        <n v="37.9804"/>
        <n v="40.969722"/>
        <n v="43.157278"/>
        <n v="43.45918"/>
        <n v="51.2549"/>
        <n v="51.11506"/>
        <n v="50.56053"/>
        <n v="51.36231"/>
        <n v="50.56136055"/>
        <n v="49.49471568"/>
        <n v="60.30049"/>
        <n v="43.3844"/>
        <n v="49.4727"/>
        <n v="51.03032"/>
        <n v="51.1914252047493"/>
        <n v="37.984145"/>
        <n v="41.194305"/>
        <n v="36.189644"/>
        <n v="37.18396"/>
        <n v="37.65789"/>
        <n v="58.08325"/>
        <n v="46.299"/>
        <n v="46.3023"/>
        <n v="56.09354"/>
        <n v="56.00704"/>
        <n v="56.09746"/>
        <n v="59.09613"/>
        <n v="47.979"/>
        <n v="51.0676360238077"/>
        <n v="50.8423339448326"/>
        <n v="51.6783861500896"/>
        <n v="48.1851505043507"/>
        <n v="48.758551408587"/>
        <n v="51.5255027365177"/>
        <n v="51.0232837730346"/>
        <n v="51.4696929722835"/>
        <n v="51.6878910298519"/>
        <n v="37.167"/>
        <n v="40.6395"/>
        <n v="37.22211"/>
        <n v="45.4438"/>
        <n v="45.1457"/>
        <n v="44.4333"/>
        <n v="45.7136"/>
        <n v="51.34225"/>
        <n v="50.98059"/>
        <n v="51.68786"/>
        <n v="51.51059"/>
        <n v="51.88297"/>
        <n v="52.27626801"/>
        <n v="51.63416672"/>
        <n v="50.47989273"/>
        <n v="52.78709793"/>
        <n v="52.71022415"/>
        <n v="54.582661"/>
        <n v="53.738822"/>
        <n v="54.575826"/>
        <n v="54.586979"/>
        <n v="48.721222"/>
        <n v="44.7611"/>
        <n v="44.6986"/>
        <n v="45.0292"/>
        <n v="44.649444"/>
        <n v="51.23582"/>
        <n v="51.95597"/>
        <n v="53.21379"/>
        <n v="51.61818"/>
        <n v="52.551275"/>
        <n v="52.253717"/>
        <n v="53.476834"/>
        <n v="53.088135"/>
        <n v="55.6210318096625"/>
        <n v="56.0963219342211"/>
        <n v="42.134638"/>
        <n v="54.92672953"/>
        <n v="55.9354563327971"/>
        <n v="51.4066938286419"/>
        <n v="53.079099428239"/>
        <n v="49.2617087370073"/>
        <n v="47.8072571209889"/>
        <n v="51.985962565496"/>
        <n v="53.4030559811425"/>
        <n v="50.3206787617491"/>
        <n v="52.9777487226594"/>
        <n v="53.0867621524362"/>
        <n v="51.915454926183"/>
        <n v="48.5268006403941"/>
        <n v="51.391134864036"/>
        <n v="48.5283957669733"/>
        <n v="51.4646193059765"/>
        <n v="51.96997"/>
        <n v="51.20616"/>
        <n v="52.09757"/>
        <n v="50.85772"/>
        <n v="52.46697"/>
        <n v="55.57964"/>
        <n v="56.07711"/>
        <n v="53.425585"/>
        <n v="55.7267675699005"/>
        <n v="55.6671071373854"/>
        <n v="55.943369885765"/>
        <n v="55.6113492729037"/>
        <n v="55.4576000148773"/>
        <n v="55.8744440631615"/>
        <n v="55.6707624528472"/>
        <n v="49.9748885990776"/>
        <n v="46.2967"/>
        <n v="47.5476"/>
        <n v="46.1728"/>
        <n v="46.2252"/>
        <n v="45.9636"/>
        <n v="42.593002"/>
        <n v="49.68810552"/>
        <n v="49.7958697"/>
        <n v="64.65403"/>
        <n v="65.76894"/>
        <n v="52.1547649242988"/>
        <n v="51.3682311677027"/>
        <n v="49.3521369867353"/>
        <n v="52.1661405222488"/>
        <n v="51.4846604909482"/>
        <n v="51.4840916008273"/>
        <n v="51.4940889795529"/>
        <n v="51.4222829750553"/>
        <n v="51.4639035056651"/>
        <n v="52.2091443971562"/>
        <n v="52.4019501911493"/>
        <n v="48.5106565601175"/>
        <n v="52.3163564550161"/>
        <n v="52.47656"/>
        <n v="45.440355"/>
        <n v="58.67695"/>
        <n v="65.56204"/>
        <n v="60.13507"/>
        <n v="60.1151352"/>
        <n v="43.639465"/>
        <n v="52.7282712565063"/>
        <n v="56.04379"/>
        <n v="52.733809"/>
        <n v="42.25642"/>
        <n v="42.144905"/>
        <n v="42.159083"/>
        <n v="42.285164"/>
        <n v="42.65044"/>
        <n v="42.8442"/>
        <n v="42.154472"/>
        <n v="43.52"/>
        <n v="42.68682"/>
        <n v="42.606667"/>
        <n v="42.183806"/>
        <n v="34.7285"/>
        <n v="34.9801"/>
        <n v="50.42667116"/>
        <n v="50.38259722"/>
        <n v="50.41871111"/>
        <n v="50.25595177"/>
        <n v="50.41451601"/>
        <n v="50.576475"/>
        <n v="50.02839417"/>
        <n v="49.79442884"/>
        <n v="49.69528249"/>
        <n v="50.12707297"/>
        <n v="50.42935833"/>
        <n v="49.83176111"/>
        <n v="50.64622167"/>
        <n v="50.15217778"/>
        <n v="49.75448223"/>
        <n v="50.25429833"/>
        <n v="49.90636667"/>
        <n v="49.73952909"/>
        <n v="48.9673896"/>
        <n v="49.21585934"/>
        <n v="49.86115"/>
        <n v="49.36673727"/>
        <n v="49.19558912"/>
        <n v="55.4563196401896"/>
        <n v="57.0725571243971"/>
        <n v="56.2513918756196"/>
        <n v="55.4278210281727"/>
        <n v="55.4807992"/>
        <n v="55.5815499"/>
        <n v="55.6039988651181"/>
        <n v="55.53891287"/>
        <n v="56.2007151210932"/>
        <n v="55.53202066"/>
        <n v="56.4738797807563"/>
        <n v="55.8098045183403"/>
        <n v="55.9074524754179"/>
        <n v="55.0925794018651"/>
        <n v="55.6573555206265"/>
        <n v="55.7124321803388"/>
        <n v="55.78489538"/>
        <n v="57.072005052473"/>
        <n v="55.5125263253121"/>
        <n v="56.1819976587143"/>
        <n v="57.0470938158833"/>
        <n v="55.6597247272186"/>
        <n v="57.030901958585"/>
        <n v="56.34715957"/>
        <n v="56.4580142522148"/>
        <n v="57.02713282"/>
        <n v="55.72320351"/>
        <n v="59.27437538"/>
        <n v="59.3949971"/>
        <n v="59.45196817"/>
        <n v="64.6548"/>
        <n v="60.18363"/>
        <n v="60.14913"/>
        <n v="62.19241"/>
        <n v="61.63243"/>
        <n v="60.21984"/>
        <n v="51.0376536707744"/>
        <n v="51.4188479814982"/>
        <n v="50.970926824265"/>
        <n v="51.8336010742182"/>
        <n v="50.8331620519569"/>
        <n v="51.1841395368112"/>
        <n v="51.5354973928124"/>
        <n v="49.4457594333568"/>
        <n v="49.0142933297321"/>
        <n v="51.3984616395479"/>
        <n v="51.4912500236738"/>
        <n v="51.633091345283"/>
        <n v="51.5973613355292"/>
        <n v="51.61411408"/>
        <n v="51.37090094"/>
        <n v="51.5260017764915"/>
        <n v="53.1287223856765"/>
        <n v="51.4603021102245"/>
        <n v="50.0876757039267"/>
        <n v="51.6371657731015"/>
        <n v="49.175625237201"/>
        <n v="52.4295368855921"/>
        <n v="52.1628098829244"/>
        <n v="48.1811997496463"/>
        <n v="54.1428127980716"/>
        <n v="52.42031711"/>
        <n v="53.5735358511467"/>
        <n v="51.5507389418603"/>
        <n v="52.5352566604794"/>
        <n v="48.7191069802679"/>
        <n v="48.4553381955641"/>
        <n v="52.38282054"/>
        <n v="52.4807255600298"/>
        <n v="53.5667524142052"/>
        <n v="53.20209877"/>
        <n v="53.526085804033"/>
        <n v="50.8566200635659"/>
        <n v="48.7670559965279"/>
        <n v="49.2491320648218"/>
        <n v="49.3545901239858"/>
        <n v="52.315043588157"/>
        <n v="51.0805209507785"/>
        <n v="51.2910694216182"/>
        <n v="51.2191044335569"/>
        <n v="50.0985534947673"/>
        <n v="51.0222086808895"/>
        <n v="49.3649043448596"/>
        <n v="52.523398157749"/>
        <n v="53.0592754255792"/>
        <n v="52.5115857573114"/>
        <n v="51.0417895050094"/>
        <n v="50.0269663973547"/>
        <n v="54.8048545092915"/>
        <n v="52.2779689900758"/>
        <n v="51.6732902551031"/>
        <n v="52.4262880619914"/>
        <n v="48.1141057302179"/>
        <n v="51.5492009966373"/>
        <n v="52.4900270804303"/>
        <n v="52.5374077723442"/>
        <n v="51.8636252679839"/>
        <n v="49.4387504085893"/>
        <n v="51.0167725146999"/>
        <n v="51.40154972"/>
        <n v="51.1663262199262"/>
        <n v="49.3355924120031"/>
        <n v="51.17555009"/>
        <n v="51.0172423170719"/>
        <n v="51.8010998895414"/>
        <n v="51.3905093414076"/>
        <n v="50.8594637405264"/>
        <n v="50.0301035225191"/>
        <n v="49.82938731"/>
        <n v="52.3947600825345"/>
        <n v="50.0354296893593"/>
        <n v="54.1277766528551"/>
        <n v="52.3733799921746"/>
        <n v="51.25261463"/>
        <n v="48.8008326762024"/>
        <n v="51.3197377479834"/>
        <n v="48.89699801482"/>
        <n v="50.1113206094255"/>
        <n v="50.8616034826588"/>
        <n v="51.45910421"/>
        <n v="51.3514417271002"/>
        <n v="53.1290817094391"/>
        <n v="51.9502603783038"/>
        <n v="48.177144060769"/>
        <n v="48.0231549451033"/>
        <n v="50.8975595066181"/>
        <n v="52.8512636662931"/>
        <n v="52.3182215367202"/>
        <n v="49.2237038817078"/>
        <n v="51.1511599229772"/>
        <n v="52.2962962837302"/>
        <n v="49.7999275144754"/>
        <n v="49.0176544727769"/>
        <n v="48.4561906289684"/>
        <n v="51.076729600058"/>
        <n v="51.6973498364498"/>
        <n v="51.8708533262731"/>
        <n v="51.4900753707235"/>
        <n v="50.733953900681"/>
        <n v="51.1263638885789"/>
        <n v="49.069578896004"/>
        <n v="53.5615703646091"/>
        <n v="48.8216708540163"/>
        <n v="51.6826705424256"/>
        <n v="50.6862013717246"/>
        <n v="50.0857034445537"/>
        <n v="51.1274076759398"/>
        <n v="48.1890261411998"/>
        <n v="49.2136673445611"/>
        <n v="49.592518924696"/>
        <n v="51.9996757221328"/>
        <n v="49.4208298113942"/>
        <n v="47.7959692800943"/>
        <n v="51.024483339737"/>
        <n v="47.550105521758"/>
        <n v="49.4349680461841"/>
        <n v="51.6389738319338"/>
        <n v="52.607832"/>
        <n v="51.815217"/>
        <n v="53.411865"/>
        <n v="53.412877"/>
        <n v="51.835582"/>
        <n v="53.339946"/>
        <n v="53.166873"/>
        <n v="53.339393"/>
        <n v="52.279006"/>
        <n v="53.29005"/>
        <n v="52.588766"/>
        <n v="53.44212"/>
        <n v="51.95906"/>
        <n v="52.47276"/>
        <n v="51.70785"/>
        <n v="51.94482"/>
        <n v="52.47489"/>
        <n v="53.43663"/>
        <n v="52.57722"/>
        <n v="53.44777"/>
        <n v="51.88581"/>
        <n v="51.95838"/>
        <n v="51.44882"/>
        <n v="52.33886"/>
        <n v="51.15446"/>
        <n v="52.23427"/>
        <n v="53.30972"/>
        <n v="52.40531"/>
        <n v="52.10303"/>
        <n v="51.88984"/>
        <n v="53.31883"/>
        <n v="51.89085"/>
        <n v="51.6849"/>
        <n v="51.68798"/>
        <n v="51.8463"/>
        <n v="52.24675"/>
        <n v="52.02578"/>
        <n v="51.75386"/>
        <n v="51.89"/>
        <n v="51.88462"/>
        <n v="52.07592"/>
        <n v="51.95359"/>
        <n v="44.909736"/>
        <n v="44.670484"/>
        <n v="44.8800279"/>
        <n v="44.388895"/>
        <n v="44.344025"/>
        <n v="45.040894"/>
        <n v="44.405821"/>
        <n v="46.467739"/>
        <n v="44.950054"/>
        <n v="44.423271"/>
        <n v="45.364411"/>
        <n v="44.372867"/>
        <n v="47.082514"/>
        <n v="44.440378"/>
        <n v="47.147953"/>
        <n v="45.708051"/>
        <n v="44.882674"/>
        <n v="44.346828"/>
        <n v="44.158228"/>
        <n v="46.372286"/>
        <n v="65.56796"/>
        <n v="56.86799"/>
        <n v="63.20689"/>
        <n v="60.6839"/>
        <n v="59.15166"/>
        <n v="57.6401"/>
        <n v="56.15316"/>
        <n v="60.6347"/>
        <n v="53.581236"/>
        <n v="51.6838"/>
        <n v="53.077899"/>
        <n v="53.636561"/>
        <n v="53.524674"/>
        <n v="51.444375"/>
        <n v="51.623643"/>
        <n v="53.363927"/>
        <n v="55.20069"/>
        <n v="53.631684"/>
        <n v="53.6016"/>
        <n v="52.807839"/>
        <n v="57.4779"/>
        <n v="53.43667"/>
        <n v="53.303342"/>
        <n v="53.315352"/>
        <n v="53.639874"/>
        <n v="53.373371"/>
        <n v="54.845"/>
        <n v="51.528968"/>
        <n v="52.204796"/>
        <n v="54.7258"/>
        <n v="51.51231"/>
        <n v="53.307967"/>
        <n v="53.22697"/>
        <n v="52.585022"/>
        <n v="53.594445"/>
        <n v="51.428059"/>
        <n v="53.360724"/>
        <n v="52.757342"/>
        <n v="50.387758"/>
        <n v="52.866039"/>
        <n v="51.54796"/>
        <n v="55.0441"/>
        <n v="51.437727"/>
        <n v="51.66144"/>
        <n v="56.01201"/>
        <n v="57.01106"/>
        <n v="56.01847"/>
        <n v="52.447764"/>
        <n v="58.04865"/>
        <n v="60.36441"/>
        <n v="57.81391"/>
        <n v="51.362175"/>
        <n v="52.84339"/>
        <n v="59.32444"/>
        <n v="51.61582"/>
        <n v="60.85678"/>
        <n v="53.542543"/>
        <n v="57.29446"/>
        <n v="58.48333"/>
        <n v="59.92844"/>
        <n v="58.69263"/>
        <n v="60.80961"/>
        <n v="53.419079"/>
        <n v="51.761606"/>
        <n v="57.03155"/>
        <n v="61.61961"/>
        <n v="52.397888"/>
        <n v="58.46139"/>
        <n v="52.999517"/>
        <n v="59.74243"/>
        <n v="60.80556"/>
        <n v="51.71922"/>
        <n v="61.09611"/>
        <n v="56.69678"/>
        <n v="60.31556"/>
        <n v="60.46839"/>
        <n v="58.28934"/>
        <n v="55.42971"/>
        <n v="59.36372"/>
        <n v="58.41667"/>
        <n v="61.27611"/>
        <n v="60.44111"/>
        <n v="59.56194"/>
        <n v="57.45068"/>
        <n v="60.45741"/>
        <n v="57.08393"/>
        <n v="57.66301"/>
        <n v="60.69183"/>
        <n v="56.45251"/>
        <n v="56.77012"/>
        <n v="51.380464"/>
        <n v="53.53804"/>
        <n v="53.622685"/>
        <n v="58.05869"/>
        <n v="57.25654"/>
        <n v="52.727186"/>
        <n v="58.36983"/>
        <n v="53.451998"/>
        <n v="59.36088"/>
        <n v="61.36304"/>
        <n v="61.10251"/>
        <n v="53.354564"/>
        <n v="57.96194"/>
        <n v="53.05472"/>
        <n v="57.18528"/>
        <n v="57.16741"/>
        <n v="58.10139"/>
        <n v="61.24061"/>
        <n v="51.40625"/>
        <n v="57.95743"/>
        <n v="53.84167"/>
        <n v="56.79052"/>
        <n v="57.43371"/>
        <n v="58.30701"/>
        <n v="58.04691"/>
        <n v="57.00125"/>
        <n v="61.21667"/>
        <n v="57.43551"/>
        <n v="57.28691"/>
        <n v="53.09031"/>
        <n v="58.87616"/>
        <n v="50.839191445938"/>
        <n v="52.29852065"/>
        <n v="50.8935887965667"/>
        <n v="50.8121882642952"/>
        <n v="46.298841"/>
        <n v="40.3136"/>
        <n v="40.4101"/>
        <n v="44.522987"/>
        <n v="65.06417"/>
        <n v="61.1755829"/>
        <n v="60.49131"/>
        <n v="61.2551537"/>
        <n v="60.645134"/>
        <n v="56.5203133"/>
        <n v="58.36666"/>
        <n v="61.448822"/>
        <n v="65.73843"/>
        <n v="65.32562"/>
        <n v="66.02713"/>
        <n v="64.99371"/>
        <n v="58.417244"/>
        <n v="58.84408"/>
        <n v="61.3696442"/>
        <n v="56.3761749"/>
        <n v="59.5669174"/>
        <n v="59.1646233"/>
        <n v="60.3896065"/>
        <n v="61.07978"/>
        <n v="64.3529358"/>
        <n v="57.1107445"/>
        <n v="60.5420074"/>
        <n v="61.8134727"/>
        <n v="59.5735626"/>
        <n v="59.45466"/>
        <n v="60.78217"/>
        <n v="59.1909943"/>
        <n v="61.3318863"/>
        <n v="60.699955"/>
        <n v="55.6085262"/>
        <n v="46.972"/>
        <n v="51.51523"/>
        <n v="42.90878"/>
        <n v="49.91027826"/>
        <n v="49.85958766"/>
        <n v="49.57982179"/>
        <n v="51.2800362227478"/>
        <n v="51.8127470277852"/>
        <n v="51.2702196021692"/>
        <n v="48.3319725775515"/>
        <n v="48.3685926678066"/>
        <n v="48.6536749893587"/>
        <n v="49.0170401919872"/>
        <n v="48.2270218973993"/>
        <n v="51.7706054010665"/>
        <n v="51.7530072859272"/>
        <n v="51.8435851473783"/>
        <n v="48.8905910679224"/>
        <n v="50.418856896455"/>
        <n v="50.3174802525125"/>
        <n v="51.7599976494764"/>
        <n v="47.6609754367415"/>
        <n v="49.0299487490108"/>
        <n v="49.3576652299157"/>
        <n v="48.7737919202629"/>
        <n v="52.162740627713"/>
        <n v="48.4190996180209"/>
        <n v="51.4361004123644"/>
        <n v="45.2901138"/>
        <n v="45.124725"/>
        <n v="57.84205"/>
        <n v="52.377094"/>
        <n v="53.3387"/>
        <n v="53.270735"/>
        <n v="53.67552"/>
        <n v="54.512993"/>
        <n v="53.210776"/>
        <n v="53.218973"/>
        <n v="55.68421443"/>
        <n v="55.4619001254645"/>
        <n v="57.0245136390954"/>
        <n v="55.5113041260684"/>
        <n v="55.7064799056756"/>
        <n v="57.45308057"/>
        <n v="54.9300051129523"/>
        <n v="55.0809118972396"/>
        <n v="55.6949824782093"/>
        <n v="60.26051"/>
        <n v="51.4844423084825"/>
        <n v="51.5565161479205"/>
        <n v="49.5213749156826"/>
        <n v="52.185201417987"/>
        <n v="49.3100376733859"/>
        <n v="52.5290382462858"/>
        <n v="51.3247410197754"/>
        <n v="52.1700500859293"/>
        <n v="48.8143209927481"/>
        <n v="52.6435911576466"/>
        <n v="54.0829600845935"/>
        <n v="51.2256732427171"/>
        <n v="51.3180987716012"/>
        <n v="52.17257779"/>
        <n v="51.00687721"/>
        <n v="51.52853689647"/>
        <n v="53.5211662263952"/>
        <n v="53.6192816698957"/>
        <n v="52.4906540453051"/>
        <n v="50.8932997521558"/>
        <n v="50.7336148391428"/>
        <n v="52.4120907885903"/>
        <n v="51.6800564497571"/>
        <n v="48.4021264514526"/>
        <n v="48.1851584569565"/>
        <n v="48.7643392746809"/>
        <n v="51.5819631701437"/>
        <n v="49.4355252064273"/>
        <n v="50.0648892703817"/>
        <n v="53.1806501616293"/>
        <n v="49.4846822000204"/>
        <n v="51.0423176878849"/>
        <n v="49.7926812312301"/>
        <n v="49.8841313310629"/>
        <n v="53.5345044139052"/>
        <n v="49.228073945882"/>
        <n v="48.6821454543083"/>
        <n v="52.5275048175393"/>
        <n v="53.7418929511967"/>
        <n v="47.797507614853"/>
        <n v="49.9119451807108"/>
        <n v="51.39787295"/>
        <n v="53.338968"/>
        <n v="53.676916"/>
        <n v="51.89704"/>
        <n v="52.39975"/>
        <n v="52.60979"/>
        <n v="51.68326"/>
        <n v="52.79127"/>
        <n v="51.54854"/>
        <n v="51.81542"/>
        <n v="53.19045"/>
        <n v="51.81651"/>
        <n v="53.422347"/>
        <n v="53.71674"/>
        <n v="51.505144"/>
        <n v="53.567006"/>
        <n v="56.20153"/>
        <n v="55.15282"/>
        <n v="52.103972"/>
        <n v="51.485136"/>
        <n v="55.97522"/>
        <n v="52.395955"/>
        <n v="51.895724"/>
        <n v="50.376648"/>
        <n v="53.387031"/>
        <n v="52.987885"/>
        <n v="50.395913"/>
        <n v="50.802043"/>
        <n v="53.199438"/>
        <n v="50.82181"/>
        <n v="53.722154"/>
        <n v="53.787525"/>
        <n v="52.945958"/>
        <n v="52.335662"/>
        <n v="52.263499"/>
        <n v="53.655139"/>
        <n v="51.616222"/>
        <n v="51.523818"/>
        <n v="55.92507"/>
        <n v="52.326472"/>
        <n v="51.469679"/>
        <n v="52.597637"/>
        <n v="52.499145"/>
        <n v="56.48585"/>
      </sharedItems>
    </cacheField>
    <cacheField name="City" numFmtId="0">
      <sharedItems containsBlank="1">
        <m/>
        <s v="SELBY"/>
        <s v="NOYANT"/>
        <s v="Äänekoski"/>
        <s v="Rogowiec"/>
        <s v="Imatra"/>
        <s v="TIMRÅ"/>
        <s v="MÖNSTERÅS"/>
        <s v="VÄRÖBACKA"/>
        <s v="Štětí"/>
        <s v="Kemi"/>
        <s v="GRUMS"/>
        <s v="HUSUM"/>
        <s v="SETÚBAL"/>
        <s v="Joensuu"/>
        <s v="Lappeenranta"/>
        <s v="Rauma"/>
        <s v="NAVIA"/>
        <s v="SKUTSKÄR"/>
        <s v="GÄVLE"/>
        <s v="PITEÅ"/>
        <s v="Oulu"/>
        <s v="MÖRRUM"/>
        <s v="Świerże Górne"/>
        <s v="Pöls"/>
        <s v="Kouvola"/>
        <s v="Virton"/>
        <s v="STOCKHOLM"/>
        <s v="SKOGHALL"/>
        <s v="Figueira da Foz"/>
        <s v="IGGESUND"/>
        <s v="Bogatynia"/>
        <s v="SKÄRBLACKA"/>
        <s v="KARLSBORGSVERKEN"/>
        <s v="VÄSTERÅS"/>
        <s v="BIGANOS"/>
        <s v="Aveiro"/>
        <s v="Kotka"/>
        <s v="FRÖVI"/>
        <s v="Opole"/>
        <s v="Naantali"/>
        <s v="Varkaus"/>
        <s v="VÄJA"/>
        <s v="ST GAUDENS"/>
        <s v="VALLVIK"/>
        <s v="LAVOS"/>
        <s v="DEOCRISTE"/>
        <s v="BRINDISI"/>
        <s v="KRISTINEHAMN"/>
        <s v="Połaniec"/>
        <s v="SÖDERTÄLJE"/>
        <s v="OBBOLA"/>
        <s v="Runcorn"/>
        <s v="TARTAS"/>
        <s v="Hodonín"/>
        <s v="ÖRNSKÖLDSVIK"/>
        <s v="TARASCON"/>
        <s v="AGIOS DIMITRIOS, ELLISPONTOS"/>
        <s v="ASPABRUK"/>
        <s v="CIVITAVECCHIA"/>
        <s v="Frantschach"/>
        <s v="ÖREBRO"/>
        <s v="Gent"/>
        <s v="Trutnov"/>
        <s v="Hallein"/>
        <s v="SAILLAT SUR VIENNE"/>
        <s v="NORRKÖPING"/>
        <s v="TORINO"/>
        <s v="SIGTUNA"/>
        <s v="LINKÖPING"/>
        <s v="GÖTEBORG"/>
        <s v="IVRY SUR SEINE"/>
        <s v="Pori"/>
        <s v="Essen"/>
        <s v="ESKILSTUNA"/>
        <s v="MALMÖ"/>
        <s v="Bremen"/>
        <s v="Hamburg"/>
        <s v="KARLSTAD"/>
        <s v="Visonta"/>
        <s v="DUNKERQUE"/>
        <s v="CLERMONT FERRAND"/>
        <s v="Dąbrowa Górnicza"/>
        <s v="Karlsruhe"/>
        <s v="JÖNKÖPING"/>
        <s v="HYLTEBRUK"/>
        <s v="Bruxelles"/>
        <s v="PALMA"/>
        <s v="TARANTO"/>
        <s v="SÃO JOÃO DA TALHA"/>
        <s v="BURGO DE EBRO (EL)"/>
        <s v="Jaworzno"/>
        <s v="ISSY LES MOULINEAUX"/>
        <s v="Rybnik"/>
        <s v="FORS"/>
        <s v="Lasnamäe linnaosa, Tallinn"/>
        <s v="ST OUEN"/>
        <s v="Pärnu linn"/>
        <s v="Lohkva küla, Luunja vald"/>
        <s v="Vantaa"/>
        <s v="Espoo"/>
        <s v="Auvere küla, Narva-Jõesuu linn"/>
        <s v="Helsinki"/>
        <s v="Mikkeli"/>
        <s v="Košice - Šaca"/>
        <s v="Thumaide"/>
        <s v="FOS SUR MER"/>
        <s v="Narva linn"/>
        <s v="Cardiff"/>
        <s v="Wuppertal"/>
        <s v="Vásárosnamény"/>
        <s v="SAN VITTORE DEL LAZIO"/>
        <s v="Frankfurt am Main, St."/>
        <s v="PORTO TORRES"/>
        <s v="Warszawa"/>
        <s v="UMEÅ"/>
        <s v="Heinola"/>
        <s v="VENEZIA"/>
        <s v="UPPSALA"/>
        <s v="MAIA"/>
        <s v="Herstal"/>
        <s v="Seinäjoki"/>
        <s v="HELSINGBORG"/>
        <s v="Kehra linn, Anija vald"/>
        <s v="Oslo"/>
        <s v="HALLUIN"/>
        <s v="CONSTÂNCIA"/>
        <s v="Jämsä"/>
        <s v="Budapest 15. ker."/>
        <s v="MILANO"/>
        <s v="Kuopio"/>
        <s v="Skogn"/>
        <s v="Rheinberg"/>
        <s v="Jihlava"/>
        <s v="GIJON"/>
        <s v="FERRERA ERBOGNONE"/>
        <s v="Perlen"/>
        <s v="Porvoo"/>
        <s v="Kaskinen"/>
        <s v="LAVEYRON"/>
        <s v="FALUN"/>
        <s v="BILLINGSFORS"/>
        <s v="NYKÖPING"/>
        <s v="Halden"/>
        <s v="Valkeakoski"/>
        <s v="Wien,Alsergrund"/>
        <s v="Mainz"/>
        <s v="Vaasa"/>
        <s v="Hürth"/>
        <s v="Zuchwil"/>
        <s v="Hämeenlinna"/>
        <s v="SKELLEFTEÅ"/>
        <s v="Konin"/>
        <s v="Aire-la-Ville"/>
        <s v="Kerava"/>
        <s v="Vialonga"/>
        <s v="Sant Adrià de Besòs"/>
        <s v="Mladá Boleslav"/>
        <s v="Tyseley"/>
        <s v="STRASBOURG"/>
        <s v="Kremsdorf"/>
        <s v="Bremerhaven"/>
        <s v="Stockstadt a.Main"/>
        <s v="Straumen"/>
        <s v="WOLVERHAMPTON"/>
        <s v="Zürich"/>
        <s v="SLITE"/>
        <s v="Järvenpää"/>
        <s v="Mustamäe linnaosa, Tallinn"/>
        <s v="Kajaani"/>
        <s v="ENKÖPING"/>
        <s v="Eschweiler"/>
        <s v="Radauti"/>
        <s v="LONDON"/>
        <s v="Oostrozebeke"/>
        <s v="Klaipeda"/>
        <s v="Bergen"/>
        <s v="Parona"/>
        <s v="Mänttä-vilppula"/>
        <s v="Basel"/>
        <s v="KRISTIANSTAD"/>
        <s v="Sillamäe linn"/>
        <s v="HÄSSELBY"/>
        <s v="PRIOLO GARGALLO"/>
        <s v="Weinfelden"/>
        <s v="Wien,Simmering"/>
        <s v="Ljubljana"/>
        <s v="Tornio"/>
        <s v="GRANADILLA DE ABONA"/>
        <s v="Chorula"/>
        <s v="MAISONS LAFFITTE"/>
        <s v="Forstviertel"/>
        <s v="Kraków"/>
        <s v="SAN FILIPPO DEL MELA"/>
        <s v="Croydon"/>
        <s v="VENIZEL"/>
        <s v="BICESTER"/>
        <s v="RAVENNA"/>
        <s v="Zemianske Kostoľany"/>
        <s v="TOULOUSE"/>
        <s v="ST AVOLD"/>
        <s v="Mielec"/>
        <s v="Barrios, Los"/>
        <s v="PEGO"/>
        <s v="MANTOVA"/>
        <s v="Saarbrücken"/>
        <s v="Wielsbeke"/>
        <s v="Lausanne"/>
        <s v="Stötten"/>
        <s v="LYON 07"/>
        <s v="TORVISCOSA"/>
        <s v="KARLSKOGA"/>
        <s v="LARNAKA"/>
        <s v="Winterthur"/>
        <s v="Savonlinna"/>
        <s v="Hinwil"/>
        <s v="SOTO DE RIBERA"/>
        <s v="ESCOMBRERAS"/>
        <s v="CORDEMAIS"/>
        <s v="MATORRAL (EL)"/>
        <s v="Buchs SG"/>
        <s v="MODENA"/>
        <s v="OSTIGLIA"/>
        <s v="CASTEL SAN GIOVANNI"/>
        <s v="Oostende"/>
        <s v="Kamp-Lintfort"/>
        <s v="SUNDSVALL"/>
        <s v="MEGALOPOLI"/>
        <s v="MONTANASO LOMBARDO"/>
        <s v="BEGLES"/>
        <s v="DALMINE"/>
        <s v="Będzin"/>
        <s v="CALCE"/>
        <s v="Praha 10"/>
        <s v="GRANAROLO DELL'EMILIA"/>
        <s v="TREZZO SULL'ADDA"/>
        <s v="PADOVA"/>
        <s v="Giubiasco"/>
        <s v="St. Veit an der Glan"/>
        <s v="Leudelange"/>
        <s v="Chorzów"/>
        <s v="CASTEJON"/>
        <s v="ST JEAN DE FOLLEVILLE"/>
        <s v="MARTIGUES"/>
        <s v="MEDAS"/>
        <s v="Bern"/>
        <s v="CZARNA WODA"/>
        <s v="ARGENTEUIL"/>
        <s v="Huelva"/>
        <s v="SANGUESA"/>
        <s v="SIMERI CRICHI"/>
        <s v="PORTOSCUSO"/>
        <s v="Forssa"/>
        <s v="BORLÄNGE"/>
        <s v="Niederorschel"/>
        <s v="Pietarsaari"/>
        <s v="GOLBEY"/>
        <s v="TOULON"/>
        <s v="PUERTO (EL)"/>
        <s v="PERSTORP"/>
        <s v="Aarhus N"/>
        <s v="TERMINI IMERESE"/>
        <s v="Lünen"/>
        <s v="Monthey"/>
        <s v="MONTAÑANA"/>
        <s v="Hranice"/>
        <s v="Brevik"/>
        <s v="ZARAGOZA"/>
        <s v="Wien,Ottakring"/>
        <s v="Plomin"/>
        <s v="BODEN"/>
        <s v="VEDENE"/>
        <s v="PUENTE MAYORGA"/>
        <s v="Lauta"/>
        <s v="Gdańsk"/>
        <s v="Unterradlberg"/>
        <s v="Dendermonde"/>
        <s v="VILABELLA"/>
        <s v="BESSIERES"/>
        <s v="VIOTIA"/>
        <s v="Buchs AG"/>
        <s v="Szczecin"/>
        <s v="CARREGADO"/>
        <s v="BOUCHAIN"/>
        <s v="Kempten (Allgäu)"/>
        <s v="Skawina"/>
        <s v="Čížkovice"/>
        <s v="Sarpsborg"/>
        <s v="BOLZANO"/>
        <s v="Andernach"/>
        <s v="Lohja"/>
        <s v="ALTOMONTE"/>
        <s v="MONCALIERI"/>
        <s v="Zistersdorf"/>
        <s v="HALMSTAD"/>
        <s v="CHIVASSO"/>
        <s v="TERNI"/>
        <s v="INOWROCŁAW"/>
        <s v="TRIESTE"/>
        <s v="LIVORNO FERRARIS"/>
        <s v="BOURGOIN JALLIEU"/>
        <s v="FERRARA"/>
        <s v="KERATEA"/>
        <s v="QUILIANO"/>
        <s v="LESTREM"/>
        <s v="Prachovice"/>
        <s v="FORLI'"/>
        <s v="Pitten"/>
        <s v="LIDKÖPING"/>
        <s v="BREST"/>
        <s v="TRĘBACZEW"/>
        <s v="BERTONICO"/>
        <s v="LA TRONCHE"/>
        <s v="Svelgen"/>
        <s v="Police"/>
        <s v="Lille Skensved"/>
        <s v="RILLIEUX LA PAPE"/>
        <s v="Turgi"/>
        <s v="CORIANO"/>
        <s v="Deskle"/>
        <s v="Coburg"/>
        <s v="VALMADRERA"/>
        <s v="Arcos de la Frontera"/>
        <s v="SAUSHEIM"/>
        <s v="BORÅS"/>
        <s v="UDDEVALLA"/>
        <s v="Lanaken"/>
        <s v="SARCELLES"/>
        <s v="POZZILLI"/>
        <s v="Lengerich"/>
        <s v="Bazenheid"/>
        <s v="Tvarožná"/>
        <s v="Frohnleiten"/>
        <s v="ESCATRON"/>
        <s v="PONT SUR SAMBRE"/>
        <s v="VOGHERA"/>
        <s v="Бели извор"/>
        <s v="OUARVILLE"/>
        <s v="Untervaz-Bahnhof"/>
        <s v="Thun"/>
        <s v="CASSANO D'ADDA"/>
        <s v="PONTES DE GARCIA RODRIGUEZ (AS)"/>
        <s v="Sviadnov"/>
        <s v="FLORINA"/>
        <s v="SPARANISE"/>
        <s v="SORA"/>
        <s v="Niederurnen"/>
        <s v="ROSIGNANO MARITTIMO"/>
        <s v="Aiseau"/>
        <s v="Kiel"/>
        <s v="DUINO-AURISINA"/>
        <s v="Gamle Fredrikstad"/>
        <s v="Gönyű"/>
        <s v="CARRIERES SOUS POISSY"/>
        <s v="SAN SEVERO"/>
        <s v="LANDIVISIAU"/>
        <s v="Orkanger"/>
        <s v="ST THIBAULT DES VIGNES"/>
        <s v="BAZEILLES"/>
        <s v="RAMBERVILLERS"/>
        <s v="Stamford"/>
        <s v="St. Johann in Tirol"/>
        <s v="Kostrzyn nad Odrą"/>
        <s v="Grajewo"/>
        <s v="Głogów"/>
        <s v="Tarnów"/>
        <s v="Łódź"/>
        <s v="Zagreb"/>
        <s v="VAUX LE PENIL"/>
        <s v="Biruliškės"/>
        <s v="Pocking"/>
        <s v="DIJON"/>
        <s v="Posieux"/>
        <s v="DUEÑAS"/>
        <s v="LE PORT"/>
        <s v="Dietikon"/>
        <s v="Neunkirchen"/>
        <s v="NANTES"/>
        <s v="Wieruszów"/>
        <s v="Hørsholm"/>
        <s v="CARRIERES SUR SEINE"/>
        <s v="KAMARI, DERVENOCHORIA"/>
        <s v="TORRELAVEGA"/>
        <s v="COMO"/>
        <s v="MONTHYON"/>
        <s v="MASSY"/>
        <s v="Šaľa"/>
        <s v="LEINI'"/>
        <s v="CENON"/>
        <s v="VILLERS ST PAUL"/>
        <s v="ORIGNY STE BENOITE"/>
        <s v="THIVA"/>
        <s v="NOYELLES SOUS LENS"/>
        <s v="TOUL"/>
        <s v="Göllheim"/>
        <s v="SOUSSAKI, AG. THEODORI"/>
        <s v="PIACENZA"/>
        <s v="Ham"/>
        <s v="ST SAULVE"/>
        <s v="BELLEGARDE SUR VALSERINE"/>
        <s v="Eeklo"/>
        <s v="CHAMBERY"/>
        <s v="DESIO"/>
        <s v="SERMIDE"/>
        <s v="JANIKOWO"/>
        <s v="ST LOUIS"/>
        <s v="TOLMEZZO"/>
        <s v="RIZZICONI"/>
        <s v="Chełm"/>
        <s v="RION DES LANDES"/>
        <s v="Malmberget"/>
        <s v="GISSI"/>
        <s v="LA ROCHETTE"/>
        <s v="Bydgoszcz"/>
        <s v="Tampere"/>
        <s v="LEFKI"/>
        <s v="Vilnius"/>
        <s v="SABON"/>
        <s v="Krosno Odrzańskie"/>
        <s v="Suwałki"/>
        <s v="CANDELA"/>
        <s v="LE MOULE"/>
        <s v="Roux"/>
        <s v="Dunaújváros"/>
        <s v="MENGIBAR"/>
        <s v="Białystok"/>
        <s v="BAYET"/>
        <s v="Krško"/>
        <s v="Wien,Donaustadt"/>
        <s v="PORTARIA"/>
        <s v="Waterhouses"/>
        <s v="Sitkówka-Nowiny"/>
        <s v="Gdynia"/>
        <s v="MONFALCONE"/>
        <s v="Włocławek"/>
        <s v="Alhandra"/>
        <s v="Tessenderlo"/>
        <s v="Lixhe"/>
        <s v="Vojany"/>
        <s v="Gaurain-Ramecroix"/>
        <s v="THESSALONIKI"/>
        <s v="Naujoji Akmenė"/>
        <s v="Zülpich"/>
        <s v="BLENOD LES PONT A MOUSSON"/>
        <s v="Belišće"/>
        <s v="THISVI"/>
        <s v="GAZI"/>
        <s v="Drogenbos"/>
        <s v="Budapest 21. ker."/>
        <s v="Antwerpen"/>
        <s v="Goutroux"/>
        <s v="REZZATO"/>
        <s v="TAMINEI"/>
        <s v="KOMOTINI"/>
        <s v="Linz"/>
        <s v="Maastricht"/>
        <s v="Cavan"/>
        <s v="APRILIA"/>
        <s v="Marsaxlokk"/>
        <s v="DISTOMO"/>
        <s v="Ajka"/>
        <s v="CAVRIGLIA"/>
        <s v="Sisak-Caprag"/>
        <s v="SALAISE SUR SANNE"/>
        <s v="VILLASECA DE LA SAGRA"/>
        <s v="SCANDALE"/>
        <s v="Katowice"/>
        <s v="ALIVERI"/>
        <s v="ST ANDRE"/>
        <s v="ST PIERRE LA COUR"/>
        <s v="NAPOLI"/>
        <s v="BAIE MAHAULT"/>
        <s v="ROBILANTE"/>
        <s v="CLITHEROE"/>
        <s v="Sant Vicenç dels Horts"/>
        <s v="BELLEFONTAINE"/>
        <s v="Cardona"/>
        <s v="ARRECIFE"/>
        <s v="Rohožník"/>
        <s v="Santa Margarida i els Monjos"/>
        <s v="Praha 16"/>
        <s v="Acone, Salaspils pagasts, Salaspils novads"/>
        <s v="Mellach"/>
        <s v="Jastrzębie-Zdrój"/>
        <s v="BOUVESSE QUIRIEU"/>
        <s v="ARRUBAL"/>
        <s v="CRETEIL"/>
        <s v="CALUSCO D'ADDA"/>
        <s v="SOUSELAS"/>
        <s v="Százhalombatta"/>
        <s v="COUVROT"/>
        <s v="LUCCIANA"/>
        <s v="Antoing"/>
        <s v="Zielona Góra"/>
        <s v="BERRE L ETANG"/>
        <s v="DOMBASLE SUR MEURTHE"/>
        <s v="Obourg"/>
        <s v="MODUGNO"/>
        <s v="LIEIRO"/>
        <s v="BAZANCOURT"/>
        <s v="Akranes"/>
        <s v="Vandellòs i l'Hospitalet de l'Infant"/>
        <s v="Castellón de la Plana/Castelló de la Plana"/>
        <s v="Poznań"/>
        <s v="SESTO CAMPANO"/>
        <s v="SANTURTZI"/>
        <s v="TERMOLI"/>
        <s v="Seraing"/>
        <s v="Košice - Juh"/>
        <s v="LUMBRES"/>
        <s v="MEYREUIL"/>
        <s v="LOON PLAGE"/>
        <s v="Canonja, La"/>
        <s v="Zabrze"/>
        <s v="Brocēni"/>
        <s v="Płock"/>
        <s v="Pécs"/>
        <s v="Erwitte"/>
        <s v="CAMPANILLAS"/>
        <s v="Mannersdorf am Leithagebirge"/>
        <s v="TURBIGO"/>
        <s v="MORATA DE TAJUÑA"/>
        <s v="EYKARPIA"/>
        <s v="Našice"/>
        <s v="Puertollano"/>
        <s v="Zwijndrecht"/>
        <s v="Alcalá de Guadaíra"/>
        <s v="RION"/>
        <s v="LE TEIL"/>
        <s v="Kyrksæterøra"/>
        <s v="Lublin"/>
        <s v="PONTI SUL MINCIO"/>
        <s v="Barcelona"/>
        <s v="Vielsalm"/>
        <s v="MILAZZO"/>
        <s v="MESNIL ST NICAISE"/>
        <s v="LANEUVEVILLE DEVANT NANCY"/>
        <s v="MAO"/>
        <s v="Saint-Georges-Sur-Meuse"/>
        <s v="CARBONERAS"/>
        <s v="MARCKOLSHEIM"/>
        <s v="OVIEDO"/>
        <s v="TEVEROLA"/>
        <s v="Királyegyháza"/>
        <s v="RETY"/>
        <s v="KUMLA"/>
        <s v="Tychy"/>
        <s v="Zlín"/>
        <s v="CARAVATE"/>
        <s v="Aalst"/>
        <s v="ROBLA (LA)"/>
        <s v="Kaštel Sućurac"/>
        <s v="Wietersdorf"/>
        <s v="LE GRAND QUEVILLY"/>
        <s v="Baena"/>
        <s v="Vall d'en Bas, La"/>
        <s v="Rumelange"/>
        <s v="SARROCH"/>
        <s v="COMABBIO"/>
        <s v="PORCARI"/>
        <s v="GUBBIO"/>
        <s v="AIRVAULT"/>
        <s v="Częstochowa"/>
        <s v="ALIZAY"/>
        <s v="MONTOIR DE BRETAGNE"/>
        <s v="Muttenz 1"/>
        <s v="Wopfing"/>
        <s v="GUIDONIA MONTECELIO"/>
        <s v="Palos de la Frontera"/>
        <s v="CHANIA"/>
        <s v="VERNASCA"/>
        <s v="AJACCIO"/>
        <s v="BEINHEIM"/>
        <s v="Ladce"/>
        <s v="Kazincbarcika"/>
        <s v="Veľké Kapušany"/>
        <s v="Szabadegyháza"/>
        <s v="Kladno"/>
        <s v="NOVARA"/>
        <s v="Ålvik"/>
        <s v="Ostrowiec Świętokrzyski"/>
        <s v="BUCY LE LONG"/>
        <s v="Baudour"/>
        <s v="SORONI"/>
        <s v="Olomouc"/>
        <s v="BLAUSASC"/>
        <s v="Aisemont"/>
        <s v="SANDOUVILLE"/>
        <s v="Rzeszów"/>
        <s v="VITRY SUR SEINE"/>
        <s v="Vác"/>
        <s v="Würenlingen"/>
        <s v="Žiar nad Hronom"/>
        <s v="Oravský Podzámok"/>
        <s v="Beremend"/>
        <s v="VILLALUENGA DE LA SAGRA"/>
        <s v="PORT LA NOUVELLE"/>
        <s v="BEAUCAIRE"/>
        <s v="AUGUSTA"/>
        <s v="Czechowice-Dziedzice"/>
        <s v="Wildegg"/>
        <s v="LINARES"/>
        <s v="Budapest 11. ker."/>
        <s v="Szakoly"/>
        <s v="Brugge"/>
        <s v="Hafnarfjörður"/>
        <s v="Rudniki"/>
        <s v="MARTRES TOLOSANE"/>
        <s v="CASTEL FOCOGNANO"/>
        <s v="ALICANTE/ALACANT"/>
        <s v="PIEGARO"/>
        <s v="Златна Панега"/>
        <s v="SKÖVDE"/>
        <s v="MATERA"/>
        <s v="Budapest 04. ker."/>
        <s v="Stalowa Wola"/>
        <s v="Kielce"/>
        <s v="Leiria"/>
        <s v="HEMING"/>
        <s v="Tiszaújváros"/>
        <s v="Panevezys"/>
        <s v="LIMAY"/>
        <s v="FUNCHAL"/>
        <s v="Žilina"/>
        <s v="Kunda linn"/>
        <s v="Geseke"/>
        <s v="Mo i Rana"/>
        <s v="VILLETTE SUR AUBE"/>
        <s v="KATTAVIA"/>
        <s v="Untervaz"/>
        <s v="Marche-En-Famenne"/>
        <s v="ST JEAN DE MAURIENNE"/>
        <s v="ARTENAY"/>
        <s v="Montcada i Reixac"/>
        <s v="Toruń"/>
        <s v="PEREDA (LA)"/>
        <s v="Ehrenhausen"/>
        <s v="DUGNY SUR MEUSE"/>
        <s v="EIVISSA"/>
        <s v="FINNSNES"/>
        <s v="MONSELICE"/>
        <s v="XEUILLEY"/>
        <s v="SORCY ST MARTIN"/>
        <s v="CRESCENTINO"/>
        <s v="FORT DE FRANCE"/>
        <s v="ST ETIENNE DU ROUVRAY"/>
        <s v="Jelgava"/>
        <s v="Hencovce"/>
        <s v="Legnica"/>
        <s v="Budapest 18. ker."/>
        <s v="TORAL DE LOS VADOS"/>
        <s v="LILLERS"/>
        <s v="Domat/ Ems"/>
        <s v="PEDEROBBA"/>
        <s v="CONNANTRE"/>
        <s v="Mollerussa"/>
        <s v="Gliwice"/>
        <s v="Theiß"/>
        <s v="ESTAZIÑOA"/>
        <s v="COLLEFERRO"/>
        <s v="Jerez de la Frontera"/>
        <s v="RAGUSA"/>
        <s v="ANGLEFORT"/>
        <s v="VERZUOLO"/>
        <s v="Eclépens"/>
        <s v="Lucena"/>
        <s v="Puente Genil"/>
        <s v="FANNA"/>
        <s v="ALCANEDE"/>
        <s v="SOUTH AEGEAN, KOS"/>
        <s v="BOUC BEL AIR"/>
        <s v="Turňa nad Bodvou"/>
        <s v="Bukowa"/>
        <s v="Martfű"/>
        <s v="MATAPORQUERA"/>
        <s v="THIRAS"/>
        <s v="Bielsko-Biała"/>
        <s v="Fulda"/>
        <s v="Debrecen"/>
        <s v="Péry"/>
        <s v="Laakirchen"/>
        <s v="Buñol"/>
        <s v="GRANDE SYNTHE"/>
        <s v="Tatabánya"/>
        <s v="Kędzierzyn-Koźle"/>
        <s v="SAN ROQUE"/>
        <s v="Olsztyn"/>
        <s v="Jelšava"/>
        <s v="VERNOU LA CELLE SUR SEINE"/>
        <s v="KOUNGOU"/>
        <s v="ST JULIEN MONT DENIS"/>
        <s v="Kjøpsvik"/>
        <s v="Enna"/>
        <s v="ISOLA DELLE FEMMINE"/>
        <s v="Koromačno"/>
        <s v="BEFFES"/>
        <s v="Vilvoorde"/>
        <s v="REMIRE MONTJOLY"/>
        <s v="Bratislava - Nové Mesto"/>
        <s v="Barletta"/>
        <s v="Riva Del Garda"/>
        <s v="LILLEBONNE"/>
        <s v="Ribeira Grande"/>
        <s v="GALATINA"/>
        <s v="Niebla"/>
        <s v="OLAZTI/OLAZAGUTIA"/>
        <s v="Rīga"/>
        <s v="Mold"/>
        <s v="LOZANNE"/>
        <s v="Most"/>
        <s v="Barile"/>
        <s v="VILLANUEVA DEL ARZOBISPO"/>
        <s v="GORIZIA"/>
        <s v="CRECHY"/>
        <s v="LIVET ET GAVET"/>
        <s v="BREÑA"/>
        <s v="NESLE"/>
        <s v="Horné Srnie"/>
        <s v="VITORIA-GASTEIZ"/>
        <s v="Graz,05.Bez.:Gries"/>
        <s v="NORTH AEGEAN, LESVOS"/>
        <s v="Bukowno"/>
        <s v="RANVILLE"/>
        <s v="LACQ"/>
        <s v="JINAMAR"/>
        <s v="TAVERNOLA BERGAMASCA"/>
        <s v="Cuneo"/>
        <s v="METZ"/>
        <s v="ROCHEFORT SUR NENON"/>
        <s v="MORATA DE JALON"/>
        <s v="YEPES"/>
        <s v="SANT'AGATA DI PUGLIA"/>
        <s v="Moha"/>
        <s v="Polkowice"/>
        <s v="Świdno"/>
        <s v="VAL BREMBILLA"/>
        <s v="VALLADOLID"/>
        <s v="GAJANO"/>
        <s v="REGGIO NELL'EMILIA"/>
        <s v="ALTKIRCH"/>
        <s v="CARTAGENA"/>
        <s v="Grudziądz"/>
        <s v="CANIÇAL"/>
        <s v="Považská Bystrica"/>
        <s v="LOULÉ"/>
        <s v="Kirchdorf an der Krems"/>
        <s v="SINES"/>
        <s v="KÖPING"/>
        <s v="BRESCIA"/>
        <s v="ESTREES MONS"/>
        <s v="MONTICHIARI"/>
        <s v="Piechcin"/>
        <s v="CEUTA"/>
        <s v="MELILLA"/>
        <s v="MESSINA"/>
        <s v="VENTA DE BAÑOS"/>
        <s v="Samatzai"/>
        <s v="Vils"/>
        <s v="VILLIERS AU BOUIN"/>
        <s v="Arrigorriaga"/>
        <s v="Alessandria"/>
        <s v="Panevėžys"/>
        <s v="Levice"/>
        <s v="SULLY SUR LOIRE"/>
        <s v="Cabra"/>
        <s v="VILLARTA DE SAN JUAN"/>
        <s v="Morón de la Frontera"/>
        <s v="Radom"/>
        <s v="Palenciana"/>
        <s v="MELILLI"/>
        <s v="ST MARTIN"/>
        <s v="VAIRES SUR MARNE"/>
        <s v="Martin"/>
        <s v="CASTELNOU"/>
        <s v="SAN DONATO MILANESE"/>
        <s v="Donostia-San Sebastián"/>
        <s v="NEAU"/>
        <s v="SUSEGANA"/>
        <s v="Schwechat"/>
        <s v="CAMPO DE CRIPTANA"/>
        <s v="ASPROPYRGOS"/>
        <s v="Motril"/>
        <s v="PIERRELATTE"/>
        <s v="Bratislava - Ružinov"/>
        <s v="TRECATE"/>
        <s v="FERNO"/>
        <s v="ARANDA DE DUERO"/>
        <s v="Barnetby"/>
        <s v="RENNES"/>
        <s v="Pruszków"/>
        <s v="Budapest 03. ker."/>
        <s v="OINOFYTA"/>
        <s v="MONTESANO SULLA MARCELLANA"/>
        <s v="Muskiz"/>
        <s v="BIESHEIM"/>
        <s v="IMOLA"/>
        <s v="BUERAS"/>
        <s v="ROUSSILLON"/>
        <s v="NORTH AEGEAN, CHIOS"/>
        <s v="Alytus"/>
        <s v="Lubin"/>
        <s v="Daimiel"/>
        <s v="NARNI"/>
        <s v="Górażdże"/>
        <s v="Girona"/>
        <s v="Cagnano Amiterno"/>
        <s v="Marcellinara"/>
        <s v="ST EGREVE"/>
        <s v="Estepa"/>
        <s v="DUMBRIA"/>
        <s v="GONFREVILLE L ORCHER"/>
        <s v="DOLCE'"/>
        <s v="SINISCOLA"/>
        <s v="ELEFSIS"/>
        <s v="NOTRE DAME DE GRAVENCHON"/>
        <s v="Cornaux"/>
        <s v="SANNAZZARO DE' BURGONDI"/>
        <s v="Pula (Pola)"/>
        <s v="Wiesbaden, Stadt"/>
        <s v="Barry"/>
        <s v="Bernezzo"/>
        <s v="Karviná"/>
        <s v="Juodeikiai"/>
        <s v="Otrokovice"/>
        <s v="LECCO"/>
        <s v="Slavec"/>
        <s v="HAUT LIEU"/>
        <s v="CHATEAUNEUF LES MARTIGUES"/>
        <s v="Varín"/>
        <s v="Niederbipp"/>
        <s v="GRAO"/>
        <s v="SKELLEFTEHAMN"/>
        <s v="Aschaffenburg"/>
        <s v="GRELA (LA)"/>
        <s v="FEYZIN"/>
        <s v="Brzeg Dolny"/>
        <s v="Herning"/>
        <s v="Kostrena"/>
        <s v="DONGES"/>
        <s v="Přerov"/>
        <s v="LIVORNO"/>
        <s v="GRANDA (LA)"/>
        <s v="Virje"/>
        <s v="Elektrėnai"/>
        <s v="Cressier"/>
        <s v="ECHEDOROS"/>
        <s v="BUSALLA"/>
        <s v="Svappavaara"/>
        <s v="HÖGANÄS"/>
        <s v="Aberthaw"/>
        <s v="Villars-sur-Glâne"/>
        <s v="Steg"/>
        <s v="Donawitz"/>
        <s v="Estavayer-le-Lac"/>
        <s v="GELA"/>
        <s v="Ivanić-Grad"/>
        <s v="Aderklaa"/>
        <s v="LE LAMENTIN"/>
        <s v="Eyjafjarðarsveit"/>
        <s v="Lucens"/>
        <s v="Sierre"/>
        <s v="Le Mont-sur-Lausanne"/>
        <s v="Delémont"/>
        <s v="PONT A MOUSSON"/>
        <s v="Łaziska Górne"/>
        <s v="Pozzuolo Del Friuli"/>
        <s v="HAYANGE"/>
        <s v="Esch-sur-Alzette"/>
        <s v="OSOPPO"/>
        <s v="Châtelet"/>
        <s v="Genk"/>
        <s v="Castellbisbal"/>
        <s v="Fjarðabyggð"/>
        <s v="Seixal"/>
        <s v="Vávrovice"/>
        <s v="Rothrist"/>
        <s v="St. Gallen"/>
        <s v="Beveren"/>
        <s v="Feluy"/>
        <s v="Димитровград"/>
        <s v="SARRALBE"/>
        <s v="Wilhelmshaven"/>
        <s v="Kelheim"/>
        <s v="Pobla de Mafumet, La"/>
        <s v="Londonderry"/>
        <s v="Девня"/>
        <s v="Aalborg Øst"/>
        <s v="Parainen"/>
        <s v="Rüdersdorf bei Berlin"/>
        <s v="Lägerdorf"/>
        <s v="Burglengenfeld"/>
        <s v="Karlstadt"/>
        <s v="Triefenstein"/>
        <s v="Rohrdorf"/>
        <s v="Sehnde"/>
        <s v="Harburg (Schwaben)"/>
        <s v="Ennigerloh"/>
        <s v="Beckum"/>
        <s v="Hannover"/>
        <s v="Solnhofen"/>
        <s v="Paderborn"/>
        <s v="Großenlüder"/>
        <s v="Üxheim"/>
        <s v="Meath"/>
        <s v="Limerick"/>
        <s v="CHISTAG"/>
        <s v="MEDGIDIA"/>
        <s v="Hoghiz"/>
        <s v="FIENI"/>
        <s v="Tasca"/>
        <s v="CHISCADAGA"/>
        <s v="Dunbar"/>
        <s v="Cookstown"/>
        <s v="Randers SV"/>
        <s v="Chilches/Xilxes"/>
        <s v="Nules"/>
        <s v="RATILS"/>
        <s v="Schlatt-Paradies"/>
        <s v="Frick"/>
        <s v="Bergheim"/>
        <s v="Nowe Czarnowo"/>
        <s v="Nowiny"/>
        <s v="Moravská Ostrava a Přívoz"/>
        <s v="Duisburg"/>
        <s v="Dillingen/Saar"/>
        <s v="Bottrop"/>
        <s v="CAIRO MONTENOTTE"/>
        <s v="Zdzieszowice"/>
        <s v="Radlin"/>
        <s v="Pardubice VII"/>
        <s v="Frederiksværk"/>
        <s v="LAUDUN L ARDOISE"/>
        <s v="Stadtallendorf"/>
        <s v="Bochum"/>
        <s v="Zawiercie"/>
        <s v="Gerlafingen"/>
        <s v="Hedingen"/>
        <s v="Kutina"/>
        <s v="Lovosice"/>
        <s v="OTTMARSHEIM"/>
        <s v="KAVALA"/>
        <s v="Pétfürdő"/>
        <s v="Jonalaukio k."/>
        <s v="Sluiskil"/>
        <s v="Puławy"/>
        <s v="TARGU MURES"/>
        <s v="CHESTER"/>
        <s v="Porsgrunn"/>
        <s v="Разград"/>
        <s v="Nykøbing F"/>
        <s v="Nakskov"/>
        <s v="Fredericia"/>
        <s v="Faxe"/>
        <s v="Uelzen"/>
        <s v="Krefeld"/>
        <s v="Nordstemmen"/>
        <s v="Ochsenfurt"/>
        <s v="Obrigheim (Pfalz)"/>
        <s v="Jülich"/>
        <s v="Plattling"/>
        <s v="Girvan"/>
        <s v="Nyborg"/>
        <s v="Riihimäki"/>
        <s v="Baruth/Mark"/>
        <s v="Lützen"/>
        <s v="Papenburg"/>
        <s v="Beeskow"/>
        <s v="Horn-Bad Meinberg"/>
        <s v="Liebenscheid"/>
        <s v="Baar-Ebenhausen"/>
        <s v="Emlichheim"/>
        <s v="Emden"/>
        <s v="Kehl"/>
        <s v="Landesbergen"/>
        <s v="Böblingen"/>
        <s v="Bergkamen"/>
        <s v="Biebesheim am Rhein"/>
        <s v="Elsterwerda"/>
        <s v="Hoppstädten-Weiersbach"/>
        <s v="Emmen"/>
        <s v="Moerdijk"/>
        <s v="Southampton"/>
        <s v="GRANDPUITS BAILLY CARROIS"/>
        <s v="CHALAMPE"/>
        <s v="Büttel"/>
        <s v="Stade"/>
        <s v="Leuna"/>
        <s v="Brunsbüttel"/>
        <s v="ARTEIXO"/>
        <s v="Valašské Meziříčí"/>
        <s v="Frederikssund"/>
        <s v="Großenkneten"/>
        <s v="Dortmund"/>
        <s v="Köln"/>
        <s v="Bad Hönningen"/>
        <s v="Staßfurt"/>
        <s v="Worms"/>
        <s v="Nordenham"/>
        <s v="Botlek Rotterdam"/>
        <s v="Billingham"/>
        <s v="SEASCALE"/>
        <s v="MIDDLESBROUGH"/>
        <s v="HARTLEPOOL"/>
        <s v="Stallingborough"/>
        <s v="Kjørsvikbugen"/>
        <s v="Järve linnaosa, Kohtla-Järve linn"/>
        <s v="IN MARE"/>
        <s v="Ruswil"/>
        <s v="Milford Haven"/>
        <s v="Hobro"/>
        <s v="ST ELOY LES MINES"/>
        <s v="Neuburg a.d.Donau"/>
        <s v="Roermond"/>
        <s v="Małkinia Górna"/>
        <s v="Moncofa"/>
        <s v="Moustier-Sur-Sambre"/>
        <s v="Търговище"/>
        <s v="Пловдив"/>
        <s v="Hum na Sutli"/>
        <s v="Teplice"/>
        <s v="ARQUES"/>
        <s v="SEINGBOUSE"/>
        <s v="CHALON SUR SAONE"/>
        <s v="HOMBOURG"/>
        <s v="BOUSSOIS"/>
        <s v="Gladbeck"/>
        <s v="Weiherhammer"/>
        <s v="Sülzetal"/>
        <s v="Haldensleben"/>
        <s v="Mitterteich"/>
        <s v="Torgau"/>
        <s v="Bitterfeld-Wolfen"/>
        <s v="Steinbach a.Wald"/>
        <s v="Orosháza"/>
        <s v="SAN GIORGIO DI NOGARO"/>
        <s v="Monte Sant'angelo"/>
        <s v="PISA"/>
        <s v="SAN SALVO"/>
        <s v="Bascharage"/>
        <s v="Leerdam"/>
        <s v="Ujazd"/>
        <s v="Jarosław"/>
        <s v="Marinha Grande"/>
        <s v="Calarasi"/>
        <s v="CAUDETE"/>
        <s v="AVILES"/>
        <s v="VILLAFRANCA DE LOS BARROS"/>
        <s v="TUDELA"/>
        <s v="AZUQUECA DE HENARES"/>
        <s v="Sagunto/Sagunt"/>
        <s v="Elton"/>
        <s v="Barnsley"/>
        <s v="Alloa"/>
        <s v="Goole"/>
        <s v="St Helens"/>
        <s v="Doncaster"/>
        <s v="BODIO"/>
        <s v="Odense C"/>
        <s v="Slagelse"/>
        <s v="Sindelfingen"/>
        <s v="Rüsselsheim"/>
        <s v="Dingolfing"/>
        <s v="MATHI"/>
        <s v="MEM MARTINS"/>
        <s v="Legorreta"/>
        <s v="Carlisle"/>
        <s v="Glinojeck"/>
        <s v="Świnoujście"/>
        <s v="Siedlce"/>
        <s v="BISKUPICE PODGÓRNE"/>
        <s v="Въглен"/>
        <s v="Гоце Делчев"/>
        <s v="Разлог"/>
        <s v="Петрич"/>
        <s v="Сандански"/>
        <s v="Hesselager"/>
        <s v="Broager"/>
        <s v="Horsens"/>
        <s v="Middelfart"/>
        <s v="CLAYE SOUILLY"/>
        <s v="ANO LIOSIA"/>
        <s v="OSTROŁĘKA"/>
        <s v="Świecie"/>
        <s v="Trzebinia"/>
        <s v="Miasteczko Śląskie"/>
        <s v="Gorzów Wielkopolski"/>
        <s v="Elbląg"/>
        <s v="Zgierz"/>
        <s v="ALCARIA FND"/>
        <s v="Baar"/>
        <s v="BEDFORD"/>
        <s v="Warrington"/>
        <s v="CANNOCK"/>
        <s v="Menden"/>
        <s v="Valea Mare Pravat"/>
        <s v="Verdal"/>
        <s v="Frechen"/>
        <s v="KIRUNA"/>
        <s v="PORT TALBOT"/>
        <s v="Бургас"/>
        <s v="Kralupy nad Vltavou"/>
        <s v="Pardubice VI"/>
        <s v="Kalundborg"/>
        <s v="Schwedt/Oder"/>
        <s v="Gelsenkirchen"/>
        <s v="Wesseling"/>
        <s v="Spergau"/>
        <s v="Lingen"/>
        <s v="Neustadt a.d.Donau"/>
        <s v="Hemmingstedt"/>
        <s v="Burghausen"/>
        <s v="Kösching"/>
        <s v="Amsdorf"/>
        <s v="Vohburg a.d.Donau"/>
        <s v="Cork"/>
        <s v="Vondelingenplaat Rotterdam"/>
        <s v="Europoort Rotterdam"/>
        <s v="Nieuwdorp"/>
        <s v="comuna BRAZI"/>
        <s v="NAVODARI"/>
        <s v="Ploiesti"/>
        <s v="LYSEKIL"/>
        <s v="NYNÄSHAMN"/>
        <s v="Pembroke"/>
        <s v="South Wirral"/>
        <s v="Grangemouth"/>
        <s v="BARROW-IN-FURNESS"/>
        <s v="Peterhead"/>
        <s v="Easington"/>
        <s v="Stromness, Orkney"/>
        <s v="Central"/>
        <s v="Mongstad"/>
        <s v="Tysværvåg"/>
        <s v="Ukjent Kode Benyttet (9601)"/>
        <s v="Tolvsrød"/>
        <s v="Neuss"/>
        <s v="SLATINA"/>
        <s v="Kidričevo"/>
        <s v="VARGÖN"/>
        <s v="Sunndalsøra"/>
        <s v="Håvik"/>
        <s v="Sauda"/>
        <s v="Øvre Årdal"/>
        <s v="Øyestranda"/>
        <s v="Farsund"/>
        <s v="Husnes"/>
        <s v="Høyanger"/>
        <s v="Køge"/>
        <s v="Kassel, Stadt"/>
        <s v="CREMONA"/>
        <s v="PARMA"/>
        <s v="Duiven"/>
        <s v="Farmsum"/>
        <s v="VILLACAÑAS"/>
        <s v="MAIDSTONE"/>
        <s v="POLYGYROS"/>
        <s v="Karsy"/>
        <s v="BIELAWY"/>
        <s v="Małogoszcz"/>
        <s v="Tarnów Opolski"/>
        <s v="Mariánské Hory a Hulváky"/>
        <s v="TAVAUX"/>
        <s v="ST CLAIR DU RHONE"/>
        <s v="BASSENS"/>
        <s v="MARSEILLE 11"/>
        <s v="Schkopau"/>
        <s v="Muttenz"/>
        <s v="Wanze"/>
        <s v="Sokolov"/>
        <s v="VIELLE ST GIRONS"/>
        <s v="Ludwigshafen am Rhein"/>
        <s v="Schwarzheide"/>
        <s v="Dunaföldvár"/>
        <s v="BABILAFUENTE"/>
        <s v="CURTIS"/>
        <s v="MUGARDOS"/>
        <s v="Geel"/>
        <s v="Litvínov"/>
        <s v="HARFLEUR"/>
        <s v="Böhlen"/>
        <s v="STENUNGSUND"/>
        <s v="Visp"/>
        <s v="Cowdenbeath"/>
        <s v="STATHELLE"/>
        <s v="Lenzing"/>
        <s v="Marl"/>
        <s v="Münchsmünster"/>
        <s v="Oberhausen"/>
        <s v="Leverkusen"/>
        <s v="Moers"/>
        <s v="SCANZOROSCIATE"/>
        <s v="Hoek"/>
        <s v="Geleen"/>
        <s v="Bergen Op Zoom"/>
        <s v="Oświęcim"/>
        <s v="Żary"/>
        <s v="Głębinów"/>
        <s v="Rąbczyn"/>
        <s v="Wilton"/>
        <s v="HULL"/>
        <s v="Wulzeshofen"/>
        <s v="CASSANO SPINOLA"/>
        <s v="Alba"/>
        <s v="CASTELMASSA"/>
        <s v="SALUZZO"/>
        <s v="Sas Van Gent"/>
        <s v="Groningen"/>
        <s v="Dinteloord"/>
        <s v="King's Lynn"/>
        <s v="BURY ST. EDMUNDS"/>
        <s v="MANCHESTER"/>
        <s v="NEWARK"/>
        <s v="Hvidovre"/>
        <s v="Them"/>
        <s v="Стамболийски"/>
        <s v="Tønder"/>
        <s v="Skjern"/>
        <s v="Brilon"/>
        <s v="Neumarkt i.d.OPf."/>
        <s v="Schongau"/>
        <s v="Alfeld"/>
        <s v="Varel"/>
        <s v="Mayen"/>
        <s v="Dörpen"/>
        <s v="Gütersloh"/>
        <s v="Oberkirch"/>
        <s v="Arnsberg"/>
        <s v="Kühbach"/>
        <s v="Eilenburg"/>
        <s v="Renkum"/>
        <s v="Eerbeek"/>
        <s v="Velsen-Noord"/>
        <s v="Irvine"/>
        <s v="Cowie"/>
        <s v="Greater Manchester"/>
        <s v="Ballerup"/>
        <s v="København S"/>
        <s v="Nykøbing Sj"/>
        <s v="Esbjerg Ø"/>
        <s v="Ingelheim am Rhein"/>
        <s v="Sisseln"/>
        <s v="Evionnaz"/>
        <s v="Meyrin / Genève"/>
        <s v="Barbengo/Lugano"/>
        <s v="Перник"/>
        <s v="Třinec"/>
        <s v="Slezská Ostrava"/>
        <s v="Raahe"/>
        <s v="Salzgitter"/>
        <s v="Eisenhüttenstadt"/>
        <s v="Georgsmarienhütte"/>
        <s v="Brandenburg an der Havel"/>
        <s v="Meitingen"/>
        <s v="Peine"/>
        <s v="Galati"/>
        <s v="OXELÖSUND"/>
        <s v="LULEÅ"/>
        <s v="AVESTA"/>
        <s v="Tyssedal"/>
        <s v="Свищов"/>
        <s v="Arneburg"/>
        <s v="NYMÖLLA"/>
        <s v="Saddlebow"/>
        <s v="Ковачево"/>
        <s v="Медникарово"/>
        <s v="Гълъбово"/>
        <s v="Големо село"/>
        <s v="София"/>
        <s v="Русе"/>
        <s v="Výškov"/>
        <s v="Kadaň"/>
        <s v="Vřesová"/>
        <s v="Horní Počaply"/>
        <s v="Bílina"/>
        <s v="Chvaletice"/>
        <s v="Opatovice nad Labem"/>
        <s v="Třebovice"/>
        <s v="Trmice"/>
        <s v="Březová"/>
        <s v="Plzeň 4"/>
        <s v="Dětmarovice"/>
        <s v="Plzeň 3"/>
        <s v="České Budějovice"/>
        <s v="Brno-Královo Pole"/>
        <s v="Planá nad Lužnicí"/>
        <s v="Brno-střed"/>
        <s v="Esbjerg"/>
        <s v="Vodskov"/>
        <s v="Skødstrup"/>
        <s v="Silkeborg"/>
        <s v="Viborg"/>
        <s v="Jægerspris"/>
        <s v="Hillerød"/>
        <s v="Rønne"/>
        <s v="København SV"/>
        <s v="København Ø"/>
        <s v="Kongens Lyngby"/>
        <s v="Nørresundby"/>
        <s v="Aalborg"/>
        <s v="Randers NØ"/>
        <s v="Maardu linn"/>
        <s v="Jyväskylä"/>
        <s v="Grevenbroich"/>
        <s v="Boxberg/O.L."/>
        <s v="Teichland"/>
        <s v="Neukieritzsch"/>
        <s v="Spremberg"/>
        <s v="Mannheim"/>
        <s v="Datteln"/>
        <s v="Großkrotzenburg"/>
        <s v="Heilbronn"/>
        <s v="Wolfsburg"/>
        <s v="Unterföhring"/>
        <s v="Rostock"/>
        <s v="Herne"/>
        <s v="Berlin"/>
        <s v="Altbach"/>
        <s v="Zolling"/>
        <s v="Petershagen"/>
        <s v="Wedel"/>
        <s v="Chemnitz"/>
        <s v="Völklingen"/>
        <s v="Hohenhameln"/>
        <s v="Dormagen"/>
        <s v="Düsseldorf"/>
        <s v="Bexbach"/>
        <s v="Dresden"/>
        <s v="Flensburg"/>
        <s v="Braunschweig"/>
        <s v="Hamm"/>
        <s v="München"/>
        <s v="Nürnberg"/>
        <s v="Herdecke"/>
        <s v="Hohenmölsen"/>
        <s v="Quierschied"/>
        <s v="Glückstadt"/>
        <s v="Erfurt"/>
        <s v="Bernburg"/>
        <s v="Schweinfurt"/>
        <s v="Erlenbach a.Main"/>
        <s v="Baunatal"/>
        <s v="Pforzheim"/>
        <s v="Offenbach a. M., St."/>
        <s v="Halle (Saale)"/>
        <s v="Leipzig"/>
        <s v="Münster"/>
        <s v="Burgkirchen a.d.Alz"/>
        <s v="Freiburg im Breisgau"/>
        <s v="Jena"/>
        <s v="Eberswalde"/>
        <s v="Frankfurt (Oder)"/>
        <s v="Wachau"/>
        <s v="Osnabrück"/>
        <s v="Würzburg"/>
        <s v="Walheim"/>
        <s v="Könnern"/>
        <s v="Lutherstadt Wittenberg"/>
        <s v="Sonnenstein"/>
        <s v="Bonn"/>
        <s v="Moritzburg"/>
        <s v="Wörth am Rhein"/>
        <s v="Neubrandenburg"/>
        <s v="Aalen"/>
        <s v="Werne"/>
        <s v="Rudolstadt"/>
        <s v="Erlangen"/>
        <s v="Bielefeld"/>
        <s v="Raubling"/>
        <s v="Grenzach-Wyhlen"/>
        <s v="Kaiserslautern"/>
        <s v="Sandersdorf-Brehna"/>
        <s v="Clare"/>
        <s v="Dublin"/>
        <s v="Galway"/>
        <s v="Wexford"/>
        <s v="Offaly"/>
        <s v="Kerry"/>
        <s v="Eemshaven"/>
        <s v="Maasvlakte Rotterdam"/>
        <s v="Geertruidenberg"/>
        <s v="Lelystad"/>
        <s v="Pernis Rotterdam"/>
        <s v="Ritthem"/>
        <s v="Diemen"/>
        <s v="Maasbracht"/>
        <s v="Hengelo"/>
        <s v="Amsterdam"/>
        <s v="Utrecht"/>
        <s v="Weurt"/>
        <s v="Nieuwegein"/>
        <s v="Katwijk Nb"/>
        <s v="S-Gravenhage"/>
        <s v="Rotterdam"/>
        <s v="Rovinari"/>
        <s v="Turceni"/>
        <s v="sat Negoiesti, Comuna Brazi"/>
        <s v="ISALNITA"/>
        <s v="Craiova"/>
        <s v="RAMNICU VALCEA"/>
        <s v="BUCURESTI"/>
        <s v="Iernut"/>
        <s v="VULCAN"/>
        <s v="Oradea"/>
        <s v="Holboca"/>
        <s v="Timisoara"/>
        <s v="BRAZI"/>
        <s v="Constanta"/>
        <s v="Šoštanj"/>
        <s v="VÄXJÖ"/>
        <s v="Östersund"/>
        <s v="HANINGE"/>
        <s v="MÖLNDAL"/>
        <s v="KARLSHAMN"/>
        <s v="Scunthorpe"/>
        <s v="Dyfed"/>
        <s v="Staythorpe"/>
        <s v="GRIMSBY"/>
        <s v="Saltend"/>
        <s v="ROCHESTER"/>
        <s v="DIDCOT"/>
        <s v="Retford"/>
        <s v="Ashington"/>
        <s v="South Killingholme"/>
        <s v="South"/>
        <s v="SPALDING"/>
        <s v="Cottam"/>
        <s v="Rocksavage"/>
        <s v="North Killingholme"/>
        <s v="Larne"/>
        <s v="BRISTOL"/>
        <s v="ST. NEOTS"/>
        <s v="Carrickfergus"/>
        <s v="STANFORD-LE-HOPE"/>
        <s v="Connah'S Quay"/>
        <s v="GREAT YARMOUTH"/>
        <s v="Keadby"/>
        <s v="Sutton"/>
        <s v="PLYMOUTH"/>
        <s v="NOTTINGHAM"/>
        <s v="Newport"/>
        <s v="ENFIELD"/>
        <s v="--"/>
        <s v="THETFORD"/>
        <s v="SITTINGBOURNE"/>
        <s v="Northwhich"/>
        <s v="Neath"/>
        <s v="BRIGG"/>
        <s v="Sheffield"/>
        <s v="Rye"/>
        <s v="ELY"/>
        <s v="Sleaford"/>
        <s v="Shetland"/>
        <s v="Mossbank"/>
        <s v="BOOTLE"/>
        <s v="WIDNES"/>
        <s v="Philippsthal (Werra)"/>
        <s v="Zielitz"/>
        <s v="Heringen (Werra)"/>
        <s v="Unterbreizbach"/>
        <s v="Algyő"/>
        <s v="VIGGIANO"/>
        <s v="Corleto Perticara"/>
        <s v="Stavanger"/>
        <s v="Tananger"/>
        <s v="Lysaker"/>
        <s v="Kristiansund N"/>
        <s v="Sandnes"/>
        <s v="Herrenschwanden"/>
        <s v="Barking"/>
        <s v="Tmaň"/>
        <s v="Hrabová"/>
        <s v="Štramberk"/>
        <s v="Wülfrath"/>
        <s v="Karsdorf"/>
        <s v="Allmendingen"/>
        <s v="Schelklingen"/>
        <s v="Heidenheim an der Brenz"/>
        <s v="Walzbachtal"/>
        <s v="Dotternhausen"/>
        <s v="Oberharz am Brocken"/>
        <s v="Seesen"/>
        <s v="Saal a.d.Donau"/>
        <s v="Runkel, St."/>
        <s v="Hahnstätten"/>
        <s v="Efringen-Kirchen"/>
        <s v="Regensburg"/>
        <s v="Leimen"/>
        <s v="Lienen"/>
        <s v="Blaustein"/>
        <s v="Warstein"/>
        <s v="LÄRBRO"/>
        <s v="Rugby"/>
        <s v="Hope Valley"/>
        <s v="WORKSOP"/>
        <s v="South Ferriby"/>
        <s v="Penrith"/>
        <s v="Sterndale Moor"/>
        <s v="Buxton"/>
        <s v="Kolding"/>
        <s v="Glostrup"/>
        <s v="Hjørring"/>
        <s v="Sønderborg"/>
        <s v="Svendborg"/>
        <s v="København K"/>
        <s v="Herten"/>
        <s v="Magdeburg"/>
        <s v="Schwandorf"/>
        <s v="Büddenstedt"/>
        <s v="Stuttgart"/>
        <s v="Laar"/>
        <s v="Neumünster"/>
        <s v="Witzenhausen"/>
        <s v="Stapelfeld"/>
        <s v="Augsburg"/>
        <s v="Ingolstadt"/>
        <s v="Großräschen"/>
        <s v="Weener"/>
        <s v="Darmstadt, Stadt"/>
        <s v="Pirmasens"/>
        <s v="Göppingen"/>
        <s v="Premnitz"/>
        <s v="Malchin"/>
        <s v="Altenstadt"/>
        <s v="Bamberg"/>
        <s v="Iserlohn"/>
        <s v="Alkmaar"/>
        <s v="Wijster"/>
        <s v="Roosendaal"/>
        <s v="Dordrecht"/>
        <s v="Harlingen"/>
        <s v="Templeborough"/>
        <s v="Knottingley"/>
        <s v="BELVEDERE"/>
        <s v="BOLTON"/>
        <s v="Glenrothes"/>
        <s v="Nethercleugh, Lockerbie"/>
        <s v="IPSWICH"/>
        <s v="SLOUGH"/>
        <s v="East Barns, Dunbar, East Lothian"/>
        <s v="COVENTRY"/>
        <s v="AYLESBURY"/>
        <s v="St. Austell"/>
        <s v="Sideway"/>
        <s v="Devonport"/>
        <s v="NEWHAVEN"/>
        <s v="Lincoln"/>
        <s v="Copnor"/>
        <s v="Leeds"/>
        <s v="Eye"/>
        <s v="RUSHDEN"/>
        <s v="Huddersfield"/>
        <s v="Millerhill, Dalkeith"/>
        <s v="KIDDERMINSTER"/>
        <s v="Essex"/>
        <s v="DUDLEY"/>
        <s v="Dundee"/>
      </sharedItems>
    </cacheField>
    <cacheField name="pollutant" numFmtId="0">
      <sharedItems containsBlank="1">
        <m/>
        <s v="Carbon dioxide (CO2)"/>
        <s v="Carbon dioxide (CO2) excluding biomass"/>
      </sharedItems>
    </cacheField>
    <cacheField name="reportingYear" numFmtId="0">
      <sharedItems containsString="0" containsBlank="1" containsNumber="1" containsInteger="1">
        <m/>
        <n v="2019.0"/>
        <n v="2022.0"/>
        <n v="2020.0"/>
        <n v="2017.0"/>
        <n v="2021.0"/>
        <n v="2018.0"/>
      </sharedItems>
    </cacheField>
    <cacheField name="Sector" numFmtId="0">
      <sharedItems containsBlank="1">
        <m/>
        <s v="Power generation"/>
        <s v="Waste management"/>
        <s v="Paper, pulp and primary wood products"/>
        <s v="Iron, steel, and other metals"/>
        <s v="Chemicals"/>
        <s v="Food and drinks"/>
        <s v="Cement &amp; lime"/>
        <s v="Refining"/>
        <s v="Other"/>
        <s v="Fuel manufacture"/>
        <s v="Glass"/>
        <s v="Agriculture"/>
        <s v="Mining"/>
      </sharedItems>
    </cacheField>
    <cacheField name="Subsector" numFmtId="0">
      <sharedItems containsBlank="1">
        <m/>
        <s v="Thermal power generation"/>
        <s v="Waste inceneration"/>
        <s v="Pulp"/>
        <s v="Paper, board, and primary wood products"/>
        <s v="Hazardous waste"/>
        <s v="Metal ore processing"/>
        <s v="Inorganic - other"/>
        <s v="Food &amp; drink from vegetables"/>
        <s v="Non-ferrous metals"/>
        <s v="Various"/>
        <s v="Cement"/>
        <s v="Lime"/>
        <s v="Food &amp; drink from animals (not milk)"/>
        <s v="Mineral oil and gas refineries"/>
        <s v="Animal waste"/>
        <s v="Industiral waste water"/>
        <s v="Chemical installations for the production on an industrial scale of basic plant health products and of biocides"/>
        <s v="Pig iron or steel production"/>
        <s v="Milk products"/>
        <s v="Surface-active agents and surfactants"/>
        <s v="Basic plastic materials"/>
        <s v="Ceramics"/>
        <s v="Coal rolling mills with a capacity of 1 tonne per hour"/>
        <s v="Coke ovens"/>
        <s v="Dyes and pigments"/>
        <s v="Ferrous metals"/>
        <s v="Fertilisers"/>
        <s v="Inorganic - ammonia &amp; other gases"/>
        <s v="Installations for gasification and liquefaction"/>
        <s v="Installations for melting mineral substances, including the production of mineral fibres"/>
        <s v="Installations for the manufacture of glass, including glass fibre"/>
        <s v="Installations for the production of carbon (hard-burnt coal) or electro-graphite by means of incineration or graphitisation"/>
        <s v="Installations for the surface treatment of substances, objects or products using organic solvents, in particular for dressing, printing, coating, degreasing, waterproofing, sizing, painting, cleaning or impregnating"/>
        <s v="Intensive aquaculture"/>
        <s v="Landfills"/>
        <s v="Manufacture of coal products"/>
        <s v="Non-hazardous waste"/>
        <s v="Opencast mining and quarrying"/>
        <s v="Organic - Other"/>
        <s v="Organic - Oxygen-containing hydrocarbons"/>
        <s v="Organic - simple hydrocarbons"/>
        <s v="Other"/>
        <s v="Pharmaceuticals"/>
        <s v="Underground mining"/>
        <s v="Urban waste water"/>
      </sharedItems>
    </cacheField>
    <cacheField name="Industry" numFmtId="0">
      <sharedItems containsBlank="1">
        <m/>
        <b v="0"/>
        <b v="1"/>
      </sharedItems>
    </cacheField>
    <cacheField name="Total Emissions (MtCO2/year)" numFmtId="0">
      <sharedItems containsSemiMixedTypes="0" containsString="0" containsNumber="1">
        <n v="0.3501162524"/>
        <n v="0.2821242968"/>
        <n v="0.24337585709999998"/>
        <n v="0.21633409520000002"/>
        <n v="0.20312949370000002"/>
        <n v="0.16225057140000002"/>
        <n v="0.1256299494"/>
        <n v="0.11284971869999999"/>
        <n v="0.09589008771"/>
        <n v="0.08463728905000001"/>
        <n v="0.07842110952"/>
        <n v="0.05642485937"/>
        <n v="0.05078237343"/>
        <n v="0.04597099523"/>
        <n v="0.0451398875"/>
        <n v="0.04062589875"/>
        <n v="0.03103367265"/>
        <n v="0.028212429679999998"/>
        <n v="0.02368858343"/>
        <n v="0.02256994375"/>
        <n v="0.01692745781"/>
        <n v="0.016225057140000002"/>
        <n v="0.011849220470000001"/>
        <n v="0.008463728905"/>
        <n v="0.005642485937"/>
        <n v="0.00540835238"/>
        <n v="0.002821242968"/>
        <n v="0.00270417619"/>
        <n v="0.002539118672"/>
        <n v="0.002426268953"/>
        <n v="0.0022569943750000003"/>
        <n v="0.001081670476"/>
        <n v="8.23802947E-4"/>
        <n v="5.40835238E-4"/>
        <n v="4.59709952E-4"/>
        <n v="2.70417619E-4"/>
        <n v="2.05950737E-4"/>
        <n v="2.821243E-5"/>
        <n v="7.896194000000001E-6"/>
        <n v="6.206734999999999E-6"/>
        <n v="0.1229029402"/>
        <n v="0.11522150639999999"/>
        <n v="0.0"/>
        <n v="0.09985863888"/>
        <n v="0.9597224736"/>
        <n v="0.06145147008"/>
        <n v="0.22276157900000002"/>
        <n v="1.616997888"/>
        <n v="1.749743424"/>
        <n v="0.01536286752"/>
        <n v="1.411485134"/>
        <n v="0.0384071688"/>
        <n v="0.02304430128"/>
        <n v="0.482879232"/>
        <n v="0.14430873600000002"/>
        <n v="0.0780516"/>
        <n v="0.4596718896"/>
        <n v="0.0808498944"/>
        <n v="1.389781008"/>
        <n v="13.0"/>
        <n v="6.050999808"/>
        <n v="3.1"/>
        <n v="35.1"/>
        <n v="2.36"/>
        <n v="1.99"/>
        <n v="1.84"/>
        <n v="1.82"/>
        <n v="1.861933465"/>
        <n v="1.52"/>
        <n v="1.45"/>
        <n v="1.49"/>
        <n v="1.47"/>
        <n v="1.37"/>
        <n v="1.34"/>
        <n v="1.28"/>
        <n v="1.2"/>
        <n v="1.19"/>
        <n v="1.14"/>
        <n v="15.5"/>
        <n v="1.13"/>
        <n v="1.07"/>
        <n v="1.04"/>
        <n v="1.05"/>
        <n v="1.06"/>
        <n v="0.988"/>
        <n v="11.2"/>
        <n v="0.821"/>
        <n v="0.798"/>
        <n v="0.941"/>
        <n v="0.832"/>
        <n v="0.794"/>
        <n v="0.736"/>
        <n v="0.725"/>
        <n v="9.11"/>
        <n v="0.654"/>
        <n v="1.01"/>
        <n v="0.668"/>
        <n v="0.635"/>
        <n v="0.561"/>
        <n v="0.584"/>
        <n v="0.631"/>
        <n v="7.35272668"/>
        <n v="0.537"/>
        <n v="7.09"/>
        <n v="0.521"/>
        <n v="0.527"/>
        <n v="0.99"/>
        <n v="0.795"/>
        <n v="0.489"/>
        <n v="0.515"/>
        <n v="0.47224608"/>
        <n v="0.433"/>
        <n v="0.457"/>
        <n v="5.87"/>
        <n v="0.406"/>
        <n v="5.379086"/>
        <n v="0.895"/>
        <n v="4.96"/>
        <n v="0.695100772"/>
        <n v="0.381"/>
        <n v="0.611"/>
        <n v="0.641075236"/>
        <n v="0.418"/>
        <n v="0.599"/>
        <n v="0.544"/>
        <n v="0.579"/>
        <n v="0.38"/>
        <n v="0.646"/>
        <n v="0.312"/>
        <n v="0.586"/>
        <n v="0.505"/>
        <n v="0.41"/>
        <n v="0.311"/>
        <n v="3.988101"/>
        <n v="3.955000064"/>
        <n v="3.57"/>
        <n v="0.424"/>
        <n v="0.356"/>
        <n v="0.286"/>
        <n v="0.504"/>
        <n v="0.496"/>
        <n v="3.745729"/>
        <n v="0.49"/>
        <n v="0.619"/>
        <n v="3.68"/>
        <n v="0.482"/>
        <n v="0.604"/>
        <n v="3.6"/>
        <n v="0.26"/>
        <n v="0.265"/>
        <n v="0.466"/>
        <n v="0.253"/>
        <n v="0.287"/>
        <n v="0.246"/>
        <n v="0.47"/>
        <n v="0.243"/>
        <n v="1.15"/>
        <n v="1.27"/>
        <n v="0.303"/>
        <n v="0.339"/>
        <n v="3.21"/>
        <n v="0.42"/>
        <n v="0.272"/>
        <n v="3.17"/>
        <n v="0.417"/>
        <n v="0.254"/>
        <n v="0.227"/>
        <n v="0.455"/>
        <n v="0.364"/>
        <n v="0.371"/>
        <n v="0.498"/>
        <n v="0.389136819"/>
        <n v="0.461"/>
        <n v="2.943816"/>
        <n v="2.94"/>
        <n v="0.278"/>
        <n v="0.326"/>
        <n v="2.872828242"/>
        <n v="0.361"/>
        <n v="0.366"/>
        <n v="0.332"/>
        <n v="0.522"/>
        <n v="0.2"/>
        <n v="0.21"/>
        <n v="0.385"/>
        <n v="0.211"/>
        <n v="0.242"/>
        <n v="0.358"/>
        <n v="0.355931782"/>
        <n v="0.289"/>
        <n v="0.203"/>
        <n v="0.777"/>
        <n v="0.195824255"/>
        <n v="2.56"/>
        <n v="2.551047"/>
        <n v="0.334"/>
        <n v="0.182"/>
        <n v="0.186"/>
        <n v="0.194"/>
        <n v="0.183"/>
        <n v="0.197"/>
        <n v="0.18"/>
        <n v="0.178"/>
        <n v="2.428705"/>
        <n v="0.239"/>
        <n v="0.329"/>
        <n v="0.429"/>
        <n v="0.33"/>
        <n v="0.298"/>
        <n v="0.234"/>
        <n v="0.17"/>
        <n v="2.24"/>
        <n v="0.291"/>
        <n v="2.18"/>
        <n v="0.163"/>
        <n v="0.252"/>
        <n v="0.285"/>
        <n v="0.535827"/>
        <n v="0.308"/>
        <n v="0.164"/>
        <n v="0.354"/>
        <n v="0.262"/>
        <n v="0.398"/>
        <n v="0.476"/>
        <n v="0.304"/>
        <n v="0.273"/>
        <n v="1.51"/>
        <n v="0.174"/>
        <n v="0.198"/>
        <n v="0.266"/>
        <n v="0.15"/>
        <n v="0.293"/>
        <n v="0.184"/>
        <n v="0.362"/>
        <n v="0.263"/>
        <n v="0.216"/>
        <n v="0.260453"/>
        <n v="0.148"/>
        <n v="0.257"/>
        <n v="0.141"/>
        <n v="0.146"/>
        <n v="0.149"/>
        <n v="1.915412"/>
        <n v="0.251"/>
        <n v="0.602954"/>
        <n v="0.404"/>
        <n v="1.86"/>
        <n v="2.95"/>
        <n v="1.851000064"/>
        <n v="0.135"/>
        <n v="0.31"/>
        <n v="1.838448879"/>
        <n v="0.139"/>
        <n v="0.14"/>
        <n v="0.269"/>
        <n v="1.793923"/>
        <n v="1.79"/>
        <n v="1.774"/>
        <n v="0.297"/>
        <n v="1.77"/>
        <n v="1.72"/>
        <n v="1.719017866"/>
        <n v="0.229"/>
        <n v="0.225"/>
        <n v="0.223"/>
        <n v="0.214"/>
        <n v="0.12876154"/>
        <n v="0.22"/>
        <n v="1.663817"/>
        <n v="1.66"/>
        <n v="1.31"/>
        <n v="0.218"/>
        <n v="0.175"/>
        <n v="0.119"/>
        <n v="1.61"/>
        <n v="1.6"/>
        <n v="1.592999936"/>
        <n v="1.59"/>
        <n v="0.209"/>
        <n v="0.208570579"/>
        <n v="1.57671573"/>
        <n v="1.572811891"/>
        <n v="0.207"/>
        <n v="0.24"/>
        <n v="0.202"/>
        <n v="1.55"/>
        <n v="1.54"/>
        <n v="1.536227"/>
        <n v="1.53"/>
        <n v="0.2005487"/>
        <n v="0.274830922"/>
        <n v="0.1968092"/>
        <n v="0.195371"/>
        <n v="0.195232683"/>
        <n v="0.193"/>
        <n v="0.191"/>
        <n v="1.446"/>
        <n v="1.44"/>
        <n v="0.189"/>
        <n v="0.188"/>
        <n v="1.41"/>
        <n v="1.392859"/>
        <n v="1.389885"/>
        <n v="0.101"/>
        <n v="0.105"/>
        <n v="0.614"/>
        <n v="1.36"/>
        <n v="0.116"/>
        <n v="0.216672"/>
        <n v="1.327576215"/>
        <n v="0.114"/>
        <n v="0.102"/>
        <n v="0.639442"/>
        <n v="0.878"/>
        <n v="0.219"/>
        <n v="0.172"/>
        <n v="1.3"/>
        <n v="0.156"/>
        <n v="0.168"/>
        <n v="0.177"/>
        <n v="1.25"/>
        <n v="0.208"/>
        <n v="1.23"/>
        <n v="0.16"/>
        <n v="1.299"/>
        <n v="0.158"/>
        <n v="0.157"/>
        <n v="1.188"/>
        <n v="0.143"/>
        <n v="1.18"/>
        <n v="0.561936"/>
        <n v="0.166"/>
        <n v="0.151232"/>
        <n v="0.331"/>
        <n v="1.143418"/>
        <n v="1.138840737"/>
        <n v="1.137974"/>
        <n v="0.165"/>
        <n v="1.122827935"/>
        <n v="0.14671817"/>
        <n v="1.103"/>
        <n v="1.1"/>
        <n v="0.145019167"/>
        <n v="1.092716"/>
        <n v="0.144"/>
        <n v="1.084653313"/>
        <n v="1.076"/>
        <n v="1.07074226"/>
        <n v="0.589"/>
        <n v="0.642564"/>
        <n v="0.139273501"/>
        <n v="0.129"/>
        <n v="0.137"/>
        <n v="1.65"/>
        <n v="1.024162036"/>
        <n v="0.319"/>
        <n v="1.02"/>
        <n v="0.07489106"/>
        <n v="0.134"/>
        <n v="0.133582619"/>
        <n v="0.133554"/>
        <n v="0.799524278"/>
        <n v="0.121"/>
        <n v="0.996"/>
        <n v="0.13055845"/>
        <n v="0.13"/>
        <n v="0.113"/>
        <n v="0.118"/>
        <n v="0.128"/>
        <n v="0.127927093"/>
        <n v="1.11"/>
        <n v="0.127"/>
        <n v="0.765793"/>
        <n v="0.161"/>
        <n v="0.958"/>
        <n v="0.956"/>
        <n v="0.952488299"/>
        <n v="0.439035944"/>
        <n v="0.124"/>
        <n v="0.93893"/>
        <n v="0.937515"/>
        <n v="0.932"/>
        <n v="0.115670898"/>
        <n v="0.929"/>
        <n v="0.926577"/>
        <n v="0.154382003"/>
        <n v="0.91698359"/>
        <n v="0.916"/>
        <n v="0.12"/>
        <n v="0.1520414"/>
        <n v="0.11"/>
        <n v="0.897077"/>
        <n v="0.889961352"/>
        <n v="0.889"/>
        <n v="0.277"/>
        <n v="0.147"/>
        <n v="0.714"/>
        <n v="0.145"/>
        <n v="0.931"/>
        <n v="0.861"/>
        <n v="0.86"/>
        <n v="0.859371"/>
        <n v="0.859"/>
        <n v="0.187"/>
        <n v="0.112"/>
        <n v="0.111"/>
        <n v="0.835"/>
        <n v="0.109"/>
        <n v="0.138"/>
        <n v="0.166232"/>
        <n v="0.108"/>
        <n v="0.107083"/>
        <n v="0.811827"/>
        <n v="0.107"/>
        <n v="0.81"/>
        <n v="0.8045844"/>
        <n v="0.106"/>
        <n v="0.802"/>
        <n v="0.439"/>
        <n v="0.79"/>
        <n v="0.104"/>
        <n v="0.787"/>
        <n v="0.786"/>
        <n v="0.774"/>
        <n v="0.782"/>
        <n v="0.103008"/>
        <n v="0.103"/>
        <n v="0.77201964"/>
        <n v="0.10068584"/>
        <n v="0.7612881"/>
        <n v="0.757"/>
        <n v="0.12547161"/>
        <n v="0.743911"/>
        <n v="1.17"/>
        <n v="0.123"/>
        <n v="0.732"/>
        <n v="0.731155"/>
        <n v="0.729"/>
        <n v="0.122"/>
        <n v="0.723"/>
        <n v="0.722"/>
        <n v="0.717"/>
        <n v="0.7"/>
        <n v="0.117"/>
        <n v="0.696479"/>
        <n v="0.692"/>
        <n v="0.689"/>
        <n v="0.688093"/>
        <n v="0.115"/>
        <n v="0.686"/>
        <n v="0.685"/>
        <n v="0.139727"/>
        <n v="0.3"/>
        <n v="0.677"/>
        <n v="0.675305"/>
        <n v="0.655"/>
        <n v="0.65103508"/>
        <n v="0.581313"/>
        <n v="0.637"/>
        <n v="0.618"/>
        <n v="1.16"/>
        <n v="0.613"/>
        <n v="0.982"/>
        <n v="0.601"/>
        <n v="0.596"/>
        <n v="0.594"/>
        <n v="0.592"/>
        <n v="0.591"/>
        <n v="0.587"/>
        <n v="0.585614"/>
        <n v="0.577"/>
        <n v="0.576"/>
        <n v="0.574"/>
        <n v="0.568"/>
        <n v="0.898887"/>
        <n v="0.558"/>
        <n v="0.552"/>
        <n v="0.391"/>
        <n v="0.76093952"/>
        <n v="0.547518766"/>
        <n v="0.540248"/>
        <n v="0.534319"/>
        <n v="0.534071337"/>
        <n v="0.533763"/>
        <n v="0.525"/>
        <n v="0.23"/>
        <n v="0.52024306"/>
        <n v="0.518"/>
        <n v="0.819"/>
        <n v="0.512"/>
        <n v="0.962"/>
        <n v="0.510976818"/>
        <n v="0.51"/>
        <n v="0.797427"/>
        <n v="0.464"/>
        <n v="0.934"/>
        <n v="0.494"/>
        <n v="0.493"/>
        <n v="0.927"/>
        <n v="0.500815"/>
        <n v="0.488"/>
        <n v="0.485"/>
        <n v="0.475"/>
        <n v="0.893"/>
        <n v="0.474"/>
        <n v="0.204"/>
        <n v="0.735396"/>
        <n v="0.868"/>
        <n v="0.457001"/>
        <n v="0.855"/>
        <n v="0.449"/>
        <n v="0.845"/>
        <n v="0.447"/>
        <n v="0.444"/>
        <n v="0.572"/>
        <n v="0.826"/>
        <n v="0.438225424"/>
        <n v="0.566"/>
        <n v="0.467721046"/>
        <n v="0.427"/>
        <n v="0.422"/>
        <n v="0.662398"/>
        <n v="0.415"/>
        <n v="0.947"/>
        <n v="0.4089442"/>
        <n v="0.407"/>
        <n v="0.648"/>
        <n v="0.438"/>
        <n v="0.403"/>
        <n v="0.4"/>
        <n v="0.75"/>
        <n v="0.394"/>
        <n v="7.54"/>
        <n v="0.390902"/>
        <n v="0.384"/>
        <n v="0.377837"/>
        <n v="0.708"/>
        <n v="0.597"/>
        <n v="0.702"/>
        <n v="0.367"/>
        <n v="0.676"/>
        <n v="0.274"/>
        <n v="0.357"/>
        <n v="0.35603134"/>
        <n v="0.353"/>
        <n v="0.352"/>
        <n v="0.351761"/>
        <n v="0.346"/>
        <n v="0.551"/>
        <n v="0.649"/>
        <n v="0.19"/>
        <n v="0.34"/>
        <n v="0.547"/>
        <n v="0.338269"/>
        <n v="0.537774"/>
        <n v="0.534"/>
        <n v="0.260781"/>
        <n v="0.520397"/>
        <n v="0.142"/>
        <n v="0.513"/>
        <n v="6.104895493"/>
        <n v="0.502374"/>
        <n v="0.313637"/>
        <n v="0.498444"/>
        <n v="0.309"/>
        <n v="0.484"/>
        <n v="0.302"/>
        <n v="0.476931"/>
        <n v="0.299"/>
        <n v="0.473012"/>
        <n v="0.296"/>
        <n v="0.555"/>
        <n v="0.294108"/>
        <n v="0.294"/>
        <n v="0.293135"/>
        <n v="1.770871691"/>
        <n v="0.2915758"/>
        <n v="0.159"/>
        <n v="0.307481127"/>
        <n v="0.536"/>
        <n v="0.453"/>
        <n v="0.280011554"/>
        <n v="0.276"/>
        <n v="0.439212"/>
        <n v="0.516"/>
        <n v="0.431133"/>
        <n v="0.508"/>
        <n v="0.419549"/>
        <n v="0.258232404"/>
        <n v="0.255104"/>
        <n v="0.25501767"/>
        <n v="0.252216"/>
        <n v="0.272203498"/>
        <n v="0.472"/>
        <n v="0.25"/>
        <n v="0.397954"/>
        <n v="0.469"/>
        <n v="0.248824"/>
        <n v="0.379"/>
        <n v="0.394573"/>
        <n v="0.246674"/>
        <n v="0.244"/>
        <n v="0.386"/>
        <n v="0.39"/>
        <n v="0.454"/>
        <n v="0.382199"/>
        <n v="0.239806"/>
        <n v="0.132"/>
        <n v="0.237"/>
        <n v="0.564"/>
        <n v="0.323"/>
        <n v="0.233"/>
        <n v="0.0306"/>
        <n v="0.436"/>
        <n v="0.373"/>
        <n v="0.248"/>
        <n v="0.126"/>
        <n v="0.228"/>
        <n v="0.426"/>
        <n v="0.226"/>
        <n v="0.291913"/>
        <n v="0.222"/>
        <n v="0.284"/>
        <n v="0.348628"/>
        <n v="0.235415"/>
        <n v="0.409"/>
        <n v="0.345"/>
        <n v="0.21305418"/>
        <n v="0.213"/>
        <n v="0.211953"/>
        <n v="0.397"/>
        <n v="0.333945"/>
        <n v="0.387"/>
        <n v="0.327223"/>
        <n v="0.264046"/>
        <n v="0.322083"/>
        <n v="0.217"/>
        <n v="0.200333"/>
        <n v="0.377"/>
        <n v="0.199"/>
        <n v="0.315027"/>
        <n v="0.316"/>
        <n v="0.196"/>
        <n v="0.368"/>
        <n v="0.10728238"/>
        <n v="0.192857"/>
        <n v="3.71"/>
        <n v="0.36"/>
        <n v="0.359"/>
        <n v="0.205"/>
        <n v="0.189653"/>
        <n v="0.301883"/>
        <n v="0.347"/>
        <n v="0.181"/>
        <n v="0.195"/>
        <n v="0.401"/>
        <n v="0.17795464"/>
        <n v="0.283188"/>
        <n v="0.275506"/>
        <n v="0.1721105"/>
        <n v="0.171"/>
        <n v="0.268253"/>
        <n v="0.317"/>
        <n v="0.602731"/>
        <n v="0.257538"/>
        <n v="0.16042988"/>
        <n v="0.204097"/>
        <n v="0.155"/>
        <n v="0.154"/>
        <n v="0.153"/>
        <n v="0.152"/>
        <n v="0.151"/>
        <n v="0.240347"/>
        <n v="0.19537"/>
        <n v="0.149318"/>
        <n v="0.279"/>
        <n v="0.275"/>
        <n v="0.145981"/>
        <n v="0.231"/>
        <n v="0.228594"/>
        <n v="0.141959"/>
        <n v="0.267"/>
        <n v="2.71"/>
        <n v="0.221"/>
        <n v="2.66"/>
        <n v="0.1242417"/>
        <n v="0.136"/>
        <n v="0.216088"/>
        <n v="0.215"/>
        <n v="0.131191"/>
        <n v="0.207554"/>
        <n v="0.129573"/>
        <n v="0.128849729"/>
        <n v="0.125"/>
        <n v="0.1575842"/>
        <n v="0.120528257"/>
        <n v="2.28"/>
        <n v="0.186942"/>
        <n v="2.26"/>
        <n v="0.185"/>
        <n v="2.2"/>
        <n v="2.194697"/>
        <n v="0.14795044"/>
        <n v="0.111312"/>
        <n v="0.108626"/>
        <n v="0.108026"/>
        <n v="2.08"/>
        <n v="2.06"/>
        <n v="0.10628"/>
        <n v="2.029350425"/>
        <n v="0.163348"/>
        <n v="0.131"/>
        <n v="0.160242"/>
        <n v="1.92"/>
        <n v="0.1579583"/>
        <n v="1.791000064"/>
        <n v="0.147613"/>
        <n v="0.145467"/>
        <n v="1.75"/>
        <n v="1.73"/>
        <n v="1.63698039"/>
        <n v="0.201"/>
        <n v="0.130488"/>
        <n v="1.56"/>
        <n v="0.391748641"/>
        <n v="0.276907092"/>
        <n v="1.5"/>
        <n v="1.49279"/>
        <n v="0.279066"/>
        <n v="1.46708"/>
        <n v="0.12095"/>
        <n v="1.46"/>
        <n v="0.011"/>
        <n v="1.24"/>
        <n v="0.0255"/>
        <n v="0.10069"/>
        <n v="1.116999936"/>
        <n v="1.019083"/>
        <n v="0.98294246"/>
        <n v="0.857"/>
        <n v="0.351"/>
        <n v="0.699"/>
        <n v="0.695"/>
        <n v="0.535059"/>
        <n v="6.447000064"/>
        <n v="5.96"/>
        <n v="0.173863439"/>
        <n v="0.42912781"/>
        <n v="4.81"/>
        <n v="4.70312487"/>
        <n v="0.337514"/>
        <n v="0.305"/>
        <n v="0.3025"/>
        <n v="0.275269312"/>
        <n v="3.58"/>
        <n v="0.176"/>
        <n v="0.66"/>
        <n v="0.00758"/>
        <n v="0.0139"/>
        <n v="2.78"/>
        <n v="0.00484"/>
        <n v="0.164466"/>
        <n v="0.0029"/>
        <n v="0.002026332"/>
        <n v="0.00255"/>
        <n v="0.00419"/>
        <n v="0.00192"/>
        <n v="0.00198"/>
        <n v="0.3464989"/>
        <n v="0.3464777"/>
        <n v="0.2389565"/>
        <n v="0.173952"/>
        <n v="5.28E-4"/>
        <n v="3.58E-4"/>
        <n v="5.252E-5"/>
        <n v="7.45E-4"/>
        <n v="3.21E-6"/>
        <n v="0.652712344"/>
        <n v="0.985"/>
        <n v="0.725607"/>
        <n v="1.979482"/>
        <n v="0.509"/>
        <n v="0.376"/>
        <n v="1.38"/>
        <n v="0.94"/>
        <n v="0.82"/>
        <n v="0.747"/>
        <n v="0.734"/>
        <n v="0.707"/>
        <n v="0.636"/>
        <n v="0.565"/>
        <n v="0.514"/>
        <n v="0.45"/>
        <n v="0.395"/>
        <n v="0.348"/>
        <n v="0.325"/>
        <n v="1.016691026"/>
        <n v="0.69775721"/>
        <n v="0.422338"/>
        <n v="0.966"/>
        <n v="0.869"/>
        <n v="0.683"/>
        <n v="0.531"/>
        <n v="0.559"/>
        <n v="0.313"/>
        <n v="0.101646"/>
        <n v="0.261"/>
        <n v="0.005"/>
        <n v="0.00239"/>
        <n v="2.52"/>
        <n v="0.46"/>
        <n v="0.119106"/>
        <n v="0.129179"/>
        <n v="0.675"/>
        <n v="0.224"/>
        <n v="0.116493"/>
        <n v="6.550000128"/>
        <n v="0.232"/>
        <n v="2.16"/>
        <n v="0.853"/>
        <n v="0.486"/>
        <n v="0.236"/>
        <n v="0.00616"/>
        <n v="0.209732"/>
        <n v="0.412"/>
        <n v="0.4544"/>
        <n v="2.05"/>
        <n v="2.68"/>
        <n v="2.79"/>
        <n v="0.627"/>
        <n v="0.487"/>
        <n v="0.130545"/>
        <n v="0.083235"/>
        <n v="0.081235"/>
        <n v="0.011104"/>
        <n v="0.005717328"/>
        <n v="0.169"/>
        <n v="4.804E-6"/>
        <n v="0.342"/>
        <n v="0.133"/>
        <n v="0.752"/>
        <n v="0.742"/>
        <n v="0.549"/>
        <n v="1.827869"/>
        <n v="0.103263"/>
        <n v="0.068537"/>
        <n v="0.0386456"/>
        <n v="0.641"/>
        <n v="0.247"/>
        <n v="0.167"/>
        <n v="1.093446861"/>
        <n v="0.6"/>
        <n v="0.502"/>
        <n v="0.678"/>
        <n v="0.905"/>
        <n v="0.100947"/>
        <n v="0.00768"/>
        <n v="0.1"/>
        <n v="0.388"/>
        <n v="0.266942"/>
        <n v="0.14782"/>
        <n v="0.27474"/>
        <n v="0.11341"/>
        <n v="0.1318205"/>
        <n v="0.121712"/>
        <n v="0.115035"/>
        <n v="0.108998"/>
        <n v="0.107243"/>
        <n v="0.100095"/>
        <n v="0.307"/>
        <n v="0.0219"/>
        <n v="0.007332972"/>
        <n v="0.005954154"/>
        <n v="0.162"/>
        <n v="0.143966"/>
        <n v="0.754"/>
        <n v="0.011399766"/>
        <n v="1.09157E-5"/>
        <n v="7.396E-6"/>
        <n v="5.34E-6"/>
        <n v="5.22683E-6"/>
        <n v="2.42199E-4"/>
        <n v="5.7043E-5"/>
        <n v="1.5E-5"/>
        <n v="1.59936E-6"/>
        <n v="2.74"/>
        <n v="2.25"/>
        <n v="0.84"/>
        <n v="0.748"/>
        <n v="0.67"/>
        <n v="0.446"/>
        <n v="6.98E-4"/>
        <n v="0.01559431"/>
        <n v="0.682"/>
        <n v="0.975"/>
        <n v="4.24"/>
        <n v="6.43"/>
        <n v="1.472768"/>
        <n v="0.442708155"/>
        <n v="0.024083"/>
        <n v="0.51401"/>
        <n v="0.414983"/>
        <n v="2.57"/>
        <n v="3.55"/>
        <n v="3.08"/>
        <n v="1.91"/>
        <n v="1.87"/>
        <n v="1.39"/>
        <n v="1.0"/>
        <n v="0.96"/>
        <n v="0.765"/>
        <n v="0.679"/>
        <n v="0.405"/>
        <n v="0.308081"/>
        <n v="4.18"/>
        <n v="2.67"/>
        <n v="1.94"/>
        <n v="1.08"/>
        <n v="0.882"/>
        <n v="0.569"/>
        <n v="3.2"/>
        <n v="2.12"/>
        <n v="1.21"/>
        <n v="0.997"/>
        <n v="0.069091"/>
        <n v="0.336"/>
        <n v="0.32"/>
        <n v="1.933E-4"/>
        <n v="0.36855471"/>
        <n v="0.169962208"/>
        <n v="1.4"/>
        <n v="0.976"/>
        <n v="0.28"/>
        <n v="0.12645"/>
        <n v="0.333"/>
        <n v="4.57E-4"/>
        <n v="2.69"/>
        <n v="0.563"/>
        <n v="0.123149"/>
        <n v="6.05"/>
        <n v="0.110904"/>
        <n v="0.622"/>
        <n v="0.324402918"/>
        <n v="0.306711708"/>
        <n v="1.431000064"/>
        <n v="0.968"/>
        <n v="0.877"/>
        <n v="0.468"/>
        <n v="0.851"/>
        <n v="0.281"/>
        <n v="0.0312"/>
        <n v="0.68"/>
        <n v="0.432"/>
        <n v="1.09"/>
        <n v="2.19"/>
        <n v="1.76"/>
        <n v="0.634"/>
        <n v="0.81000989"/>
        <n v="0.42016061"/>
        <n v="0.329377"/>
        <n v="0.32049948"/>
        <n v="0.17026419"/>
        <n v="0.119409"/>
        <n v="0.10940096"/>
        <n v="3.49"/>
        <n v="3.35"/>
        <n v="2.37"/>
        <n v="0.528"/>
        <n v="0.328"/>
        <n v="0.206"/>
        <n v="0.283"/>
        <n v="0.241106"/>
        <n v="0.20351"/>
        <n v="0.168092"/>
        <n v="0.126464028"/>
        <n v="0.001843"/>
        <n v="9.29073E-4"/>
        <n v="7.39E-5"/>
        <n v="0.586145132"/>
        <n v="0.034387"/>
        <n v="1.4E-4"/>
        <n v="0.506"/>
        <n v="0.238"/>
        <n v="0.00637461"/>
        <n v="0.004120406"/>
        <n v="0.0031"/>
        <n v="0.001815425"/>
        <n v="0.00135587"/>
        <n v="6.92E-4"/>
        <n v="0.054"/>
        <n v="0.00856"/>
        <n v="0.00164"/>
        <n v="0.00124"/>
        <n v="0.106786"/>
        <n v="2.843953"/>
        <n v="2.391993"/>
        <n v="7.56"/>
        <n v="4.25"/>
        <n v="3.99"/>
        <n v="1.58"/>
        <n v="1.26"/>
        <n v="0.758"/>
        <n v="0.517"/>
        <n v="5.82"/>
        <n v="3.22"/>
        <n v="1.63"/>
        <n v="0.41598419"/>
        <n v="1.74"/>
        <n v="0.746"/>
        <n v="6.673429"/>
        <n v="6.37728"/>
        <n v="4.429287"/>
        <n v="0.752943"/>
        <n v="0.677168"/>
        <n v="0.418558"/>
        <n v="0.250241"/>
        <n v="0.242322"/>
        <n v="0.174516808"/>
        <n v="0.159738"/>
        <n v="0.129365"/>
        <n v="1.95"/>
        <n v="4.554399771"/>
        <n v="3.729125353"/>
        <n v="3.435525451"/>
        <n v="3.264758"/>
        <n v="2.931880006"/>
        <n v="2.744308902"/>
        <n v="2.242402097"/>
        <n v="1.649122"/>
        <n v="1.545462"/>
        <n v="1.455373"/>
        <n v="1.25670707"/>
        <n v="0.753284806"/>
        <n v="0.429086769"/>
        <n v="0.415770636"/>
        <n v="0.399137"/>
        <n v="0.397481082"/>
        <n v="0.376213581"/>
        <n v="0.365548"/>
        <n v="0.28747"/>
        <n v="0.14801"/>
        <n v="0.139341891"/>
        <n v="0.12548"/>
        <n v="0.061991"/>
        <n v="1.322885"/>
        <n v="0.99526493"/>
        <n v="0.893934801"/>
        <n v="0.501345386"/>
        <n v="0.268149"/>
        <n v="0.162358173"/>
        <n v="0.088553252"/>
        <n v="0.065"/>
        <n v="0.061540756"/>
        <n v="0.028760364"/>
        <n v="0.025177"/>
        <n v="0.017246"/>
        <n v="0.015820517"/>
        <n v="0.012391"/>
        <n v="0.011416"/>
        <n v="0.010372206"/>
        <n v="0.009500277"/>
        <n v="0.008966332"/>
        <n v="0.00783431"/>
        <n v="0.005849114"/>
        <n v="0.004535279"/>
        <n v="0.003"/>
        <n v="0.001577211"/>
        <n v="2.8609E-4"/>
        <n v="3.85"/>
        <n v="0.56"/>
        <n v="1.43"/>
        <n v="1.29"/>
        <n v="24.2"/>
        <n v="19.1"/>
        <n v="17.0"/>
        <n v="15.0"/>
        <n v="11.9"/>
        <n v="9.64"/>
        <n v="5.97"/>
        <n v="4.77"/>
        <n v="4.39"/>
        <n v="3.94"/>
        <n v="3.82"/>
        <n v="3.11"/>
        <n v="2.86"/>
        <n v="2.47"/>
        <n v="1.98"/>
        <n v="1.81"/>
        <n v="1.7"/>
        <n v="1.69"/>
        <n v="1.64"/>
        <n v="1.03"/>
        <n v="0.974"/>
        <n v="0.973"/>
        <n v="0.854"/>
        <n v="0.775"/>
        <n v="0.764"/>
        <n v="0.667"/>
        <n v="0.616"/>
        <n v="0.545"/>
        <n v="0.396"/>
        <n v="0.256"/>
        <n v="0.179"/>
        <n v="2.649234"/>
        <n v="0.937719474"/>
        <n v="0.830163"/>
        <n v="0.735149"/>
        <n v="0.705157"/>
        <n v="0.68054738"/>
        <n v="0.655786"/>
        <n v="0.64932"/>
        <n v="0.41298298"/>
        <n v="0.302659"/>
        <n v="0.297905373"/>
        <n v="6.0"/>
        <n v="4.27"/>
        <n v="3.91"/>
        <n v="3.46"/>
        <n v="2.49"/>
        <n v="1.22"/>
        <n v="0.993"/>
        <n v="0.815"/>
        <n v="0.694"/>
        <n v="0.629"/>
        <n v="0.375"/>
        <n v="0.322"/>
        <n v="3.44"/>
        <n v="2.43"/>
        <n v="0.907"/>
        <n v="0.712"/>
        <n v="0.341"/>
        <n v="2.660753"/>
        <n v="1.57"/>
        <n v="4.53"/>
        <n v="4.28"/>
        <n v="3.42"/>
        <n v="3.36"/>
        <n v="2.77"/>
        <n v="2.44"/>
        <n v="2.39"/>
        <n v="2.38"/>
        <n v="1.71"/>
        <n v="0.904"/>
        <n v="0.886"/>
        <n v="0.885"/>
        <n v="0.803"/>
        <n v="0.799"/>
        <n v="0.791"/>
        <n v="0.716"/>
        <n v="0.645"/>
        <n v="0.554"/>
        <n v="0.413"/>
        <n v="0.392"/>
        <n v="0.355"/>
        <n v="0.337"/>
        <n v="0.259"/>
        <n v="0.241"/>
        <n v="0.192"/>
        <n v="0.173"/>
        <n v="0.101571"/>
        <n v="0.7158558"/>
        <n v="0.172764"/>
        <n v="0.902"/>
        <n v="0.874"/>
        <n v="0.824"/>
        <n v="0.691"/>
        <n v="0.605"/>
        <n v="0.437"/>
        <n v="0.399"/>
        <n v="0.314"/>
        <n v="0.29"/>
        <n v="0.007886"/>
        <n v="0.0117"/>
        <n v="0.110928"/>
        <n v="0.361016"/>
        <n v="0.296932452"/>
        <n v="0.14723"/>
        <n v="0.884"/>
        <n v="0.847"/>
        <n v="0.822"/>
        <n v="0.768"/>
        <n v="0.59"/>
        <n v="0.458"/>
        <n v="0.411"/>
        <n v="0.288"/>
        <n v="0.957"/>
        <n v="0.55525"/>
        <n v="0.250888883"/>
        <n v="0.22013"/>
        <n v="0.19108143"/>
        <n v="0.189511"/>
        <n v="0.15285428"/>
        <n v="0.113663"/>
        <n v="0.080924663"/>
        <n v="0.019385"/>
        <n v="0.010761"/>
        <n v="0.696"/>
        <n v="0.492"/>
        <n v="0.324"/>
        <n v="0.919853438"/>
        <n v="0.319734576"/>
        <n v="0.595"/>
        <n v="0.327"/>
        <n v="0.318"/>
        <n v="0.249"/>
      </sharedItems>
    </cacheField>
    <cacheField name="Biogenic emissions (MtCO2/year)" numFmtId="0">
      <sharedItems containsSemiMixedTypes="0" containsString="0" containsNumber="1">
        <n v="0.3501162524"/>
        <n v="0.2821242968"/>
        <n v="0.24337585709999998"/>
        <n v="0.21633409520000002"/>
        <n v="0.20312949370000002"/>
        <n v="0.16225057140000002"/>
        <n v="0.1256299494"/>
        <n v="0.11284971869999999"/>
        <n v="0.09589008771"/>
        <n v="0.08463728905000001"/>
        <n v="0.07842110952"/>
        <n v="0.05642485937"/>
        <n v="0.05078237343"/>
        <n v="0.04597099523"/>
        <n v="0.0451398875"/>
        <n v="0.04062589875"/>
        <n v="0.03103367265"/>
        <n v="0.028212429679999998"/>
        <n v="0.02368858343"/>
        <n v="0.02256994375"/>
        <n v="0.01692745781"/>
        <n v="0.016225057140000002"/>
        <n v="0.011849220470000001"/>
        <n v="0.008463728905"/>
        <n v="0.005642485937"/>
        <n v="0.00540835238"/>
        <n v="0.002821242968"/>
        <n v="0.00270417619"/>
        <n v="0.002539118672"/>
        <n v="0.002426268953"/>
        <n v="0.0022569943750000003"/>
        <n v="0.001081670476"/>
        <n v="8.23802947E-4"/>
        <n v="5.40835238E-4"/>
        <n v="4.59709952E-4"/>
        <n v="2.70417619E-4"/>
        <n v="2.05950737E-4"/>
        <n v="2.821243E-5"/>
        <n v="7.896194000000001E-6"/>
        <n v="6.206734999999999E-6"/>
        <n v="0.1229029402"/>
        <n v="0.11522150639999999"/>
        <n v="0.0"/>
        <n v="0.09985863888"/>
        <n v="0.9597224736"/>
        <n v="0.06145147008"/>
        <n v="0.22276157900000002"/>
        <n v="1.616997888"/>
        <n v="1.749743424"/>
        <n v="0.01536286752"/>
        <n v="1.411485134"/>
        <n v="0.0384071688"/>
        <n v="0.02304430128"/>
        <n v="0.482879232"/>
        <n v="0.14430873600000002"/>
        <n v="0.0780516"/>
        <n v="0.4596718896"/>
        <n v="0.0808498944"/>
        <n v="1.389781008"/>
        <n v="12.3"/>
        <n v="3.328049894"/>
        <n v="3.1"/>
        <n v="2.545676538"/>
        <n v="2.178"/>
        <n v="1.911"/>
        <n v="1.83195"/>
        <n v="1.8098"/>
        <n v="1.48736573"/>
        <n v="1.4518"/>
        <n v="1.4382"/>
        <n v="1.4184"/>
        <n v="1.377084795"/>
        <n v="1.3118"/>
        <n v="1.3115"/>
        <n v="1.3045"/>
        <n v="1.283405558"/>
        <n v="1.279858"/>
        <n v="1.1838"/>
        <n v="1.1797"/>
        <n v="1.173"/>
        <n v="1.1274"/>
        <n v="1.124159155"/>
        <n v="1.067943311"/>
        <n v="1.052"/>
        <n v="1.002367844"/>
        <n v="1.0016"/>
        <n v="0.9963"/>
        <n v="0.99299992"/>
        <n v="0.9832"/>
        <n v="0.974"/>
        <n v="0.812295647"/>
        <n v="0.8"/>
        <n v="0.7866"/>
        <n v="0.783"/>
        <n v="0.779411258"/>
        <n v="0.743813148"/>
        <n v="0.7038"/>
        <n v="0.6998"/>
        <n v="0.660715477"/>
        <n v="0.643"/>
        <n v="0.638"/>
        <n v="0.6255"/>
        <n v="0.6171"/>
        <n v="0.612662215"/>
        <n v="0.55717"/>
        <n v="0.553850944"/>
        <n v="0.547086749"/>
        <n v="0.5425"/>
        <n v="0.533266775"/>
        <n v="0.52978"/>
        <n v="0.514212155"/>
        <n v="0.5052"/>
        <n v="0.5013"/>
        <n v="0.477"/>
        <n v="0.47"/>
        <n v="0.458091473"/>
        <n v="0.4407"/>
        <n v="0.435378314"/>
        <n v="0.43047"/>
        <n v="0.428114117"/>
        <n v="0.425729951"/>
        <n v="0.394"/>
        <n v="0.390125727"/>
        <n v="0.387262965"/>
        <n v="0.3868"/>
        <n v="0.35973093"/>
        <n v="0.356969588"/>
        <n v="0.356917896"/>
        <n v="0.355243457"/>
        <n v="0.355"/>
        <n v="0.35259138"/>
        <n v="0.3253"/>
        <n v="0.321"/>
        <n v="0.31845"/>
        <n v="0.3183"/>
        <n v="0.312"/>
        <n v="0.3085"/>
        <n v="0.303"/>
        <n v="0.3"/>
        <n v="0.295"/>
        <n v="0.2902"/>
        <n v="0.289242597"/>
        <n v="0.286841905"/>
        <n v="0.28655"/>
        <n v="0.285389381"/>
        <n v="0.285"/>
        <n v="0.2843"/>
        <n v="0.28257"/>
        <n v="0.2772"/>
        <n v="0.2728"/>
        <n v="0.271664229"/>
        <n v="0.2695"/>
        <n v="0.267838855"/>
        <n v="0.266897141"/>
        <n v="0.2651"/>
        <n v="0.261348414"/>
        <n v="0.26109503"/>
        <n v="0.259868"/>
        <n v="0.25792"/>
        <n v="0.2563"/>
        <n v="0.252007"/>
        <n v="0.2461"/>
        <n v="0.2459393"/>
        <n v="0.243"/>
        <n v="0.242458"/>
        <n v="0.24"/>
        <n v="0.2396"/>
        <n v="0.234"/>
        <n v="0.232809735"/>
        <n v="0.231"/>
        <n v="0.2309"/>
        <n v="0.23"/>
        <n v="0.229908679"/>
        <n v="0.229"/>
        <n v="0.2251"/>
        <n v="0.22329"/>
        <n v="0.221"/>
        <n v="0.219"/>
        <n v="0.216"/>
        <n v="0.215482633"/>
        <n v="0.21402525"/>
        <n v="0.214"/>
        <n v="0.213504368"/>
        <n v="0.213227607"/>
        <n v="0.2119"/>
        <n v="0.211"/>
        <n v="0.208355882"/>
        <n v="0.205"/>
        <n v="0.20405"/>
        <n v="0.2013"/>
        <n v="0.201"/>
        <n v="0.2"/>
        <n v="0.199713"/>
        <n v="0.1993"/>
        <n v="0.199"/>
        <n v="0.19855"/>
        <n v="0.197663192"/>
        <n v="0.1971"/>
        <n v="0.1969"/>
        <n v="0.19576248"/>
        <n v="0.194"/>
        <n v="0.19323"/>
        <n v="0.192"/>
        <n v="0.190839415"/>
        <n v="0.185667577"/>
        <n v="0.185018248"/>
        <n v="0.1837"/>
        <n v="0.1819066"/>
        <n v="0.1818"/>
        <n v="0.181737721"/>
        <n v="0.18153"/>
        <n v="0.181"/>
        <n v="0.17894"/>
        <n v="0.177568"/>
        <n v="0.176145223"/>
        <n v="0.1761"/>
        <n v="0.17105"/>
        <n v="0.171"/>
        <n v="0.17051"/>
        <n v="0.169"/>
        <n v="0.165"/>
        <n v="0.1639"/>
        <n v="0.1635"/>
        <n v="0.16326"/>
        <n v="0.1627"/>
        <n v="0.162459129"/>
        <n v="0.16005"/>
        <n v="0.158107546"/>
        <n v="0.15803"/>
        <n v="0.158"/>
        <n v="0.157791318"/>
        <n v="0.15675"/>
        <n v="0.156634"/>
        <n v="0.154"/>
        <n v="0.15363395"/>
        <n v="0.153174402"/>
        <n v="0.153"/>
        <n v="0.152"/>
        <n v="0.15015"/>
        <n v="0.15"/>
        <n v="0.1497"/>
        <n v="0.1495"/>
        <n v="0.148"/>
        <n v="0.14787"/>
        <n v="0.147"/>
        <n v="0.1466"/>
        <n v="0.145"/>
        <n v="0.14465"/>
        <n v="0.144"/>
        <n v="0.14324915"/>
        <n v="0.14221"/>
        <n v="0.14135"/>
        <n v="0.140747"/>
        <n v="0.14071"/>
        <n v="0.13988"/>
        <n v="0.138917931"/>
        <n v="0.1386"/>
        <n v="0.13805"/>
        <n v="0.13698"/>
        <n v="0.135"/>
        <n v="0.134899099"/>
        <n v="0.1347"/>
        <n v="0.134336467"/>
        <n v="0.134246366"/>
        <n v="0.134136"/>
        <n v="0.134135775"/>
        <n v="0.13365"/>
        <n v="0.133448571"/>
        <n v="0.133336073"/>
        <n v="0.13306"/>
        <n v="0.133"/>
        <n v="0.131150933"/>
        <n v="0.131"/>
        <n v="0.130106772"/>
        <n v="0.129822251"/>
        <n v="0.1287"/>
        <n v="0.128661828"/>
        <n v="0.128510727"/>
        <n v="0.128371723"/>
        <n v="0.124745403"/>
        <n v="0.124674172"/>
        <n v="0.124"/>
        <n v="0.12375"/>
        <n v="0.12265"/>
        <n v="0.1219"/>
        <n v="0.121464135"/>
        <n v="0.121"/>
        <n v="0.120670652"/>
        <n v="0.1204"/>
        <n v="0.120393819"/>
        <n v="0.12"/>
        <n v="0.1199"/>
        <n v="0.1197"/>
        <n v="0.118888"/>
        <n v="0.1188"/>
        <n v="0.116767499"/>
        <n v="0.116042235"/>
        <n v="0.115534546"/>
        <n v="0.115316971"/>
        <n v="0.11495"/>
        <n v="0.114713819"/>
        <n v="0.114353511"/>
        <n v="0.11407038"/>
        <n v="0.11385"/>
        <n v="0.113"/>
        <n v="0.1128"/>
        <n v="0.112415915"/>
        <n v="0.111690652"/>
        <n v="0.111417009"/>
        <n v="0.1111"/>
        <n v="0.110965388"/>
        <n v="0.110301785"/>
        <n v="0.110240124"/>
        <n v="0.11"/>
        <n v="0.10993237"/>
        <n v="0.10824506"/>
        <n v="0.10745405"/>
        <n v="0.107377976"/>
        <n v="0.1067"/>
        <n v="0.106443228"/>
        <n v="0.10615"/>
        <n v="0.105163276"/>
        <n v="0.10505"/>
        <n v="0.10487317"/>
        <n v="0.104438012"/>
        <n v="0.10395"/>
        <n v="0.103847052"/>
        <n v="0.1034"/>
        <n v="0.10226222"/>
        <n v="0.101250876"/>
        <n v="0.101019045"/>
        <n v="0.100803351"/>
        <n v="0.100431"/>
        <n v="0.1004"/>
        <n v="0.100353"/>
        <n v="0.1"/>
        <n v="0.099087395"/>
        <n v="0.099"/>
        <n v="0.0986359"/>
        <n v="0.0986"/>
        <n v="0.098178"/>
        <n v="0.09628432"/>
        <n v="0.0961"/>
        <n v="0.0957"/>
        <n v="0.095552823"/>
        <n v="0.095094"/>
        <n v="0.095"/>
        <n v="0.094760435"/>
        <n v="0.0946"/>
        <n v="0.094284316"/>
        <n v="0.0927"/>
        <n v="0.0924"/>
        <n v="0.092108524"/>
        <n v="0.0915"/>
        <n v="0.090657996"/>
        <n v="0.090433474"/>
        <n v="0.090000778"/>
        <n v="0.089207468"/>
        <n v="0.088"/>
        <n v="0.087240296"/>
        <n v="0.0869"/>
        <n v="0.08635"/>
        <n v="0.086306413"/>
        <n v="0.08616136"/>
        <n v="0.0857"/>
        <n v="0.085581149"/>
        <n v="0.085313"/>
        <n v="0.0852"/>
        <n v="0.0831776"/>
        <n v="0.083"/>
        <n v="0.082927988"/>
        <n v="0.082596016"/>
        <n v="0.082533154"/>
        <n v="0.08195"/>
        <n v="0.0819"/>
        <n v="0.081434665"/>
        <n v="0.080694994"/>
        <n v="0.079996616"/>
        <n v="0.079779037"/>
        <n v="0.079760542"/>
        <n v="0.079250755"/>
        <n v="0.0792"/>
        <n v="0.078665997"/>
        <n v="0.078038403"/>
        <n v="0.077657078"/>
        <n v="0.077449238"/>
        <n v="0.076763"/>
        <n v="0.076600426"/>
        <n v="0.076587201"/>
        <n v="0.0755"/>
        <n v="0.07535"/>
        <n v="0.075137346"/>
        <n v="0.074278783"/>
        <n v="0.07425"/>
        <n v="0.074"/>
        <n v="0.073976925"/>
        <n v="0.07396762"/>
        <n v="0.0737"/>
        <n v="0.07347044"/>
        <n v="0.0734547"/>
        <n v="0.072705278"/>
        <n v="0.0725"/>
        <n v="0.072236291"/>
        <n v="0.071807148"/>
        <n v="0.071801133"/>
        <n v="0.0715"/>
        <n v="0.0713"/>
        <n v="0.0711"/>
        <n v="0.071"/>
        <n v="0.070529456"/>
        <n v="0.0704"/>
        <n v="0.070359901"/>
        <n v="0.07"/>
        <n v="0.06985"/>
        <n v="0.069835"/>
        <n v="0.069664064"/>
        <n v="0.069480288"/>
        <n v="0.069335236"/>
        <n v="0.069080545"/>
        <n v="0.069013425"/>
        <n v="0.0682"/>
        <n v="0.06809721"/>
        <n v="0.067994585"/>
        <n v="0.067594602"/>
        <n v="0.067511044"/>
        <n v="0.067377023"/>
        <n v="0.067201291"/>
        <n v="0.066800483"/>
        <n v="0.06655"/>
        <n v="0.066505516"/>
        <n v="0.06643418"/>
        <n v="0.066"/>
        <n v="0.0658"/>
        <n v="0.065787713"/>
        <n v="0.0651"/>
        <n v="0.065061763"/>
        <n v="0.0649"/>
        <n v="0.06454569"/>
        <n v="0.064475967"/>
        <n v="0.064"/>
        <n v="0.0638"/>
        <n v="0.063606319"/>
        <n v="0.063173623"/>
        <n v="0.063"/>
        <n v="0.062740927"/>
        <n v="0.06252557"/>
        <n v="0.062445228"/>
        <n v="0.062372701"/>
        <n v="0.062327082"/>
        <n v="0.062300175"/>
        <n v="0.06215"/>
        <n v="0.062"/>
        <n v="0.0616"/>
        <n v="0.06105"/>
        <n v="0.060577447"/>
        <n v="0.060559542"/>
        <n v="0.0605"/>
        <n v="0.06"/>
        <n v="0.05995"/>
        <n v="0.059712055"/>
        <n v="0.059443"/>
        <n v="0.0594"/>
        <n v="0.059153583"/>
        <n v="0.059094077"/>
        <n v="0.05889565"/>
        <n v="0.058878887"/>
        <n v="0.05885"/>
        <n v="0.058746382"/>
        <n v="0.058536585"/>
        <n v="0.058353608"/>
        <n v="0.0583"/>
        <n v="0.05816617"/>
        <n v="0.05775"/>
        <n v="0.057725324"/>
        <n v="0.057295854"/>
        <n v="0.0572"/>
        <n v="0.057078275"/>
        <n v="0.057005748"/>
        <n v="0.057"/>
        <n v="0.056715643"/>
        <n v="0.0566544"/>
        <n v="0.05665"/>
        <n v="0.056"/>
        <n v="0.055991803"/>
        <n v="0.05555"/>
        <n v="0.055377212"/>
        <n v="0.055213483"/>
        <n v="0.055080139"/>
        <n v="0.054902483"/>
        <n v="0.05429107"/>
        <n v="0.053953185"/>
        <n v="0.053279209"/>
        <n v="0.053221614"/>
        <n v="0.0532"/>
        <n v="0.053089323"/>
        <n v="0.053028038"/>
        <n v="0.052871743"/>
        <n v="0.052788918"/>
        <n v="0.052436585"/>
        <n v="0.0524"/>
        <n v="0.052364059"/>
        <n v="0.052356222"/>
        <n v="0.052001427"/>
        <n v="0.051058134"/>
        <n v="0.050768478"/>
        <n v="0.050625438"/>
        <n v="0.050513113"/>
        <n v="0.050188267"/>
        <n v="0.049970688"/>
        <n v="0.049904906"/>
        <n v="0.049760046"/>
        <n v="0.049753108"/>
        <n v="0.049680582"/>
        <n v="0.049671"/>
        <n v="0.049531369"/>
        <n v="0.049100371"/>
        <n v="0.048977439"/>
        <n v="0.04872543"/>
        <n v="0.048"/>
        <n v="0.047814675"/>
        <n v="0.04750479"/>
        <n v="0.047217229"/>
        <n v="0.046852053"/>
        <n v="0.046470744"/>
        <n v="0.046233214"/>
        <n v="0.046199315"/>
        <n v="0.045462661"/>
        <n v="0.044821313"/>
        <n v="0.044692107"/>
        <n v="0.044458681"/>
        <n v="0.044199265"/>
        <n v="0.044"/>
        <n v="0.043805944"/>
        <n v="0.043702301"/>
        <n v="0.043588365"/>
        <n v="0.043225733"/>
        <n v="0.04308068"/>
        <n v="0.042935627"/>
        <n v="0.042863101"/>
        <n v="0.042572995"/>
        <n v="0.042472474"/>
        <n v="0.041847731"/>
        <n v="0.041775205"/>
        <n v="0.041630152"/>
        <n v="0.041194994"/>
        <n v="0.040933323"/>
        <n v="0.04046973"/>
        <n v="0.040034571"/>
        <n v="0.04"/>
        <n v="0.03977569"/>
        <n v="0.039709563"/>
        <n v="0.03945436"/>
        <n v="0.039182241"/>
        <n v="0.038946675"/>
        <n v="0.038752232"/>
        <n v="0.03873427"/>
        <n v="0.038711907"/>
        <n v="0.038076358"/>
        <n v="0.03797405"/>
        <n v="0.037858779"/>
        <n v="0.037731355"/>
        <n v="0.037568674"/>
        <n v="0.037295446"/>
        <n v="0.037133515"/>
        <n v="0.037063627"/>
        <n v="0.037059308"/>
        <n v="0.036988463"/>
        <n v="0.03631306"/>
        <n v="0.036"/>
        <n v="0.035984852"/>
        <n v="0.03582804"/>
        <n v="0.035766032"/>
        <n v="0.035755514"/>
        <n v="0.035715158"/>
        <n v="0.035411"/>
        <n v="0.035392882"/>
        <n v="0.035175303"/>
        <n v="0.034450039"/>
        <n v="0.034405217"/>
        <n v="0.034377512"/>
        <n v="0.033681331"/>
        <n v="0.033488305"/>
        <n v="0.033442025"/>
        <n v="0.033144636"/>
        <n v="0.032941165"/>
        <n v="0.032564352"/>
        <n v="0.032555888"/>
        <n v="0.032419299"/>
        <n v="0.03220172"/>
        <n v="0.031888502"/>
        <n v="0.031823862"/>
        <n v="0.031782911"/>
        <n v="0.031631224"/>
        <n v="0.031554007"/>
        <n v="0.031426771"/>
        <n v="0.031411949"/>
        <n v="0.030968772"/>
        <n v="0.03060614"/>
        <n v="0.030461087"/>
        <n v="0.03037924"/>
        <n v="0.030316034"/>
        <n v="0.030164138"/>
        <n v="0.030098455"/>
        <n v="0.03"/>
        <n v="0.029659249"/>
        <n v="0.029518244"/>
        <n v="0.029508485"/>
        <n v="0.029445717"/>
        <n v="0.029415896"/>
        <n v="0.029228138"/>
        <n v="0.029010559"/>
        <n v="0.028895759"/>
        <n v="0.0285754"/>
        <n v="0.028367193"/>
        <n v="0.028350714"/>
        <n v="0.028"/>
        <n v="0.027850136"/>
        <n v="0.027504822"/>
        <n v="0.027403156"/>
        <n v="0.027277596"/>
        <n v="0.027186058"/>
        <n v="0.02704643"/>
        <n v="0.026617188"/>
        <n v="0.026399609"/>
        <n v="0.026083238"/>
        <n v="0.026047613"/>
        <n v="0.026044711"/>
        <n v="0.026"/>
        <n v="0.025891924"/>
        <n v="0.02582167"/>
        <n v="0.025819397"/>
        <n v="0.025674345"/>
        <n v="0.025601818"/>
        <n v="0.025529292"/>
        <n v="0.025511958"/>
        <n v="0.025509596"/>
        <n v="0.025477352"/>
        <n v="0.025094133"/>
        <n v="0.02509132"/>
        <n v="0.025004463"/>
        <n v="0.024983625"/>
        <n v="0.024658975"/>
        <n v="0.024620161"/>
        <n v="0.024533432"/>
        <n v="0.024489037"/>
        <n v="0.024317177"/>
        <n v="0.024"/>
        <n v="0.023933711"/>
        <n v="0.023776"/>
        <n v="0.023697727"/>
        <n v="0.023668698"/>
        <n v="0.023617467"/>
        <n v="0.023540412"/>
        <n v="0.023444848"/>
        <n v="0.023360884"/>
        <n v="0.023247387"/>
        <n v="0.023135921"/>
        <n v="0.02310143"/>
        <n v="0.023078079"/>
        <n v="0.022968004"/>
        <n v="0.022876999"/>
        <n v="0.02278443"/>
        <n v="0.022746962"/>
        <n v="0.022698036"/>
        <n v="0.02257722"/>
        <n v="0.022555709"/>
        <n v="0.022410657"/>
        <n v="0.02233813"/>
        <n v="0.022124012"/>
        <n v="0.022040288"/>
        <n v="0.021902972"/>
        <n v="0.021718382"/>
        <n v="0.021685393"/>
        <n v="0.021612866"/>
        <n v="0.021539919"/>
        <n v="0.021467814"/>
        <n v="0.021433321"/>
        <n v="0.021382862"/>
        <n v="0.021330594"/>
        <n v="0.021322761"/>
        <n v="0.021260025"/>
        <n v="0.021157889"/>
        <n v="0.021146942"/>
        <n v="0.021"/>
        <n v="0.020952459"/>
        <n v="0.02090735"/>
        <n v="0.020815076"/>
        <n v="0.02071778"/>
        <n v="0.020650836"/>
        <n v="0.020628617"/>
        <n v="0.020308229"/>
        <n v="0.020307861"/>
        <n v="0.020162338"/>
        <n v="0.020017286"/>
        <n v="0.020000742"/>
        <n v="0.019880282"/>
        <n v="0.019879236"/>
        <n v="0.019744917"/>
        <n v="0.019632842"/>
        <n v="0.019572061"/>
        <n v="0.01941795"/>
        <n v="0.019109729"/>
        <n v="0.019105332"/>
        <n v="0.018856863"/>
        <n v="0.018840035"/>
        <n v="0.018728666"/>
        <n v="0.018639284"/>
        <n v="0.018501774"/>
        <n v="0.018495513"/>
        <n v="0.018349178"/>
        <n v="0.018292318"/>
        <n v="0.018281073"/>
        <n v="0.018215114"/>
        <n v="0.018185064"/>
        <n v="0.018131599"/>
        <n v="0.018121944"/>
        <n v="0.018069481"/>
        <n v="0.018046308"/>
        <n v="0.018"/>
        <n v="0.017967981"/>
        <n v="0.017890376"/>
        <n v="0.017696441"/>
        <n v="0.017577585"/>
        <n v="0.01755368"/>
        <n v="0.017551388"/>
        <n v="0.017491566"/>
        <n v="0.017453038"/>
        <n v="0.017404496"/>
        <n v="0.017392265"/>
        <n v="0.017357045"/>
        <n v="0.017335979"/>
        <n v="0.017188756"/>
        <n v="0.017"/>
        <n v="0.016962567"/>
        <n v="0.016898651"/>
        <n v="0.01683"/>
        <n v="0.016798068"/>
        <n v="0.016788519"/>
        <n v="0.016655576"/>
        <n v="0.016568088"/>
        <n v="0.016536019"/>
        <n v="0.016412791"/>
        <n v="0.016390966"/>
        <n v="0.016302527"/>
        <n v="0.016273895"/>
        <n v="0.016120376"/>
        <n v="0.01610086"/>
        <n v="0.016"/>
        <n v="0.015875747"/>
        <n v="0.015810373"/>
        <n v="0.015757821"/>
        <n v="0.015528255"/>
        <n v="0.015452052"/>
        <n v="0.015448123"/>
        <n v="0.015446704"/>
        <n v="0.015372187"/>
        <n v="0.015295488"/>
        <n v="0.015253161"/>
        <n v="0.015230543"/>
        <n v="0.015207116"/>
        <n v="0.015121668"/>
        <n v="0.015085491"/>
        <n v="0.015012964"/>
        <n v="0.014910212"/>
        <n v="0.014901011"/>
        <n v="0.014795385"/>
        <n v="0.01472719"/>
        <n v="0.014720334"/>
        <n v="0.014666947"/>
        <n v="0.014595697"/>
        <n v="0.014573629"/>
        <n v="0.014529431"/>
        <n v="0.014524935"/>
        <n v="0.014432753"/>
        <n v="0.014360227"/>
        <n v="0.014345632"/>
        <n v="0.014222981"/>
        <n v="0.014215174"/>
        <n v="0.014178186"/>
        <n v="0.014162251"/>
        <n v="0.014106857"/>
        <n v="0.01410113"/>
        <n v="0.014070121"/>
        <n v="0.014"/>
        <n v="0.013997595"/>
        <n v="0.013987223"/>
        <n v="0.013957863"/>
        <n v="0.013869964"/>
        <n v="0.013852542"/>
        <n v="0.013831437"/>
        <n v="0.013767714"/>
        <n v="0.013754849"/>
        <n v="0.013747083"/>
        <n v="0.013707489"/>
        <n v="0.013634963"/>
        <n v="0.01348991"/>
        <n v="0.013369104"/>
        <n v="0.013344857"/>
        <n v="0.013199804"/>
        <n v="0.013127278"/>
        <n v="0.013096118"/>
        <n v="0.013028959"/>
        <n v="0.013"/>
        <n v="0.012906409"/>
        <n v="0.012895754"/>
        <n v="0.012791189"/>
        <n v="0.012692119"/>
        <n v="0.012545933"/>
        <n v="0.012482554"/>
        <n v="0.012402014"/>
        <n v="0.012215648"/>
        <n v="0.012213274"/>
        <n v="0.012039382"/>
        <n v="0.012"/>
        <n v="0.011866525"/>
        <n v="0.011835"/>
        <n v="0.011821803"/>
        <n v="0.01172771"/>
        <n v="0.01167675"/>
        <n v="0.011635401"/>
        <n v="0.011558304"/>
        <n v="0.011484288"/>
        <n v="0.011386644"/>
        <n v="0.01137823"/>
        <n v="0.011241592"/>
        <n v="0.011211554"/>
        <n v="0.011169065"/>
        <n v="0.011096539"/>
        <n v="0.011081331"/>
        <n v="0.011057444"/>
        <n v="0.011024012"/>
        <n v="0.010951486"/>
        <n v="0.01094487"/>
        <n v="0.010891707"/>
        <n v="0.010829497"/>
        <n v="0.010806433"/>
        <n v="0.010749222"/>
        <n v="0.010733907"/>
        <n v="0.010633639"/>
        <n v="0.010595112"/>
        <n v="0.010587476"/>
        <n v="0.010519228"/>
        <n v="0.010516328"/>
        <n v="0.010409665"/>
        <n v="0.010371275"/>
        <n v="0.010298748"/>
        <n v="0.010295775"/>
        <n v="0.01028689"/>
        <n v="0.010195636"/>
        <n v="0.010153696"/>
        <n v="0.010094252"/>
        <n v="0.010063851"/>
        <n v="0.010007524"/>
        <n v="0.01"/>
        <n v="0.009932006"/>
        <n v="0.00986359"/>
        <n v="0.009840169"/>
        <n v="0.009791064"/>
        <n v="0.009790624"/>
        <n v="0.009718537"/>
        <n v="0.009573484"/>
        <n v="0.009514811"/>
        <n v="0.009477809"/>
        <n v="0.00945155"/>
        <n v="0.009428432"/>
        <n v="0.009426322"/>
        <n v="0.009400754"/>
        <n v="0.009397463"/>
        <n v="0.009345007"/>
        <n v="0.009283379"/>
        <n v="0.009210852"/>
        <n v="0.009138326"/>
        <n v="0.0090658"/>
        <n v="0.008970944"/>
        <n v="0.008919861"/>
        <n v="0.00884822"/>
        <n v="0.008785182"/>
        <n v="0.008775694"/>
        <n v="0.00874148"/>
        <n v="0.008668728"/>
        <n v="0.008606641"/>
        <n v="0.008577878"/>
        <n v="0.008515566"/>
        <n v="0.008512925"/>
        <n v="0.008502634"/>
        <n v="0.008485588"/>
        <n v="0.00842449"/>
        <n v="0.008413062"/>
        <n v="0.008340536"/>
        <n v="0.0082769"/>
        <n v="0.008268009"/>
        <n v="0.008256949"/>
        <n v="0.008248108"/>
        <n v="0.008073058"/>
        <n v="0.00805043"/>
        <n v="0.008"/>
        <n v="0.007977904"/>
        <n v="0.007905377"/>
        <n v="0.007878252"/>
        <n v="0.007857671"/>
        <n v="0.007834737"/>
        <n v="0.007825433"/>
        <n v="0.007790511"/>
        <n v="0.007760324"/>
        <n v="0.007750188"/>
        <n v="0.007708105"/>
        <n v="0.007650348"/>
        <n v="0.007634877"/>
        <n v="0.007615272"/>
        <n v="0.007470219"/>
        <n v="0.007438506"/>
        <n v="0.007422659"/>
        <n v="0.007397693"/>
        <n v="0.007303136"/>
        <n v="0.007297066"/>
        <n v="0.007223476"/>
        <n v="0.007193071"/>
        <n v="0.007191638"/>
        <n v="0.007149432"/>
        <n v="0.007050565"/>
        <n v="0.007012819"/>
        <n v="0.006850277"/>
        <n v="0.006738149"/>
        <n v="0.006721969"/>
        <n v="0.006624245"/>
        <n v="0.006602979"/>
        <n v="0.006583898"/>
        <n v="0.006508653"/>
        <n v="0.006420828"/>
        <n v="0.006395595"/>
        <n v="0.006158692"/>
        <n v="0.006010988"/>
        <n v="0.006"/>
        <n v="0.005942135"/>
        <n v="0.005909408"/>
        <n v="0.005869074"/>
        <n v="0.005756208"/>
        <n v="0.005709842"/>
        <n v="0.005643341"/>
        <n v="0.005616215"/>
        <n v="0.005532"/>
        <n v="0.005530474"/>
        <n v="0.005519488"/>
        <n v="0.005507795"/>
        <n v="0.005492852"/>
        <n v="0.00514577"/>
        <n v="0.005009156"/>
        <n v="0.004872543"/>
        <n v="0.004781467"/>
        <n v="0.004759657"/>
        <n v="0.004665162"/>
        <n v="0.004566562"/>
        <n v="0.004532"/>
        <n v="0.004202408"/>
        <n v="0.004"/>
        <n v="0.003834022"/>
        <n v="0.003747178"/>
        <n v="0.003698053"/>
        <n v="0.003224229"/>
        <n v="0.003165727"/>
        <n v="0.00290984"/>
        <n v="0.002629797"/>
        <n v="0.002614748"/>
        <n v="0.002547028"/>
        <n v="0.002013014"/>
        <n v="0.001847807"/>
        <n v="0.001708226"/>
        <n v="0.001637095"/>
        <n v="0.001614476"/>
        <n v="0.001378619"/>
        <n v="0.001347986"/>
        <n v="0.001269804"/>
        <n v="0.00120015"/>
        <n v="0.001147479"/>
        <n v="0.001143717"/>
        <n v="0.001138074"/>
        <n v="0.001035626"/>
        <n v="0.001026082"/>
        <n v="0.001"/>
        <n v="9.96715E-4"/>
        <n v="9.33518E-4"/>
        <n v="7.9679E-4"/>
        <n v="7.48683E-4"/>
        <n v="6.36425E-4"/>
        <n v="6.18758E-4"/>
        <n v="4.70278E-4"/>
        <n v="4.58992E-4"/>
        <n v="4.06321E-4"/>
        <n v="3.81329E-4"/>
        <n v="3.62877E-4"/>
        <n v="3.35307E-4"/>
        <n v="2.81399E-4"/>
        <n v="2.52466E-4"/>
        <n v="1.32976E-4"/>
        <n v="1.25537E-4"/>
        <n v="9.93118E-5"/>
        <n v="9.93057E-5"/>
        <n v="7.50931E-5"/>
        <n v="6.84885E-5"/>
        <n v="6.01892E-5"/>
        <n v="5.21639E-5"/>
        <n v="4.98573E-5"/>
        <n v="4.55718E-5"/>
        <n v="4.29923E-5"/>
        <n v="3.98395E-5"/>
        <n v="3.726E-5"/>
        <n v="3.54603E-5"/>
        <n v="2.95214E-5"/>
        <n v="2.40431E-5"/>
        <n v="6.906E-6"/>
        <n v="6.71928E-6"/>
        <n v="2.15582E-7"/>
      </sharedItems>
    </cacheField>
    <cacheField name="Fossil Emissions (MtCO2/year)" numFmtId="0">
      <sharedItems containsSemiMixedTypes="0" containsString="0" containsNumber="1">
        <n v="0.0"/>
        <n v="0.7"/>
        <n v="2.722949914"/>
        <n v="32.55432346"/>
        <n v="0.182"/>
        <n v="0.079"/>
        <n v="0.00805"/>
        <n v="0.0102"/>
        <n v="0.374567735"/>
        <n v="0.0682"/>
        <n v="0.0118"/>
        <n v="0.0716"/>
        <n v="0.092915205"/>
        <n v="0.0582"/>
        <n v="0.0285"/>
        <n v="0.0655"/>
        <n v="0.086594442"/>
        <n v="1.42E-4"/>
        <n v="0.0162"/>
        <n v="0.0103"/>
        <n v="0.017"/>
        <n v="0.0126"/>
        <n v="14.37584085"/>
        <n v="0.072056689"/>
        <n v="0.078"/>
        <n v="0.067632156"/>
        <n v="0.0384"/>
        <n v="0.0537"/>
        <n v="0.06700008"/>
        <n v="0.0768"/>
        <n v="0.014"/>
        <n v="10.38770435"/>
        <n v="0.021"/>
        <n v="0.0114"/>
        <n v="0.158"/>
        <n v="0.052588742"/>
        <n v="0.050186852"/>
        <n v="0.0322"/>
        <n v="0.0252"/>
        <n v="8.449284523"/>
        <n v="0.011"/>
        <n v="0.372"/>
        <n v="0.0425"/>
        <n v="0.0179"/>
        <n v="0.041337785"/>
        <n v="0.00383"/>
        <n v="0.726149056"/>
        <n v="0.036913251"/>
        <n v="0.0885"/>
        <n v="6.819459905"/>
        <n v="0.00722"/>
        <n v="6.575787845"/>
        <n v="0.0158"/>
        <n v="0.0257"/>
        <n v="0.513"/>
        <n v="0.325"/>
        <n v="0.030908527"/>
        <n v="0.0743"/>
        <n v="0.036867766"/>
        <n v="0.00253"/>
        <n v="0.028885883"/>
        <n v="5.444270049"/>
        <n v="0.012"/>
        <n v="4.988960273"/>
        <n v="0.507737035"/>
        <n v="0.0462"/>
        <n v="4.60026907"/>
        <n v="0.338131184"/>
        <n v="0.024082104"/>
        <n v="0.465756543"/>
        <n v="0.256"/>
        <n v="0.288483856"/>
        <n v="0.0927"/>
        <n v="0.278"/>
        <n v="0.223"/>
        <n v="0.26055"/>
        <n v="0.0617"/>
        <n v="0.334"/>
        <n v="0.0035"/>
        <n v="0.283"/>
        <n v="0.205"/>
        <n v="0.115"/>
        <n v="0.0208"/>
        <n v="3.698858403"/>
        <n v="3.668158159"/>
        <n v="0.23445"/>
        <n v="3.284610619"/>
        <n v="0.139"/>
        <n v="0.0717"/>
        <n v="0.00343"/>
        <n v="0.2268"/>
        <n v="0.2232"/>
        <n v="3.474064771"/>
        <n v="0.2205"/>
        <n v="0.351161145"/>
        <n v="3.413102859"/>
        <n v="0.2169"/>
        <n v="0.342651586"/>
        <n v="3.33890497"/>
        <n v="1.32E-4"/>
        <n v="0.00708"/>
        <n v="0.2097"/>
        <n v="9.93E-4"/>
        <n v="0.0409"/>
        <n v="6.07E-5"/>
        <n v="0.227"/>
        <n v="5.42E-4"/>
        <n v="0.91"/>
        <n v="1.03"/>
        <n v="0.0634"/>
        <n v="0.105"/>
        <n v="2.977190265"/>
        <n v="0.189"/>
        <n v="0.0411"/>
        <n v="1.04"/>
        <n v="2.940091321"/>
        <n v="0.188"/>
        <n v="0.0289"/>
        <n v="0.00371"/>
        <n v="0.234"/>
        <n v="0.145"/>
        <n v="0.155"/>
        <n v="0.282517367"/>
        <n v="0.175111569"/>
        <n v="0.247"/>
        <n v="2.730311632"/>
        <n v="2.726772393"/>
        <n v="0.0661"/>
        <n v="2.66447236"/>
        <n v="0.156"/>
        <n v="0.16695"/>
        <n v="0.1647"/>
        <n v="0.131"/>
        <n v="0.322"/>
        <n v="2.87E-4"/>
        <n v="0.0107"/>
        <n v="0.186"/>
        <n v="0.16245"/>
        <n v="0.013336808"/>
        <n v="0.0449"/>
        <n v="0.1611"/>
        <n v="0.160169302"/>
        <n v="0.095"/>
        <n v="0.009"/>
        <n v="0.00677"/>
        <n v="0.585"/>
        <n v="0.00498484"/>
        <n v="2.374332423"/>
        <n v="2.366028752"/>
        <n v="0.1503"/>
        <n v="9.34E-5"/>
        <n v="0.0042"/>
        <n v="0.012262279"/>
        <n v="0.00147"/>
        <n v="0.016"/>
        <n v="0.00106"/>
        <n v="4.32E-4"/>
        <n v="2.252559777"/>
        <n v="0.0629"/>
        <n v="0.13995"/>
        <n v="0.00949"/>
        <n v="0.26"/>
        <n v="0.165"/>
        <n v="0.1341"/>
        <n v="0.0705"/>
        <n v="0.00674"/>
        <n v="0.0153"/>
        <n v="2.077540871"/>
        <n v="0.13095"/>
        <n v="2.021892454"/>
        <n v="0.00497"/>
        <n v="0.094"/>
        <n v="1.042208682"/>
        <n v="0.12825"/>
        <n v="0.379193"/>
        <n v="0.154"/>
        <n v="0.01036605"/>
        <n v="0.200825598"/>
        <n v="0.109"/>
        <n v="0.245"/>
        <n v="0.324"/>
        <n v="0.152"/>
        <n v="0.12285"/>
        <n v="1.36"/>
        <n v="0.0243"/>
        <n v="0.0485"/>
        <n v="0.118"/>
        <n v="0.00213"/>
        <n v="0.146"/>
        <n v="0.0374"/>
        <n v="0.217"/>
        <n v="0.11835"/>
        <n v="0.072"/>
        <n v="0.11720385"/>
        <n v="0.00579"/>
        <n v="0.11565"/>
        <n v="2.53E-4"/>
        <n v="0.00529"/>
        <n v="0.00912"/>
        <n v="1.776494069"/>
        <n v="0.1134"/>
        <n v="0.11295"/>
        <n v="0.465974"/>
        <n v="0.269"/>
        <n v="1.725100901"/>
        <n v="0.0113"/>
        <n v="2.815663533"/>
        <n v="1.716753698"/>
        <n v="8.64E-4"/>
        <n v="0.175864225"/>
        <n v="0.10935"/>
        <n v="1.706551429"/>
        <n v="1.705112806"/>
        <n v="0.00594"/>
        <n v="0.13"/>
        <n v="0.008849067"/>
        <n v="0.138"/>
        <n v="1.663816228"/>
        <n v="1.660177749"/>
        <n v="0.1053"/>
        <n v="1.645338172"/>
        <n v="0.168489273"/>
        <n v="1.641628277"/>
        <n v="1.595254597"/>
        <n v="1.594343694"/>
        <n v="0.10125"/>
        <n v="0.10035"/>
        <n v="0.0921"/>
        <n v="0.007297405"/>
        <n v="0.099"/>
        <n v="1.543146348"/>
        <n v="0.0256"/>
        <n v="1.539606181"/>
        <n v="1.19"/>
        <n v="0.0981"/>
        <n v="0.0553"/>
        <n v="1.12E-4"/>
        <n v="0.0972"/>
        <n v="1.493232501"/>
        <n v="1.483957765"/>
        <n v="1.47746539"/>
        <n v="1.474683029"/>
        <n v="0.09405"/>
        <n v="0.093856761"/>
        <n v="1.462362219"/>
        <n v="1.458741511"/>
        <n v="0.09315"/>
        <n v="0.127"/>
        <n v="0.0892"/>
        <n v="1.437584085"/>
        <n v="1.428309348"/>
        <n v="1.424809991"/>
        <n v="0.0909"/>
        <n v="1.419034612"/>
        <n v="0.090246915"/>
        <n v="1.409759876"/>
        <n v="0.09"/>
        <n v="0.164898552"/>
        <n v="0.08856414"/>
        <n v="0.08791695"/>
        <n v="0.087854707"/>
        <n v="0.0873"/>
        <n v="0.139556772"/>
        <n v="0.08685"/>
        <n v="1.344836724"/>
        <n v="0.08595"/>
        <n v="1.34112683"/>
        <n v="1.335561988"/>
        <n v="0.08505"/>
        <n v="0.136152948"/>
        <n v="0.0846"/>
        <n v="1.30773778"/>
        <n v="0.132749124"/>
        <n v="1.291839955"/>
        <n v="1.289081649"/>
        <n v="5.69E-4"/>
        <n v="0.0046"/>
        <n v="6.47E-4"/>
        <n v="0.514"/>
        <n v="0.129912605"/>
        <n v="0.081"/>
        <n v="1.2613641"/>
        <n v="0.0174"/>
        <n v="0.118494"/>
        <n v="1.231291895"/>
        <n v="0.0783"/>
        <n v="0.006447177"/>
        <n v="0.544348"/>
        <n v="0.783"/>
        <n v="0.124239565"/>
        <n v="0.0774"/>
        <n v="1.205715684"/>
        <n v="0.0633"/>
        <n v="0.0756"/>
        <n v="1.177891476"/>
        <n v="0.0855"/>
        <n v="1.159342004"/>
        <n v="0.118566526"/>
        <n v="0.117999222"/>
        <n v="1.140792532"/>
        <n v="1.211759704"/>
        <n v="0.0711"/>
        <n v="0.07065"/>
        <n v="1.103693587"/>
        <n v="1.10183864"/>
        <n v="0.0573"/>
        <n v="1.094418851"/>
        <n v="0.476623"/>
        <n v="0.0808"/>
        <n v="0.0680544"/>
        <n v="0.106"/>
        <n v="0.248"/>
        <n v="1.060490012"/>
        <n v="1.056244721"/>
        <n v="1.055440846"/>
        <n v="0.06705"/>
        <n v="0.0831"/>
        <n v="1.04139327"/>
        <n v="0.066023177"/>
        <n v="1.023003384"/>
        <n v="1.020220963"/>
        <n v="0.065258625"/>
        <n v="1.013465245"/>
        <n v="0.0648"/>
        <n v="1.005987316"/>
        <n v="0.997961597"/>
        <n v="0.993085182"/>
        <n v="0.511550762"/>
        <n v="0.565801"/>
        <n v="0.062673075"/>
        <n v="0.100412799"/>
        <n v="0.0535"/>
        <n v="0.06165"/>
        <n v="1.574862654"/>
        <n v="0.949883253"/>
        <n v="0.06075"/>
        <n v="0.946023075"/>
        <n v="9.2344E-4"/>
        <n v="0.0603"/>
        <n v="0.060112178"/>
        <n v="0.0600993"/>
        <n v="0.726819"/>
        <n v="0.923763709"/>
        <n v="0.058751303"/>
        <n v="0.918198867"/>
        <n v="0.0585"/>
        <n v="0.0417"/>
        <n v="0.0579"/>
        <n v="0.047"/>
        <n v="0.092470544"/>
        <n v="0.0576"/>
        <n v="0.057567192"/>
        <n v="0.05715"/>
        <n v="0.695958"/>
        <n v="0.091335936"/>
        <n v="0.888519712"/>
        <n v="0.886664764"/>
        <n v="0.883407754"/>
        <n v="0.370022519"/>
        <n v="0.0558"/>
        <n v="0.87083279"/>
        <n v="0.869520415"/>
        <n v="0.864405398"/>
        <n v="0.048159854"/>
        <n v="0.861622977"/>
        <n v="0.859375709"/>
        <n v="0.08758152"/>
        <n v="0.05445"/>
        <n v="0.850478074"/>
        <n v="0.84956582"/>
        <n v="0.054"/>
        <n v="0.0632"/>
        <n v="0.086253687"/>
        <n v="0.832015237"/>
        <n v="0.0531"/>
        <n v="0.825415661"/>
        <n v="0.824524033"/>
        <n v="0.213"/>
        <n v="0.0522"/>
        <n v="0.083393681"/>
        <n v="0.082826377"/>
        <n v="0.651"/>
        <n v="0.082259073"/>
        <n v="0.86847443"/>
        <n v="0.798554772"/>
        <n v="0.797627299"/>
        <n v="0.797043918"/>
        <n v="0.796699825"/>
        <n v="0.05085"/>
        <n v="0.125"/>
        <n v="0.0504"/>
        <n v="0.04995"/>
        <n v="0.079422553"/>
        <n v="0.774440458"/>
        <n v="0.0495"/>
        <n v="0.06"/>
        <n v="0.04905"/>
        <n v="0.078287945"/>
        <n v="0.106789"/>
        <n v="0.0486"/>
        <n v="1.239846417"/>
        <n v="1.000905923"/>
        <n v="0.04818735"/>
        <n v="0.752948113"/>
        <n v="0.04815"/>
        <n v="0.751253618"/>
        <n v="0.991463415"/>
        <n v="0.746230792"/>
        <n v="0.0477"/>
        <n v="0.74383383"/>
        <n v="0.04725"/>
        <n v="0.381274676"/>
        <n v="0.732704146"/>
        <n v="0.0468"/>
        <n v="0.729921725"/>
        <n v="0.728994252"/>
        <n v="0.717"/>
        <n v="0.725284357"/>
        <n v="0.0463536"/>
        <n v="0.04635"/>
        <n v="0.057"/>
        <n v="0.716027837"/>
        <n v="0.04545"/>
        <n v="0.045308628"/>
        <n v="0.706074617"/>
        <n v="0.932919861"/>
        <n v="0.702097517"/>
        <n v="0.07118054"/>
        <n v="0.689957815"/>
        <n v="1.116720791"/>
        <n v="0.069778386"/>
        <n v="0.0908"/>
        <n v="0.678910677"/>
        <n v="0.678126962"/>
        <n v="0.676128257"/>
        <n v="0.069211082"/>
        <n v="0.670563415"/>
        <n v="0.0856"/>
        <n v="0.669635941"/>
        <n v="0.068643778"/>
        <n v="0.664998573"/>
        <n v="0.066941866"/>
        <n v="0.649231522"/>
        <n v="0.066374562"/>
        <n v="0.645965887"/>
        <n v="0.641811733"/>
        <n v="0.639029312"/>
        <n v="0.638188094"/>
        <n v="0.065239954"/>
        <n v="0.636246892"/>
        <n v="0.635319418"/>
        <n v="0.090056"/>
        <n v="0.250468631"/>
        <n v="0.627899629"/>
        <n v="0.626327561"/>
        <n v="1.02127457"/>
        <n v="0.538"/>
        <n v="1.002185325"/>
        <n v="0.60749521"/>
        <n v="0.603817851"/>
        <n v="0.599147947"/>
        <n v="0.534842256"/>
        <n v="1.153766786"/>
        <n v="0.590800685"/>
        <n v="1.134537339"/>
        <n v="0.573178687"/>
        <n v="1.115307893"/>
        <n v="0.568541319"/>
        <n v="0.937800735"/>
        <n v="0.560194056"/>
        <n v="0.057297699"/>
        <n v="0.557411635"/>
        <n v="0.552774267"/>
        <n v="0.55091932"/>
        <n v="0.549064373"/>
        <n v="0.548136899"/>
        <n v="0.544427005"/>
        <n v="0.543141526"/>
        <n v="0.535152269"/>
        <n v="0.534224795"/>
        <n v="0.532369848"/>
        <n v="0.526805006"/>
        <n v="0.857953677"/>
        <n v="0.51753027"/>
        <n v="0.511965429"/>
        <n v="0.351"/>
        <n v="0.72116383"/>
        <n v="0.507809202"/>
        <n v="0.50454564"/>
        <n v="0.501065759"/>
        <n v="0.498053325"/>
        <n v="0.495566768"/>
        <n v="0.495337067"/>
        <n v="0.495051093"/>
        <n v="0.486923642"/>
        <n v="0.19202595"/>
        <n v="0.484141221"/>
        <n v="0.482511705"/>
        <n v="0.480431326"/>
        <n v="0.781704554"/>
        <n v="0.474866485"/>
        <n v="0.924936373"/>
        <n v="0.47391751"/>
        <n v="0.473011537"/>
        <n v="0.76111394"/>
        <n v="0.428"/>
        <n v="0.898015148"/>
        <n v="0.45817196"/>
        <n v="0.236233968"/>
        <n v="0.457244486"/>
        <n v="0.891284842"/>
        <n v="0.465404"/>
        <n v="0.452607118"/>
        <n v="0.449824697"/>
        <n v="0.440549961"/>
        <n v="0.858594783"/>
        <n v="0.439622488"/>
        <n v="0.170318669"/>
        <n v="0.701907695"/>
        <n v="0.834557975"/>
        <n v="0.423856364"/>
        <n v="0.822058835"/>
        <n v="0.416435648"/>
        <n v="0.812444112"/>
        <n v="0.414580701"/>
        <n v="0.41179828"/>
        <n v="0.540111498"/>
        <n v="0.794176138"/>
        <n v="0.406442513"/>
        <n v="0.789368776"/>
        <n v="0.534445993"/>
        <n v="0.207573229"/>
        <n v="0.436309097"/>
        <n v="0.396031228"/>
        <n v="0.39139386"/>
        <n v="0.389538913"/>
        <n v="0.15362076"/>
        <n v="0.387683966"/>
        <n v="0.632233862"/>
        <n v="0.384901545"/>
        <n v="0.917"/>
        <n v="0.37928495"/>
        <n v="0.377481756"/>
        <n v="0.618491515"/>
        <n v="0.376554283"/>
        <n v="0.408584104"/>
        <n v="0.373771862"/>
        <n v="0.370989441"/>
        <n v="0.721104241"/>
        <n v="0.3654246"/>
        <n v="7.511632807"/>
        <n v="0.362551286"/>
        <n v="0.468"/>
        <n v="0.356149864"/>
        <n v="0.576495178"/>
        <n v="0.350433844"/>
        <n v="0.680722404"/>
        <n v="0.569813942"/>
        <n v="0.67495357"/>
        <n v="0.340382812"/>
        <n v="0.337600391"/>
        <n v="0.650916762"/>
        <n v="0.545952387"/>
        <n v="0.649955289"/>
        <n v="0.331108076"/>
        <n v="0.33020967"/>
        <n v="0.330180603"/>
        <n v="0.328325655"/>
        <n v="0.327398182"/>
        <n v="0.326470708"/>
        <n v="0.326249042"/>
        <n v="0.168490404"/>
        <n v="0.431522648"/>
        <n v="0.320905867"/>
        <n v="0.52590868"/>
        <n v="0.623995537"/>
        <n v="0.165016375"/>
        <n v="0.315341025"/>
        <n v="0.522379839"/>
        <n v="0.313735568"/>
        <n v="0.513284963"/>
        <n v="0.509682823"/>
        <n v="0.111"/>
        <n v="0.306066289"/>
        <n v="0.237005"/>
        <n v="0.496699273"/>
        <n v="0.156331302"/>
        <n v="0.589382533"/>
        <n v="0.587459588"/>
        <n v="0.118555152"/>
        <n v="0.489639116"/>
        <n v="0.393752613"/>
        <n v="0.295864079"/>
        <n v="0.10589857"/>
        <n v="0.575921921"/>
        <n v="6.081927489"/>
        <n v="0.479497001"/>
        <n v="0.11521557"/>
        <n v="0.290890038"/>
        <n v="0.475745964"/>
        <n v="0.56342278"/>
        <n v="0.288444291"/>
        <n v="0.286589343"/>
        <n v="0.28566187"/>
        <n v="0.111875988"/>
        <n v="0.461959712"/>
        <n v="0.280097028"/>
        <n v="0.455212618"/>
        <n v="0.277314607"/>
        <n v="0.276387134"/>
        <n v="0.451472081"/>
        <n v="0.274532186"/>
        <n v="0.141566679"/>
        <n v="0.533617138"/>
        <n v="0.272777406"/>
        <n v="0.272677239"/>
        <n v="0.271874975"/>
        <n v="1.749713802"/>
        <n v="0.270428858"/>
        <n v="0.153"/>
        <n v="0.096047541"/>
        <n v="0.13809265"/>
        <n v="0.266184924"/>
        <n v="0.286763347"/>
        <n v="0.515349164"/>
        <n v="0.432371383"/>
        <n v="0.259703325"/>
        <n v="0.102692139"/>
        <n v="0.257837662"/>
        <n v="0.255982714"/>
        <n v="0.419211258"/>
        <n v="0.496119718"/>
        <n v="0.276120764"/>
        <n v="0.274255083"/>
        <n v="0.411500158"/>
        <n v="0.488427939"/>
        <n v="0.48458205"/>
        <n v="0.476890271"/>
        <n v="0.400443668"/>
        <n v="0.241143137"/>
        <n v="0.470159965"/>
        <n v="0.239503738"/>
        <n v="0.238360716"/>
        <n v="0.236602226"/>
        <n v="0.236522157"/>
        <n v="0.234650822"/>
        <n v="0.233923682"/>
        <n v="0.253922425"/>
        <n v="0.381784886"/>
        <n v="0.453814936"/>
        <n v="0.231868401"/>
        <n v="0.379832056"/>
        <n v="0.450930519"/>
        <n v="0.230777692"/>
        <n v="0.361"/>
        <n v="0.389"/>
        <n v="0.376605019"/>
        <n v="0.228783624"/>
        <n v="0.226303559"/>
        <n v="0.368422415"/>
        <n v="0.37244632"/>
        <n v="0.224448612"/>
        <n v="0.436508434"/>
        <n v="0.435546962"/>
        <n v="0.364794504"/>
        <n v="0.222413735"/>
        <n v="0.114642955"/>
        <n v="0.087664021"/>
        <n v="0.219811244"/>
        <n v="0.547"/>
        <n v="0.306"/>
        <n v="0.281"/>
        <n v="0.112037433"/>
        <n v="0.216101349"/>
        <n v="0.01377"/>
        <n v="0.419201932"/>
        <n v="0.356211481"/>
        <n v="0.231344424"/>
        <n v="0.109431912"/>
        <n v="0.211463981"/>
        <n v="0.409587209"/>
        <n v="0.209609034"/>
        <n v="0.341697473"/>
        <n v="0.275639105"/>
        <n v="0.337879624"/>
        <n v="0.20589914"/>
        <n v="0.268"/>
        <n v="0.332752253"/>
        <n v="0.219604627"/>
        <n v="0.393242179"/>
        <n v="0.329471745"/>
        <n v="0.197602128"/>
        <n v="0.197551877"/>
        <n v="0.214553296"/>
        <n v="0.196580813"/>
        <n v="0.381704512"/>
        <n v="0.100746839"/>
        <n v="0.194769457"/>
        <n v="0.318737884"/>
        <n v="0.099878332"/>
        <n v="0.192914509"/>
        <n v="0.191987036"/>
        <n v="0.372089788"/>
        <n v="0.312321989"/>
        <n v="0.189204615"/>
        <n v="0.09727281"/>
        <n v="0.249325666"/>
        <n v="0.307416053"/>
        <n v="0.096404303"/>
        <n v="0.202426371"/>
        <n v="0.185803569"/>
        <n v="0.362475065"/>
        <n v="0.184567247"/>
        <n v="0.183639773"/>
        <n v="0.300681368"/>
        <n v="0.301777019"/>
        <n v="0.181784826"/>
        <n v="0.353821814"/>
        <n v="0.296837749"/>
        <n v="0.093175523"/>
        <n v="0.35189887"/>
        <n v="0.179929879"/>
        <n v="0.16"/>
        <n v="0.179002405"/>
        <n v="0.178869777"/>
        <n v="3.696042137"/>
        <n v="0.346130036"/>
        <n v="0.177147458"/>
        <n v="0.345168563"/>
        <n v="0.191232286"/>
        <n v="0.175898151"/>
        <n v="0.288135917"/>
        <n v="0.175292511"/>
        <n v="0.174365037"/>
        <n v="0.17251009"/>
        <n v="0.333630896"/>
        <n v="0.170655143"/>
        <n v="0.168800196"/>
        <n v="0.167872722"/>
        <n v="0.181903882"/>
        <n v="0.180971041"/>
        <n v="0.388"/>
        <n v="0.165048231"/>
        <n v="0.270292246"/>
        <n v="0.319208811"/>
        <n v="0.162307881"/>
        <n v="0.262960067"/>
        <n v="0.159627946"/>
        <n v="0.158597986"/>
        <n v="0.256037352"/>
        <n v="0.304786726"/>
        <n v="0.153960618"/>
        <n v="0.478"/>
        <n v="0.296133475"/>
        <n v="0.590896"/>
        <n v="0.151178197"/>
        <n v="0.24581029"/>
        <n v="0.14932325"/>
        <n v="0.148794479"/>
        <n v="0.288441696"/>
        <n v="0.159515712"/>
        <n v="0.145613356"/>
        <n v="0.19271877"/>
        <n v="0.143758408"/>
        <n v="0.279788446"/>
        <n v="0.142830935"/>
        <n v="0.141903461"/>
        <n v="0.153918669"/>
        <n v="0.275942556"/>
        <n v="0.140975988"/>
        <n v="0.140048514"/>
        <n v="0.22940213"/>
        <n v="0.184478293"/>
        <n v="0.138488503"/>
        <n v="0.138193567"/>
        <n v="0.268250778"/>
        <n v="0.137266093"/>
        <n v="0.265366361"/>
        <n v="0.264404888"/>
        <n v="0.135393524"/>
        <n v="0.220480772"/>
        <n v="0.134483672"/>
        <n v="0.218184335"/>
        <n v="0.132628725"/>
        <n v="0.131701252"/>
        <n v="0.131663225"/>
        <n v="0.25671311"/>
        <n v="2.699804364"/>
        <n v="0.129846304"/>
        <n v="0.251905748"/>
        <n v="0.210936149"/>
        <n v="2.649992476"/>
        <n v="0.587"/>
        <n v="0.19"/>
        <n v="0.114309694"/>
        <n v="0.12613641"/>
        <n v="0.206247831"/>
        <n v="0.125208936"/>
        <n v="0.205209376"/>
        <n v="0.124281463"/>
        <n v="0.122426516"/>
        <n v="0.121676189"/>
        <n v="0.236522191"/>
        <n v="0.19810245"/>
        <n v="0.120571568"/>
        <n v="0.197573678"/>
        <n v="0.234599246"/>
        <n v="0.120175537"/>
        <n v="0.119504723"/>
        <n v="0.118716621"/>
        <n v="0.117789148"/>
        <n v="0.116861674"/>
        <n v="0.1159342"/>
        <n v="0.188029056"/>
        <n v="0.151080139"/>
        <n v="0.11315178"/>
        <n v="0.148799018"/>
        <n v="0.112224306"/>
        <n v="0.111786777"/>
        <n v="0.216331272"/>
        <n v="0.180393359"/>
        <n v="2.271422122"/>
        <n v="0.178484434"/>
        <n v="0.178429075"/>
        <n v="2.251497366"/>
        <n v="0.108514412"/>
        <n v="0.17657551"/>
        <n v="0.107586938"/>
        <n v="0.106659464"/>
        <n v="2.1917231"/>
        <n v="0.105731991"/>
        <n v="2.186440051"/>
        <n v="0.139702332"/>
        <n v="0.103238942"/>
        <n v="0.10294957"/>
        <n v="0.258"/>
        <n v="0.102022096"/>
        <n v="0.101094623"/>
        <n v="0.100747748"/>
        <n v="0.109142329"/>
        <n v="0.100191263"/>
        <n v="2.072174567"/>
        <n v="0.108209489"/>
        <n v="0.099239676"/>
        <n v="2.052249812"/>
        <n v="0.098571895"/>
        <n v="0.160349652"/>
        <n v="2.021715548"/>
        <n v="0.097384728"/>
        <n v="0.095529781"/>
        <n v="0.155909494"/>
        <n v="0.155577341"/>
        <n v="0.094602307"/>
        <n v="0.123696864"/>
        <n v="0.152944934"/>
        <n v="1.912776524"/>
        <n v="0.150765229"/>
        <n v="0.121808362"/>
        <n v="0.149850568"/>
        <n v="0.175949435"/>
        <n v="0.146987181"/>
        <n v="0.095149723"/>
        <n v="1.784261915"/>
        <n v="0.140891031"/>
        <n v="0.138842755"/>
        <n v="0.138397021"/>
        <n v="1.743416102"/>
        <n v="1.723491347"/>
        <n v="0.134579172"/>
        <n v="0.159604405"/>
        <n v="1.630821698"/>
        <n v="0.125989012"/>
        <n v="0.195"/>
        <n v="0.365"/>
        <n v="0.124545865"/>
        <n v="0.100090592"/>
        <n v="1.554130926"/>
        <n v="1.524243792"/>
        <n v="0.386038798"/>
        <n v="0.27119725"/>
        <n v="1.494356659"/>
        <n v="1.487173785"/>
        <n v="0.273534"/>
        <n v="1.464469526"/>
        <n v="1.461560512"/>
        <n v="0.115442205"/>
        <n v="1.454507148"/>
        <n v="0.10785423"/>
        <n v="0.104990844"/>
        <n v="0.102127457"/>
        <n v="0.100218533"/>
        <n v="0.006240343"/>
        <n v="1.235334838"/>
        <n v="0.020933438"/>
        <n v="0.096158"/>
        <n v="1.112797528"/>
        <n v="0.263"/>
        <n v="0.176"/>
        <n v="1.015248978"/>
        <n v="0.992252822"/>
        <n v="0.979244407"/>
        <n v="0.853775771"/>
        <n v="0.347834273"/>
        <n v="-0.00290984"/>
        <n v="0.696370203"/>
        <n v="0.692385252"/>
        <n v="0.674452972"/>
        <n v="0.533045986"/>
        <n v="6.445152257"/>
        <n v="5.958291774"/>
        <n v="0.172226345"/>
        <n v="0.427513334"/>
        <n v="4.808621381"/>
        <n v="4.701776884"/>
        <n v="0.336244196"/>
        <n v="0.31779985"/>
        <n v="0.303852521"/>
        <n v="0.302856283"/>
        <n v="0.301361926"/>
        <n v="0.274233686"/>
        <n v="3.578973918"/>
        <n v="0.136"/>
        <n v="0.175"/>
        <n v="0.659"/>
        <n v="0.006583285"/>
        <n v="0.012966482"/>
        <n v="2.77920321"/>
        <n v="0.198251317"/>
        <n v="0.004203575"/>
        <n v="0.163847242"/>
        <n v="0.124529722"/>
        <n v="0.121541008"/>
        <n v="0.107593679"/>
        <n v="0.002518671"/>
        <n v="0.001663455"/>
        <n v="0.002214693"/>
        <n v="0.003908601"/>
        <n v="0.001667534"/>
        <n v="0.001847024"/>
        <n v="0.437874463"/>
        <n v="0.346399588"/>
        <n v="0.346378394"/>
        <n v="0.261924907"/>
        <n v="0.238888011"/>
        <n v="0.209939811"/>
        <n v="0.181947836"/>
        <n v="0.173902143"/>
        <n v="0.158954428"/>
        <n v="0.149957008"/>
        <n v="0.138960161"/>
        <n v="0.12996274"/>
        <n v="4.9254E-4"/>
        <n v="0.102970479"/>
        <n v="3.33957E-4"/>
        <n v="4.5614E-5"/>
        <n v="7.38281E-4"/>
        <n v="2.99442E-6"/>
        <n v="0.198"/>
        <n v="0.191"/>
        <n v="0.116"/>
        <n v="0.652712344"/>
        <n v="0.126"/>
        <n v="0.985"/>
        <n v="0.104"/>
        <n v="0.725607"/>
        <n v="1.979482"/>
        <n v="0.509"/>
        <n v="0.376"/>
        <n v="1.38"/>
        <n v="0.962"/>
        <n v="0.94"/>
        <n v="0.82"/>
        <n v="0.747"/>
        <n v="0.734"/>
        <n v="0.707"/>
        <n v="0.655"/>
        <n v="0.636"/>
        <n v="0.579"/>
        <n v="0.565"/>
        <n v="0.45"/>
        <n v="0.395"/>
        <n v="0.348"/>
        <n v="0.17"/>
        <n v="1.016691026"/>
        <n v="0.69775721"/>
        <n v="0.422338"/>
        <n v="0.966"/>
        <n v="0.941"/>
        <n v="0.869"/>
        <n v="0.683"/>
        <n v="0.531"/>
        <n v="0.444"/>
        <n v="0.559"/>
        <n v="0.313"/>
        <n v="0.101646"/>
        <n v="0.261"/>
        <n v="0.172"/>
        <n v="0.132"/>
        <n v="0.11"/>
        <n v="0.005"/>
        <n v="0.00239"/>
        <n v="0.397"/>
        <n v="2.52"/>
        <n v="1.25"/>
        <n v="0.46"/>
        <n v="0.119106"/>
        <n v="1.82"/>
        <n v="1.02"/>
        <n v="0.505"/>
        <n v="0.121"/>
        <n v="0.129179"/>
        <n v="0.714"/>
        <n v="0.675"/>
        <n v="0.224"/>
        <n v="0.116493"/>
        <n v="6.550000128"/>
        <n v="0.232"/>
        <n v="2.16"/>
        <n v="0.853"/>
        <n v="0.486"/>
        <n v="0.168"/>
        <n v="0.236"/>
        <n v="0.226"/>
        <n v="0.101"/>
        <n v="0.00616"/>
        <n v="0.12"/>
        <n v="0.209732"/>
        <n v="0.412"/>
        <n v="0.4544"/>
        <n v="2.05"/>
        <n v="2.68"/>
        <n v="2.79"/>
        <n v="0.386"/>
        <n v="0.31"/>
        <n v="0.627"/>
        <n v="0.487"/>
        <n v="0.130545"/>
        <n v="0.083235"/>
        <n v="0.081235"/>
        <n v="0.011104"/>
        <n v="0.005717328"/>
        <n v="0.169"/>
        <n v="0.142"/>
        <n v="0.134"/>
        <n v="0.171"/>
        <n v="4.804E-6"/>
        <n v="0.342"/>
        <n v="0.429"/>
        <n v="0.299"/>
        <n v="0.298"/>
        <n v="0.296"/>
        <n v="0.289"/>
        <n v="0.272"/>
        <n v="0.237"/>
        <n v="0.202"/>
        <n v="0.196"/>
        <n v="0.185"/>
        <n v="0.183"/>
        <n v="0.178"/>
        <n v="0.133"/>
        <n v="0.107"/>
        <n v="0.147"/>
        <n v="0.144"/>
        <n v="0.752"/>
        <n v="0.215"/>
        <n v="0.214"/>
        <n v="0.742"/>
        <n v="0.549"/>
        <n v="0.244"/>
        <n v="0.303"/>
        <n v="0.279"/>
        <n v="1.827869"/>
        <n v="0.103263"/>
        <n v="0.068537"/>
        <n v="0.0386456"/>
        <n v="0.641"/>
        <n v="0.354"/>
        <n v="0.3"/>
        <n v="0.291"/>
        <n v="0.167"/>
        <n v="0.143"/>
        <n v="0.123"/>
        <n v="1.093446861"/>
        <n v="0.6"/>
        <n v="0.502"/>
        <n v="0.204"/>
        <n v="0.128"/>
        <n v="0.678"/>
        <n v="0.262"/>
        <n v="0.219"/>
        <n v="0.114"/>
        <n v="0.312"/>
        <n v="0.905"/>
        <n v="0.597"/>
        <n v="0.100947"/>
        <n v="0.00768"/>
        <n v="0.1"/>
        <n v="0.266942"/>
        <n v="0.14782"/>
        <n v="0.27474"/>
        <n v="0.21"/>
        <n v="0.137"/>
        <n v="0.119"/>
        <n v="0.102"/>
        <n v="0.11341"/>
        <n v="0.1318205"/>
        <n v="0.121712"/>
        <n v="0.115035"/>
        <n v="0.108998"/>
        <n v="0.107243"/>
        <n v="0.100095"/>
        <n v="0.307"/>
        <n v="0.2"/>
        <n v="0.135"/>
        <n v="0.117"/>
        <n v="0.108"/>
        <n v="0.149"/>
        <n v="0.141"/>
        <n v="0.0219"/>
        <n v="0.007332972"/>
        <n v="0.005954154"/>
        <n v="0.216"/>
        <n v="0.162"/>
        <n v="0.143966"/>
        <n v="0.754"/>
        <n v="0.209"/>
        <n v="0.163"/>
        <n v="0.148"/>
        <n v="0.103"/>
        <n v="0.011399766"/>
        <n v="1.09157E-5"/>
        <n v="7.396E-6"/>
        <n v="5.34E-6"/>
        <n v="5.22683E-6"/>
        <n v="2.42199E-4"/>
        <n v="5.7043E-5"/>
        <n v="1.5E-5"/>
        <n v="1.59936E-6"/>
        <n v="0.218"/>
        <n v="2.74"/>
        <n v="2.25"/>
        <n v="0.84"/>
        <n v="0.748"/>
        <n v="0.67"/>
        <n v="0.381"/>
        <n v="0.364"/>
        <n v="0.166"/>
        <n v="0.446"/>
        <n v="6.98E-4"/>
        <n v="0.14"/>
        <n v="0.01559431"/>
        <n v="0.682"/>
        <n v="0.242"/>
        <n v="0.174"/>
        <n v="1.55"/>
        <n v="0.975"/>
        <n v="4.24"/>
        <n v="6.43"/>
        <n v="1.472768"/>
        <n v="0.442708155"/>
        <n v="0.024083"/>
        <n v="0.51401"/>
        <n v="0.414983"/>
        <n v="2.57"/>
        <n v="3.55"/>
        <n v="3.08"/>
        <n v="1.99"/>
        <n v="1.91"/>
        <n v="1.87"/>
        <n v="1.39"/>
        <n v="1.11"/>
        <n v="1.07"/>
        <n v="1.01"/>
        <n v="1.0"/>
        <n v="0.96"/>
        <n v="0.765"/>
        <n v="0.679"/>
        <n v="0.405"/>
        <n v="0.384"/>
        <n v="0.308081"/>
        <n v="4.18"/>
        <n v="2.67"/>
        <n v="1.94"/>
        <n v="1.59"/>
        <n v="0.233"/>
        <n v="1.08"/>
        <n v="0.882"/>
        <n v="0.426"/>
        <n v="0.569"/>
        <n v="0.112"/>
        <n v="3.2"/>
        <n v="2.12"/>
        <n v="1.34"/>
        <n v="0.494"/>
        <n v="0.345"/>
        <n v="0.297"/>
        <n v="2.36"/>
        <n v="1.21"/>
        <n v="0.997"/>
        <n v="0.33"/>
        <n v="0.069091"/>
        <n v="0.197"/>
        <n v="0.184"/>
        <n v="0.66"/>
        <n v="0.336"/>
        <n v="0.32"/>
        <n v="0.228"/>
        <n v="1.933E-4"/>
        <n v="0.36855471"/>
        <n v="0.169962208"/>
        <n v="0.512"/>
        <n v="0.398"/>
        <n v="2.2"/>
        <n v="1.4"/>
        <n v="0.976"/>
        <n v="0.28"/>
        <n v="0.12645"/>
        <n v="0.333"/>
        <n v="0.113"/>
        <n v="0.222"/>
        <n v="4.57E-4"/>
        <n v="2.69"/>
        <n v="0.563"/>
        <n v="0.47"/>
        <n v="0.211"/>
        <n v="0.123149"/>
        <n v="6.05"/>
        <n v="0.339"/>
        <n v="0.203"/>
        <n v="0.201"/>
        <n v="0.110904"/>
        <n v="0.622"/>
        <n v="0.24"/>
        <n v="0.324402918"/>
        <n v="0.306711708"/>
        <n v="0.568"/>
        <n v="1.431000064"/>
        <n v="0.968"/>
        <n v="0.877"/>
        <n v="0.591"/>
        <n v="0.851"/>
        <n v="0.161"/>
        <n v="0.488"/>
        <n v="0.0312"/>
        <n v="0.68"/>
        <n v="0.522"/>
        <n v="0.25"/>
        <n v="0.432"/>
        <n v="1.09"/>
        <n v="2.19"/>
        <n v="1.86"/>
        <n v="1.76"/>
        <n v="0.634"/>
        <n v="0.81000989"/>
        <n v="0.42016061"/>
        <n v="0.329377"/>
        <n v="0.32049948"/>
        <n v="0.17026419"/>
        <n v="0.119409"/>
        <n v="0.10940096"/>
        <n v="3.49"/>
        <n v="3.35"/>
        <n v="2.37"/>
        <n v="0.319"/>
        <n v="0.287"/>
        <n v="0.528"/>
        <n v="0.328"/>
        <n v="0.309"/>
        <n v="0.34"/>
        <n v="0.206"/>
        <n v="0.241106"/>
        <n v="0.20351"/>
        <n v="0.168092"/>
        <n v="0.126464028"/>
        <n v="0.129"/>
        <n v="0.331"/>
        <n v="0.001843"/>
        <n v="9.29073E-4"/>
        <n v="7.39E-5"/>
        <n v="0.586145132"/>
        <n v="0.034387"/>
        <n v="1.4E-4"/>
        <n v="0.506"/>
        <n v="0.424"/>
        <n v="0.385"/>
        <n v="0.362"/>
        <n v="0.286"/>
        <n v="0.238"/>
        <n v="0.23"/>
        <n v="0.15"/>
        <n v="0.284"/>
        <n v="0.00637461"/>
        <n v="0.004120406"/>
        <n v="0.0031"/>
        <n v="0.001815425"/>
        <n v="0.00135587"/>
        <n v="6.92E-4"/>
        <n v="0.199"/>
        <n v="0.00856"/>
        <n v="0.00164"/>
        <n v="0.00124"/>
        <n v="0.106786"/>
        <n v="2.843953"/>
        <n v="2.391993"/>
        <n v="2.18"/>
        <n v="7.56"/>
        <n v="4.25"/>
        <n v="3.99"/>
        <n v="1.58"/>
        <n v="1.26"/>
        <n v="0.758"/>
        <n v="0.517"/>
        <n v="0.476"/>
        <n v="0.164"/>
        <n v="0.124"/>
        <n v="5.82"/>
        <n v="3.22"/>
        <n v="1.63"/>
        <n v="1.56"/>
        <n v="0.41598419"/>
        <n v="1.74"/>
        <n v="0.746"/>
        <n v="6.673429"/>
        <n v="6.37728"/>
        <n v="4.429287"/>
        <n v="0.752943"/>
        <n v="0.677168"/>
        <n v="0.418558"/>
        <n v="0.250241"/>
        <n v="0.242322"/>
        <n v="0.174516808"/>
        <n v="0.159738"/>
        <n v="0.129365"/>
        <n v="1.95"/>
        <n v="1.13"/>
        <n v="4.554399771"/>
        <n v="3.729125353"/>
        <n v="3.435525451"/>
        <n v="3.264758"/>
        <n v="2.931880006"/>
        <n v="2.744308902"/>
        <n v="2.242402097"/>
        <n v="1.649122"/>
        <n v="1.545462"/>
        <n v="1.455373"/>
        <n v="1.25670707"/>
        <n v="0.753284806"/>
        <n v="0.429086769"/>
        <n v="0.415770636"/>
        <n v="0.399137"/>
        <n v="0.397481082"/>
        <n v="0.376213581"/>
        <n v="0.365548"/>
        <n v="0.28747"/>
        <n v="0.14801"/>
        <n v="0.139341891"/>
        <n v="0.12548"/>
        <n v="0.061991"/>
        <n v="1.322885"/>
        <n v="0.99526493"/>
        <n v="0.893934801"/>
        <n v="0.501345386"/>
        <n v="0.268149"/>
        <n v="0.231"/>
        <n v="0.162358173"/>
        <n v="0.088553252"/>
        <n v="0.065"/>
        <n v="0.061540756"/>
        <n v="0.028760364"/>
        <n v="0.025177"/>
        <n v="0.017246"/>
        <n v="0.015820517"/>
        <n v="0.012391"/>
        <n v="0.011416"/>
        <n v="0.010372206"/>
        <n v="0.009500277"/>
        <n v="0.008966332"/>
        <n v="0.00783431"/>
        <n v="0.005849114"/>
        <n v="0.004535279"/>
        <n v="0.003"/>
        <n v="0.001577211"/>
        <n v="2.8609E-4"/>
        <n v="3.85"/>
        <n v="0.56"/>
        <n v="1.43"/>
        <n v="1.29"/>
        <n v="0.308"/>
        <n v="24.2"/>
        <n v="19.1"/>
        <n v="17.0"/>
        <n v="15.5"/>
        <n v="15.0"/>
        <n v="11.9"/>
        <n v="9.64"/>
        <n v="5.97"/>
        <n v="4.77"/>
        <n v="4.39"/>
        <n v="3.94"/>
        <n v="3.82"/>
        <n v="3.11"/>
        <n v="2.86"/>
        <n v="2.78"/>
        <n v="2.47"/>
        <n v="2.08"/>
        <n v="1.98"/>
        <n v="1.81"/>
        <n v="1.7"/>
        <n v="1.69"/>
        <n v="1.66"/>
        <n v="1.64"/>
        <n v="1.54"/>
        <n v="1.41"/>
        <n v="1.37"/>
        <n v="1.27"/>
        <n v="1.15"/>
        <n v="0.974"/>
        <n v="0.973"/>
        <n v="0.916"/>
        <n v="0.854"/>
        <n v="0.795"/>
        <n v="0.775"/>
        <n v="0.764"/>
        <n v="0.668"/>
        <n v="0.667"/>
        <n v="0.616"/>
        <n v="0.611"/>
        <n v="0.545"/>
        <n v="0.527"/>
        <n v="0.453"/>
        <n v="0.403"/>
        <n v="0.396"/>
        <n v="0.377"/>
        <n v="0.359"/>
        <n v="0.357"/>
        <n v="0.311"/>
        <n v="0.293"/>
        <n v="0.252"/>
        <n v="0.239"/>
        <n v="0.221"/>
        <n v="0.179"/>
        <n v="0.157"/>
        <n v="2.649234"/>
        <n v="0.937719474"/>
        <n v="0.830163"/>
        <n v="0.735149"/>
        <n v="0.705157"/>
        <n v="0.68054738"/>
        <n v="0.655786"/>
        <n v="0.64932"/>
        <n v="0.41298298"/>
        <n v="0.302659"/>
        <n v="0.297905373"/>
        <n v="6.0"/>
        <n v="4.27"/>
        <n v="3.91"/>
        <n v="3.46"/>
        <n v="2.49"/>
        <n v="1.22"/>
        <n v="1.2"/>
        <n v="1.05"/>
        <n v="0.993"/>
        <n v="0.815"/>
        <n v="0.694"/>
        <n v="0.629"/>
        <n v="0.406"/>
        <n v="0.375"/>
        <n v="0.346"/>
        <n v="0.326"/>
        <n v="3.44"/>
        <n v="2.43"/>
        <n v="0.907"/>
        <n v="0.712"/>
        <n v="0.341"/>
        <n v="2.660753"/>
        <n v="1.57"/>
        <n v="4.53"/>
        <n v="4.28"/>
        <n v="3.42"/>
        <n v="3.36"/>
        <n v="2.77"/>
        <n v="2.44"/>
        <n v="2.39"/>
        <n v="2.38"/>
        <n v="1.71"/>
        <n v="1.49"/>
        <n v="1.28"/>
        <n v="1.23"/>
        <n v="1.14"/>
        <n v="0.934"/>
        <n v="0.904"/>
        <n v="0.886"/>
        <n v="0.885"/>
        <n v="0.803"/>
        <n v="0.799"/>
        <n v="0.791"/>
        <n v="0.777"/>
        <n v="0.729"/>
        <n v="0.716"/>
        <n v="0.685"/>
        <n v="0.645"/>
        <n v="0.554"/>
        <n v="0.427"/>
        <n v="0.413"/>
        <n v="0.409"/>
        <n v="0.392"/>
        <n v="0.355"/>
        <n v="0.337"/>
        <n v="0.275"/>
        <n v="0.266"/>
        <n v="0.265"/>
        <n v="0.259"/>
        <n v="0.241"/>
        <n v="0.208"/>
        <n v="0.192"/>
        <n v="0.181"/>
        <n v="0.173"/>
        <n v="0.159"/>
        <n v="0.151"/>
        <n v="0.122"/>
        <n v="0.225"/>
        <n v="0.101571"/>
        <n v="0.7158558"/>
        <n v="0.172764"/>
        <n v="1.06"/>
        <n v="0.902"/>
        <n v="0.874"/>
        <n v="0.824"/>
        <n v="0.691"/>
        <n v="0.605"/>
        <n v="0.474"/>
        <n v="0.437"/>
        <n v="0.399"/>
        <n v="0.379"/>
        <n v="0.373"/>
        <n v="0.314"/>
        <n v="0.29"/>
        <n v="0.267"/>
        <n v="0.194"/>
        <n v="0.007886"/>
        <n v="0.0117"/>
        <n v="0.110928"/>
        <n v="0.361016"/>
        <n v="0.296932452"/>
        <n v="0.14723"/>
        <n v="0.884"/>
        <n v="0.847"/>
        <n v="0.822"/>
        <n v="0.768"/>
        <n v="0.59"/>
        <n v="0.458"/>
        <n v="0.411"/>
        <n v="0.302"/>
        <n v="0.288"/>
        <n v="0.957"/>
        <n v="1.18"/>
        <n v="0.394"/>
        <n v="0.55525"/>
        <n v="0.250888883"/>
        <n v="0.22013"/>
        <n v="0.19108143"/>
        <n v="0.189511"/>
        <n v="0.15285428"/>
        <n v="0.113663"/>
        <n v="0.080924663"/>
        <n v="0.019385"/>
        <n v="0.010761"/>
        <n v="0.736"/>
        <n v="0.696"/>
        <n v="0.631"/>
        <n v="0.613"/>
        <n v="0.498"/>
        <n v="0.492"/>
        <n v="0.439"/>
        <n v="0.42"/>
        <n v="0.417"/>
        <n v="0.415"/>
        <n v="0.358"/>
        <n v="0.229"/>
        <n v="0.193"/>
        <n v="0.187"/>
        <n v="0.919853438"/>
        <n v="0.319734576"/>
        <n v="1.61"/>
        <n v="1.24"/>
        <n v="0.958"/>
        <n v="0.595"/>
        <n v="0.366"/>
        <n v="0.327"/>
        <n v="0.318"/>
        <n v="0.654"/>
        <n v="0.371"/>
        <n v="0.323"/>
        <n v="0.274"/>
        <n v="0.249"/>
        <n v="0.207"/>
      </sharedItems>
    </cacheField>
    <cacheField name="Preferred Labelling of sector" numFmtId="0">
      <sharedItems>
        <s v="Bioethanol"/>
        <s v="Biogas upgrading"/>
        <s v="Biomass Power"/>
        <s v="Waste management"/>
        <s v="Paper, pulp and primary wood products"/>
        <s v="Fossil Power or Unknown Power"/>
        <s v="Iron, steel, and other metals"/>
        <s v="Chemicals"/>
        <s v="Food and drinks"/>
        <s v="Cement &amp; lime"/>
        <s v="Refining"/>
        <s v="Other"/>
        <s v="Fuel manufacture"/>
        <s v="Glass"/>
        <s v="Agriculture"/>
        <s v="Mining"/>
      </sharedItems>
    </cacheField>
    <cacheField name="Capture category" numFmtId="0">
      <sharedItems>
        <s v="Ethanol"/>
        <s v="Biogas upgrading"/>
        <s v="Other sectors"/>
      </sharedItems>
    </cacheField>
    <cacheField name="Feasible capture" numFmtId="0">
      <sharedItems>
        <b v="1"/>
        <b v="0"/>
      </sharedItems>
    </cacheField>
    <cacheField name="Capture rate" numFmtId="0">
      <sharedItems containsSemiMixedTypes="0" containsString="0" containsNumber="1">
        <n v="0.99"/>
        <n v="0.95"/>
      </sharedItems>
    </cacheField>
    <cacheField name="Accessible biogenic (MtCO2/yr)" numFmtId="0">
      <sharedItems containsSemiMixedTypes="0" containsString="0" containsNumber="1">
        <n v="0.346615089876"/>
        <n v="0.279303053832"/>
        <n v="0.240942098529"/>
        <n v="0.214170754248"/>
        <n v="0.201098198763"/>
        <n v="0.160628065686"/>
        <n v="0.124373649906"/>
        <n v="0.111721221513"/>
        <n v="0.0949311868329"/>
        <n v="0.0837909161594999"/>
        <n v="0.0776368984248"/>
        <n v="0.0558606107762999"/>
        <n v="0.0502745496957"/>
        <n v="0.0455112852777"/>
        <n v="0.044688488625"/>
        <n v="0.0402196397625"/>
        <n v="0.0307233359235"/>
        <n v="0.0279303053832"/>
        <n v="0.0234516975957"/>
        <n v="0.0223442443125"/>
        <n v="0.0167581832319"/>
        <n v="0.0160628065686"/>
        <n v="0.0117307282653"/>
        <n v="0.00837909161595"/>
        <n v="0.00558606107763"/>
        <n v="0.0053542688562"/>
        <n v="0.0"/>
        <n v="0.12167391079800001"/>
        <n v="0.114069291336"/>
        <n v="0.0988600524912"/>
        <n v="0.950125248864"/>
        <n v="0.0608369553792"/>
        <n v="0.22053396321000002"/>
        <n v="1.60082790912"/>
        <n v="1.73224598976"/>
        <n v="0.0152092388448"/>
        <n v="1.39737028266"/>
        <n v="0.038023097112000005"/>
        <n v="0.022813858267199998"/>
        <n v="0.47805043968"/>
        <n v="0.14286564864"/>
        <n v="0.077271084"/>
        <n v="0.455075170704"/>
        <n v="0.080041395456"/>
        <n v="1.37588319792"/>
        <n v="11.685"/>
        <n v="3.16164739929999"/>
        <n v="2.945"/>
        <n v="2.41839271109999"/>
        <n v="2.06909999999999"/>
        <n v="1.81545"/>
        <n v="1.7403525"/>
        <n v="1.71931"/>
        <n v="1.4129974435"/>
        <n v="1.37920999999999"/>
        <n v="1.36628999999999"/>
        <n v="1.34748"/>
        <n v="1.30823055525"/>
        <n v="1.24621"/>
        <n v="1.245925"/>
        <n v="1.239275"/>
        <n v="1.2192352801"/>
        <n v="1.21586509999999"/>
        <n v="1.12460999999999"/>
        <n v="1.120715"/>
        <n v="1.11435"/>
        <n v="1.07103"/>
        <n v="1.06795119725"/>
        <n v="1.01454614545"/>
        <n v="0.9994"/>
        <n v="0.952249451799999"/>
        <n v="0.95152"/>
        <n v="0.946484999999999"/>
        <n v="0.943349924"/>
        <n v="0.934039999999999"/>
        <n v="0.925299999999999"/>
        <n v="0.77168086465"/>
        <n v="0.76"/>
        <n v="0.747269999999999"/>
        <n v="0.74385"/>
        <n v="0.7404406951"/>
        <n v="0.706622490599999"/>
        <n v="0.668609999999999"/>
        <n v="0.664809999999999"/>
        <n v="0.62767970315"/>
        <n v="0.61085"/>
        <n v="0.6061"/>
        <n v="0.594224999999999"/>
        <n v="0.586244999999999"/>
        <n v="0.58202910425"/>
        <n v="0.5293115"/>
        <n v="0.5261583968"/>
        <n v="0.519732411549999"/>
        <n v="0.515374999999999"/>
        <n v="0.506603436249999"/>
        <n v="0.503291"/>
        <n v="0.488501547249999"/>
        <n v="0.47994"/>
        <n v="0.476234999999999"/>
        <n v="0.453149999999999"/>
        <n v="0.446499999999999"/>
        <n v="0.43518689935"/>
        <n v="0.418664999999999"/>
        <n v="0.4136093983"/>
        <n v="0.4089465"/>
        <n v="0.40670841115"/>
        <n v="0.40444345345"/>
        <n v="0.3743"/>
        <n v="0.370619440649999"/>
        <n v="0.36789981675"/>
        <n v="0.367459999999999"/>
        <n v="0.341744383499999"/>
        <n v="0.3391211086"/>
        <n v="0.3390720012"/>
        <n v="0.337481284149999"/>
        <n v="0.33725"/>
        <n v="0.334961811"/>
        <n v="0.309034999999999"/>
        <n v="0.30495"/>
        <n v="0.3025275"/>
        <n v="0.302385"/>
        <n v="0.2964"/>
        <n v="0.293075"/>
        <n v="0.28785"/>
        <n v="0.285"/>
        <n v="0.28025"/>
        <n v="0.27569"/>
        <n v="0.27478046715"/>
        <n v="0.27249980975"/>
        <n v="0.2722225"/>
        <n v="0.271119911949999"/>
        <n v="0.27075"/>
        <n v="0.270084999999999"/>
        <n v="0.2684415"/>
        <n v="0.263339999999999"/>
        <n v="0.25916"/>
        <n v="0.258081017549999"/>
        <n v="0.256025"/>
        <n v="0.25444691225"/>
        <n v="0.25355228395"/>
        <n v="0.251845"/>
        <n v="0.248280993299999"/>
        <n v="0.2480402785"/>
        <n v="0.246874599999999"/>
        <n v="0.245023999999999"/>
        <n v="0.243484999999999"/>
        <n v="0.239406649999999"/>
        <n v="0.233795"/>
        <n v="0.233642334999999"/>
        <n v="0.230849999999999"/>
        <n v="0.2303351"/>
        <n v="0.227999999999999"/>
        <n v="0.22762"/>
        <n v="0.2223"/>
        <n v="0.221169248249999"/>
        <n v="0.21945"/>
        <n v="0.219355"/>
        <n v="0.2185"/>
        <n v="0.218413245049999"/>
        <n v="0.21755"/>
        <n v="0.213844999999999"/>
        <n v="0.212125499999999"/>
        <n v="0.20995"/>
        <n v="0.208049999999999"/>
        <n v="0.2052"/>
        <n v="0.20470850135"/>
        <n v="0.2033239875"/>
        <n v="0.203299999999999"/>
        <n v="0.202829149599999"/>
        <n v="0.20256622665"/>
        <n v="0.201304999999999"/>
        <n v="0.20045"/>
        <n v="0.197938087899999"/>
        <n v="0.194749999999999"/>
        <n v="0.1938475"/>
        <n v="0.191235"/>
        <n v="0.19095"/>
        <n v="0.19"/>
        <n v="0.18972735"/>
        <n v="0.189335"/>
        <n v="0.18905"/>
        <n v="0.1886225"/>
        <n v="0.1877800324"/>
        <n v="0.187245"/>
        <n v="0.187054999999999"/>
        <n v="0.185974355999999"/>
        <n v="0.1843"/>
        <n v="0.1835685"/>
        <n v="0.1824"/>
        <n v="0.18129744425"/>
        <n v="0.17638419815"/>
        <n v="0.1757673356"/>
        <n v="0.174515"/>
        <n v="0.17281127"/>
        <n v="0.172709999999999"/>
        <n v="0.172650834949999"/>
        <n v="0.172453499999999"/>
        <n v="0.17195"/>
        <n v="0.169992999999999"/>
        <n v="0.1686896"/>
        <n v="0.16733796185"/>
        <n v="0.167295"/>
        <n v="0.1624975"/>
        <n v="0.16245"/>
        <n v="0.161984499999999"/>
        <n v="0.16055"/>
        <n v="0.15675"/>
        <n v="0.155704999999999"/>
        <n v="0.155325"/>
        <n v="0.155096999999999"/>
        <n v="0.154565"/>
        <n v="0.15433617255"/>
        <n v="0.1520475"/>
        <n v="0.150202168699999"/>
        <n v="0.1501285"/>
        <n v="0.150099999999999"/>
        <n v="0.1499017521"/>
        <n v="0.1489125"/>
        <n v="0.1488023"/>
        <n v="0.146299999999999"/>
        <n v="0.1459522525"/>
        <n v="0.145515681899999"/>
        <n v="0.145349999999999"/>
        <n v="0.1444"/>
        <n v="0.1426425"/>
        <n v="0.1425"/>
        <n v="0.142214999999999"/>
        <n v="0.142024999999999"/>
        <n v="0.140599999999999"/>
        <n v="0.1404765"/>
        <n v="0.13965"/>
        <n v="0.13927"/>
        <n v="0.137749999999999"/>
        <n v="0.1374175"/>
        <n v="0.136799999999999"/>
        <n v="0.1360866925"/>
        <n v="0.135099499999999"/>
        <n v="0.1342825"/>
        <n v="0.13370965"/>
        <n v="0.1336745"/>
        <n v="0.132886"/>
        <n v="0.13197203445"/>
        <n v="0.131669999999999"/>
        <n v="0.1311475"/>
        <n v="0.130131"/>
        <n v="0.12825"/>
        <n v="0.12815414405"/>
        <n v="0.127964999999999"/>
        <n v="0.127619643649999"/>
        <n v="0.1275340477"/>
        <n v="0.1274292"/>
        <n v="0.12742898625"/>
        <n v="0.126967499999999"/>
        <n v="0.12677614245"/>
        <n v="0.12666926935"/>
        <n v="0.126407"/>
        <n v="0.12635"/>
        <n v="0.124593386349999"/>
        <n v="0.12445"/>
        <n v="0.1236014334"/>
        <n v="0.123331138449999"/>
        <n v="0.122265"/>
        <n v="0.1222287366"/>
        <n v="0.122085190649999"/>
        <n v="0.121953136849999"/>
        <n v="0.11850813285"/>
        <n v="0.1184404634"/>
        <n v="0.117799999999999"/>
        <n v="0.1175625"/>
        <n v="0.1165175"/>
        <n v="0.115804999999999"/>
        <n v="0.11539092825"/>
        <n v="0.11495"/>
        <n v="0.1146371194"/>
        <n v="0.114379999999999"/>
        <n v="0.11437412805"/>
        <n v="0.113999999999999"/>
        <n v="0.113905"/>
        <n v="0.113715"/>
        <n v="0.112943599999999"/>
        <n v="0.11286"/>
        <n v="0.11092912405"/>
        <n v="0.110240123249999"/>
        <n v="0.1097578187"/>
        <n v="0.10955112245"/>
        <n v="0.1092025"/>
        <n v="0.108978128049999"/>
        <n v="0.10863583545"/>
        <n v="0.108366861"/>
        <n v="0.1081575"/>
        <n v="0.10735"/>
        <n v="0.107159999999999"/>
        <n v="0.10679511925"/>
        <n v="0.106106119399999"/>
        <n v="0.105846158549999"/>
        <n v="0.105545"/>
        <n v="0.1054171186"/>
        <n v="0.104786695749999"/>
        <n v="0.104728117799999"/>
        <n v="0.1045"/>
        <n v="0.1044357515"/>
        <n v="0.102832807"/>
        <n v="0.102081347499999"/>
        <n v="0.102009077199999"/>
        <n v="0.101365"/>
        <n v="0.101121066599999"/>
        <n v="0.100842499999999"/>
        <n v="0.0999051121999999"/>
        <n v="0.0997975"/>
        <n v="0.0996295115"/>
        <n v="0.0992161113999999"/>
        <n v="0.0987525"/>
        <n v="0.0986546993999999"/>
        <n v="0.09823"/>
        <n v="0.097149109"/>
        <n v="0.0961883322"/>
        <n v="0.09596809275"/>
        <n v="0.09576318345"/>
        <n v="0.09540945"/>
        <n v="0.0953799999999999"/>
        <n v="0.09533535"/>
        <n v="0.095"/>
        <n v="0.0941330252499999"/>
        <n v="0.09405"/>
        <n v="0.093704105"/>
        <n v="0.0936699999999999"/>
        <n v="0.0932691"/>
        <n v="0.091470104"/>
        <n v="0.091295"/>
        <n v="0.090915"/>
        <n v="0.09077518185"/>
        <n v="0.0903393"/>
        <n v="0.09025"/>
        <n v="0.09002241325"/>
        <n v="0.08987"/>
        <n v="0.0895701002"/>
        <n v="0.088065"/>
        <n v="0.08778"/>
        <n v="0.0875030978"/>
        <n v="0.0869249999999999"/>
        <n v="0.0861250962"/>
        <n v="0.0859118003"/>
        <n v="0.0855007391"/>
        <n v="0.0847470945999999"/>
        <n v="0.0836"/>
        <n v="0.0828782811999999"/>
        <n v="0.082555"/>
        <n v="0.0820325"/>
        <n v="0.0819910923499999"/>
        <n v="0.081853292"/>
        <n v="0.081415"/>
        <n v="0.08130209155"/>
        <n v="0.0810473499999999"/>
        <n v="0.08094"/>
        <n v="0.07901872"/>
        <n v="0.07885"/>
        <n v="0.0787815886"/>
        <n v="0.0784662152"/>
        <n v="0.0784064962999999"/>
        <n v="0.0778524999999999"/>
        <n v="0.077805"/>
        <n v="0.07736293175"/>
        <n v="0.0766602443"/>
        <n v="0.0759967852"/>
        <n v="0.0757900851499999"/>
        <n v="0.0757725149"/>
        <n v="0.07528821725"/>
        <n v="0.07524"/>
        <n v="0.07473269715"/>
        <n v="0.07413648285"/>
        <n v="0.0737742241"/>
        <n v="0.0735767761"/>
        <n v="0.07292485"/>
        <n v="0.0727704047"/>
        <n v="0.0727578409499999"/>
        <n v="0.071725"/>
        <n v="0.0715825"/>
        <n v="0.0713804786999999"/>
        <n v="0.07056484385"/>
        <n v="0.0705374999999999"/>
        <n v="0.0702999999999999"/>
        <n v="0.07027807875"/>
        <n v="0.070015"/>
        <n v="0.069796918"/>
        <n v="0.069781965"/>
        <n v="0.0690700141"/>
        <n v="0.0688749999999999"/>
        <n v="0.0686244764499999"/>
        <n v="0.0682167906"/>
        <n v="0.06821107635"/>
        <n v="0.0679249999999999"/>
        <n v="0.067735"/>
        <n v="0.067545"/>
        <n v="0.06745"/>
        <n v="0.0670029832"/>
        <n v="0.06688"/>
        <n v="0.06684190595"/>
        <n v="0.0665"/>
        <n v="0.0663574999999999"/>
        <n v="0.0663432499999999"/>
        <n v="0.0661808607999999"/>
        <n v="0.0660062736"/>
        <n v="0.0658684741999999"/>
        <n v="0.0656265177499999"/>
        <n v="0.06556275375"/>
        <n v="0.06479"/>
        <n v="0.0646923495"/>
        <n v="0.06459485575"/>
        <n v="0.0642148719"/>
        <n v="0.0641354918"/>
        <n v="0.0640081718499999"/>
        <n v="0.06384122645"/>
        <n v="0.0634604588499999"/>
        <n v="0.0632225"/>
        <n v="0.0631802402"/>
        <n v="0.0631124709999999"/>
        <n v="0.0627"/>
        <n v="0.06251"/>
        <n v="0.0624983273499999"/>
        <n v="0.061845"/>
        <n v="0.0618086748499999"/>
        <n v="0.0616549999999999"/>
        <n v="0.0613184055"/>
        <n v="0.0612521686499999"/>
        <n v="0.0608"/>
        <n v="0.0606099999999999"/>
        <n v="0.0604260030499999"/>
        <n v="0.0600149418499999"/>
        <n v="0.05985"/>
        <n v="0.0596038806499999"/>
        <n v="0.0593992915"/>
        <n v="0.0593229666"/>
        <n v="0.05925406595"/>
        <n v="0.0592107278999999"/>
        <n v="0.05918516625"/>
        <n v="0.0590425"/>
        <n v="0.0588999999999999"/>
        <n v="0.05852"/>
        <n v="0.0579975"/>
        <n v="0.0575485746499999"/>
        <n v="0.0575315649"/>
        <n v="0.057475"/>
        <n v="0.0569999999999999"/>
        <n v="0.0569525"/>
        <n v="0.0567264522499999"/>
        <n v="0.05647085"/>
        <n v="0.05643"/>
        <n v="0.05619590385"/>
        <n v="0.05613937315"/>
        <n v="0.0559508675"/>
        <n v="0.0559349426499999"/>
        <n v="0.0559075"/>
        <n v="0.0558090629"/>
        <n v="0.0556097557499999"/>
        <n v="0.0554359276"/>
        <n v="0.055385"/>
        <n v="0.0552578615"/>
        <n v="0.0548625"/>
        <n v="0.0548390578"/>
        <n v="0.0544310613"/>
        <n v="0.05434"/>
        <n v="0.05422436125"/>
        <n v="0.0541554606"/>
        <n v="0.05415"/>
        <n v="0.05387986085"/>
        <n v="0.05382168"/>
        <n v="0.0538175"/>
        <n v="0.0532"/>
        <n v="0.05319221285"/>
        <n v="0.0527725"/>
        <n v="0.0526083513999999"/>
        <n v="0.05245280885"/>
        <n v="0.0523261320499999"/>
        <n v="0.05215735885"/>
        <n v="0.0515765164999999"/>
        <n v="0.0512555257499999"/>
        <n v="0.05061524855"/>
        <n v="0.0505605332999999"/>
        <n v="0.0505399999999999"/>
        <n v="0.05043485685"/>
        <n v="0.0503766361"/>
        <n v="0.05022815585"/>
        <n v="0.0501494720999999"/>
        <n v="0.04981475575"/>
        <n v="0.04978"/>
        <n v="0.0497458560499999"/>
        <n v="0.0497384109"/>
        <n v="0.04940135565"/>
        <n v="0.0485052272999999"/>
        <n v="0.0482300540999999"/>
        <n v="0.0480941661"/>
        <n v="0.04798745735"/>
        <n v="0.04767885365"/>
        <n v="0.0474721536"/>
        <n v="0.0474096606999999"/>
        <n v="0.0472720437"/>
        <n v="0.0472654525999999"/>
        <n v="0.0471965529"/>
        <n v="0.04718745"/>
        <n v="0.04705480055"/>
        <n v="0.04664535245"/>
        <n v="0.04652856705"/>
        <n v="0.0462891585"/>
        <n v="0.0456"/>
        <n v="0.0454239412499999"/>
        <n v="0.0451295505"/>
        <n v="0.04485636755"/>
        <n v="0.0445094503499999"/>
        <n v="0.0441472068"/>
        <n v="0.0439215533"/>
        <n v="0.0438893492499999"/>
        <n v="0.04318952795"/>
        <n v="0.04258024735"/>
        <n v="0.04245750165"/>
        <n v="0.04223574695"/>
        <n v="0.04198930175"/>
        <n v="0.0418"/>
        <n v="0.0416156467999999"/>
        <n v="0.04151718595"/>
        <n v="0.0414089467499999"/>
        <n v="0.04106444635"/>
        <n v="0.040926646"/>
        <n v="0.0407888456499999"/>
        <n v="0.0407199459499999"/>
        <n v="0.04044434525"/>
        <n v="0.0403488503"/>
        <n v="0.03975534445"/>
        <n v="0.03968644475"/>
        <n v="0.0395486443999999"/>
        <n v="0.0391352443"/>
        <n v="0.03888665685"/>
        <n v="0.0384462435"/>
        <n v="0.0380328424499999"/>
        <n v="0.038"/>
        <n v="0.0377869055"/>
        <n v="0.03772408485"/>
        <n v="0.0374816419999999"/>
        <n v="0.0372231289499999"/>
        <n v="0.03699934125"/>
        <n v="0.0368146204"/>
        <n v="0.0367975565"/>
        <n v="0.03677631165"/>
        <n v="0.0361725401"/>
        <n v="0.0360753475"/>
        <n v="0.03596584005"/>
        <n v="0.03584478725"/>
        <n v="0.0356902403"/>
        <n v="0.0354306737"/>
        <n v="0.03527683925"/>
        <n v="0.03521044565"/>
        <n v="0.0352063425999999"/>
        <n v="0.03513903985"/>
        <n v="0.034497407"/>
        <n v="0.0341999999999999"/>
        <n v="0.0341856094"/>
        <n v="0.0340366379999999"/>
        <n v="0.0339777304"/>
        <n v="0.0339677383"/>
        <n v="0.0339294000999999"/>
        <n v="0.0336404499999999"/>
        <n v="0.0336232379"/>
        <n v="0.03341653785"/>
        <n v="0.03272753705"/>
        <n v="0.03268495615"/>
        <n v="0.0326586363999999"/>
        <n v="0.03199726445"/>
        <n v="0.03181388975"/>
        <n v="0.03176992375"/>
        <n v="0.0314874042"/>
        <n v="0.03129410675"/>
        <n v="0.0309361343999999"/>
        <n v="0.0309280935999999"/>
        <n v="0.0307983340499999"/>
        <n v="0.030591634"/>
        <n v="0.0302940768999999"/>
        <n v="0.0302326689"/>
        <n v="0.0301937654499999"/>
        <n v="0.0300496627999999"/>
        <n v="0.02997630665"/>
        <n v="0.0298554324499999"/>
        <n v="0.02984135155"/>
        <n v="0.0294203334"/>
        <n v="0.029075833"/>
        <n v="0.02893803265"/>
        <n v="0.0288602779999999"/>
        <n v="0.0288002323"/>
        <n v="0.0286559311"/>
        <n v="0.0285935322499999"/>
        <n v="0.0284999999999999"/>
        <n v="0.02817628655"/>
        <n v="0.0280423317999999"/>
        <n v="0.0280330607499999"/>
        <n v="0.02797343115"/>
        <n v="0.0279451012"/>
        <n v="0.0277667311"/>
        <n v="0.02756003105"/>
        <n v="0.02745097105"/>
        <n v="0.0271466299999999"/>
        <n v="0.0269488333499999"/>
        <n v="0.0269331783"/>
        <n v="0.0266"/>
        <n v="0.0264576292"/>
        <n v="0.0261295809"/>
        <n v="0.0260329982"/>
        <n v="0.0259137162"/>
        <n v="0.0258267550999999"/>
        <n v="0.0256941085"/>
        <n v="0.0252863285999999"/>
        <n v="0.02507962855"/>
        <n v="0.0247790761"/>
        <n v="0.02474523235"/>
        <n v="0.02474247545"/>
        <n v="0.0246999999999999"/>
        <n v="0.0245973278"/>
        <n v="0.0245305865"/>
        <n v="0.02452842715"/>
        <n v="0.02439062775"/>
        <n v="0.0243217270999999"/>
        <n v="0.0242528273999999"/>
        <n v="0.0242363601"/>
        <n v="0.0242341162"/>
        <n v="0.0242034844"/>
        <n v="0.02383942635"/>
        <n v="0.0238367539999999"/>
        <n v="0.02375423985"/>
        <n v="0.0237344437499999"/>
        <n v="0.02342602625"/>
        <n v="0.02338915295"/>
        <n v="0.0233067604"/>
        <n v="0.02326458515"/>
        <n v="0.0231013181499999"/>
        <n v="0.0228"/>
        <n v="0.02273702545"/>
        <n v="0.0225871999999999"/>
        <n v="0.0225128406499999"/>
        <n v="0.0224852630999999"/>
        <n v="0.02243659365"/>
        <n v="0.0223633913999999"/>
        <n v="0.0222726056"/>
        <n v="0.0221928398"/>
        <n v="0.02208501765"/>
        <n v="0.0219791249499999"/>
        <n v="0.0219463585"/>
        <n v="0.02192417505"/>
        <n v="0.0218196038"/>
        <n v="0.0217331490499999"/>
        <n v="0.0216452085"/>
        <n v="0.0216096138999999"/>
        <n v="0.0215631342"/>
        <n v="0.0214483589999999"/>
        <n v="0.02142792355"/>
        <n v="0.02129012415"/>
        <n v="0.0212212235"/>
        <n v="0.0210178114"/>
        <n v="0.0209382736"/>
        <n v="0.0208078233999999"/>
        <n v="0.0206324629"/>
        <n v="0.02060112335"/>
        <n v="0.0205322227"/>
        <n v="0.02046292305"/>
        <n v="0.0203944233"/>
        <n v="0.02036165495"/>
        <n v="0.0203137189"/>
        <n v="0.0202640643"/>
        <n v="0.0202566229499999"/>
        <n v="0.0201970237499999"/>
        <n v="0.02009999455"/>
        <n v="0.0200895948999999"/>
        <n v="0.01995"/>
        <n v="0.01990483605"/>
        <n v="0.0198619825"/>
        <n v="0.0197743221999999"/>
        <n v="0.019681891"/>
        <n v="0.0196182941999999"/>
        <n v="0.0195971861499999"/>
        <n v="0.01929281755"/>
        <n v="0.01929246795"/>
        <n v="0.0191542210999999"/>
        <n v="0.0190164216999999"/>
        <n v="0.0190007049"/>
        <n v="0.0188862679"/>
        <n v="0.0188852742"/>
        <n v="0.01875767115"/>
        <n v="0.0186511999"/>
        <n v="0.01859345795"/>
        <n v="0.0184470524999999"/>
        <n v="0.0181542425499999"/>
        <n v="0.0181500654"/>
        <n v="0.01791401985"/>
        <n v="0.01789803325"/>
        <n v="0.0177922327"/>
        <n v="0.0177073198"/>
        <n v="0.0175766853"/>
        <n v="0.01757073735"/>
        <n v="0.0174317191"/>
        <n v="0.0173777020999999"/>
        <n v="0.01736701935"/>
        <n v="0.0173043583"/>
        <n v="0.0172758108"/>
        <n v="0.01722501905"/>
        <n v="0.0172158468"/>
        <n v="0.0171660069499999"/>
        <n v="0.0171439926"/>
        <n v="0.0170999999999999"/>
        <n v="0.01706958195"/>
        <n v="0.0169958572"/>
        <n v="0.01681161895"/>
        <n v="0.0166987057499999"/>
        <n v="0.016675996"/>
        <n v="0.0166738186"/>
        <n v="0.0166169877"/>
        <n v="0.0165803861"/>
        <n v="0.0165342712"/>
        <n v="0.01652265175"/>
        <n v="0.01648919275"/>
        <n v="0.01646918005"/>
        <n v="0.0163293181999999"/>
        <n v="0.01615"/>
        <n v="0.01611443865"/>
        <n v="0.01605371845"/>
        <n v="0.0159581645999999"/>
        <n v="0.0159490930499999"/>
        <n v="0.0158227972"/>
        <n v="0.0157396836"/>
        <n v="0.0157092180499999"/>
        <n v="0.01559215145"/>
        <n v="0.0155714177"/>
        <n v="0.01548740065"/>
        <n v="0.0154602002499999"/>
        <n v="0.0153143571999999"/>
        <n v="0.015295817"/>
        <n v="0.0152"/>
        <n v="0.0150819596499999"/>
        <n v="0.0150198543499999"/>
        <n v="0.01496992995"/>
        <n v="0.01475184225"/>
        <n v="0.0146794494"/>
        <n v="0.01467571685"/>
        <n v="0.0146743688"/>
        <n v="0.01460357765"/>
        <n v="0.0145307135999999"/>
        <n v="0.01449050295"/>
        <n v="0.01446901585"/>
        <n v="0.0144467601999999"/>
        <n v="0.0143655845999999"/>
        <n v="0.0143312164499999"/>
        <n v="0.0142623158"/>
        <n v="0.0141647014"/>
        <n v="0.01415596045"/>
        <n v="0.0140556157499999"/>
        <n v="0.0139908304999999"/>
        <n v="0.0139843172999999"/>
        <n v="0.01393359965"/>
        <n v="0.01386591215"/>
        <n v="0.0138449475499999"/>
        <n v="0.0138029594499999"/>
        <n v="0.0137986882499999"/>
        <n v="0.0137111153499999"/>
        <n v="0.01364221565"/>
        <n v="0.0136283504"/>
        <n v="0.01351183195"/>
        <n v="0.0135044153"/>
        <n v="0.0134692767"/>
        <n v="0.01345413845"/>
        <n v="0.01340151415"/>
        <n v="0.0133960735"/>
        <n v="0.01336661495"/>
        <n v="0.0133"/>
        <n v="0.01329771525"/>
        <n v="0.0132878618499999"/>
        <n v="0.0132599698499999"/>
        <n v="0.0131764658"/>
        <n v="0.0131599149"/>
        <n v="0.0131398651499999"/>
        <n v="0.0130793283"/>
        <n v="0.0130671065499999"/>
        <n v="0.0130597288499999"/>
        <n v="0.01302211455"/>
        <n v="0.0129532148499999"/>
        <n v="0.0128154145"/>
        <n v="0.0127006487999999"/>
        <n v="0.0126776141499999"/>
        <n v="0.0125398138"/>
        <n v="0.0124709141"/>
        <n v="0.0124413120999999"/>
        <n v="0.01237751105"/>
        <n v="0.0123499999999999"/>
        <n v="0.01226108855"/>
        <n v="0.0122509663"/>
        <n v="0.01215162955"/>
        <n v="0.01205751305"/>
        <n v="0.01191863635"/>
        <n v="0.0118584262999999"/>
        <n v="0.0117819132999999"/>
        <n v="0.0116048656"/>
        <n v="0.0116026103"/>
        <n v="0.0114374128999999"/>
        <n v="0.0114"/>
        <n v="0.01127319875"/>
        <n v="0.01124325"/>
        <n v="0.01123071285"/>
        <n v="0.0111413245"/>
        <n v="0.0110929125"/>
        <n v="0.0110536309499999"/>
        <n v="0.0109803888"/>
        <n v="0.0109100736"/>
        <n v="0.0108173118"/>
        <n v="0.0108093185"/>
        <n v="0.0106795123999999"/>
        <n v="0.0106509763"/>
        <n v="0.01061061175"/>
        <n v="0.01054171205"/>
        <n v="0.0105272644499999"/>
        <n v="0.0105045718"/>
        <n v="0.0104728113999999"/>
        <n v="0.0104039116999999"/>
        <n v="0.0103976265"/>
        <n v="0.01034712165"/>
        <n v="0.01028802215"/>
        <n v="0.01026611135"/>
        <n v="0.0102117608999999"/>
        <n v="0.01019721165"/>
        <n v="0.01010195705"/>
        <n v="0.0100653564"/>
        <n v="0.0100581022"/>
        <n v="0.0099932666"/>
        <n v="0.0099905116"/>
        <n v="0.00988918175"/>
        <n v="0.00985271124999999"/>
        <n v="0.0097838106"/>
        <n v="0.00978098625"/>
        <n v="0.0097725455"/>
        <n v="0.00968585419999999"/>
        <n v="0.0096460112"/>
        <n v="0.0095895394"/>
        <n v="0.00956065845"/>
        <n v="0.00950714779999999"/>
        <n v="0.0095"/>
        <n v="0.0094354057"/>
        <n v="0.00937041049999999"/>
        <n v="0.00934816054999999"/>
        <n v="0.0093015108"/>
        <n v="0.00930109279999999"/>
        <n v="0.00923261014999999"/>
        <n v="0.00909480979999999"/>
        <n v="0.00903907044999999"/>
        <n v="0.00900391855"/>
        <n v="0.0089789725"/>
        <n v="0.0089570104"/>
        <n v="0.0089550059"/>
        <n v="0.0089307163"/>
        <n v="0.00892758984999999"/>
        <n v="0.00887775665"/>
        <n v="0.00881921005"/>
        <n v="0.0087503094"/>
        <n v="0.0086814097"/>
        <n v="0.00861251"/>
        <n v="0.0085223968"/>
        <n v="0.00847386794999999"/>
        <n v="0.008405809"/>
        <n v="0.0083459229"/>
        <n v="0.0083369093"/>
        <n v="0.00830440599999999"/>
        <n v="0.0082352916"/>
        <n v="0.00817630894999999"/>
        <n v="0.0081489841"/>
        <n v="0.0080897877"/>
        <n v="0.00808727875"/>
        <n v="0.00807750229999999"/>
        <n v="0.0080613086"/>
        <n v="0.00800326549999999"/>
        <n v="0.0079924089"/>
        <n v="0.0079235092"/>
        <n v="0.00786305499999999"/>
        <n v="0.00785460855"/>
        <n v="0.00784410155"/>
        <n v="0.0078357026"/>
        <n v="0.00766940509999999"/>
        <n v="0.0076479085"/>
        <n v="0.0076"/>
        <n v="0.00757900879999999"/>
        <n v="0.00751010814999999"/>
        <n v="0.0074843394"/>
        <n v="0.00746478745"/>
        <n v="0.00744300014999999"/>
        <n v="0.00743416134999999"/>
        <n v="0.00740098545"/>
        <n v="0.00737230779999999"/>
        <n v="0.00736267859999999"/>
        <n v="0.00732269975"/>
        <n v="0.0072678306"/>
        <n v="0.00725313314999999"/>
        <n v="0.0072345084"/>
        <n v="0.00709670805"/>
        <n v="0.0070665807"/>
        <n v="0.00705152605"/>
        <n v="0.00702780835"/>
        <n v="0.0069379792"/>
        <n v="0.00693221269999999"/>
        <n v="0.0068623022"/>
        <n v="0.00683341744999999"/>
        <n v="0.0068320561"/>
        <n v="0.0067919604"/>
        <n v="0.00669803675"/>
        <n v="0.00666217804999999"/>
        <n v="0.00650776315"/>
        <n v="0.00640124155"/>
        <n v="0.00638587055"/>
        <n v="0.00629303275"/>
        <n v="0.00627283005"/>
        <n v="0.0062547031"/>
        <n v="0.00618322034999999"/>
        <n v="0.0060997866"/>
        <n v="0.00607581524999999"/>
        <n v="0.0058507574"/>
        <n v="0.0057104386"/>
        <n v="0.0057"/>
        <n v="0.00564502825"/>
        <n v="0.0056139376"/>
        <n v="0.00557562029999999"/>
        <n v="0.00546839759999999"/>
        <n v="0.00542434989999999"/>
        <n v="0.00536117394999999"/>
        <n v="0.00533540425"/>
        <n v="0.00525539999999999"/>
        <n v="0.00525395029999999"/>
        <n v="0.0052435136"/>
        <n v="0.00523240525"/>
        <n v="0.0052182094"/>
        <n v="0.0048884815"/>
        <n v="0.0047586982"/>
        <n v="0.00462891585"/>
        <n v="0.00454239365"/>
        <n v="0.00443190389999999"/>
        <n v="0.00430539999999999"/>
        <n v="0.0039922876"/>
        <n v="0.0038"/>
        <n v="0.00364232089999999"/>
        <n v="0.00355981909999999"/>
        <n v="0.00351315035"/>
        <n v="0.00306301755"/>
        <n v="0.00300744065"/>
        <n v="0.00249830715"/>
        <n v="0.0024840106"/>
        <n v="0.00241967659999999"/>
        <n v="0.0019123633"/>
        <n v="0.00175541664999999"/>
        <n v="0.0016228147"/>
        <n v="0.00155524025"/>
        <n v="0.0015337522"/>
        <n v="0.00130968804999999"/>
        <n v="0.0012805867"/>
        <n v="0.0012063138"/>
        <n v="0.0011401425"/>
        <n v="0.00109010505"/>
        <n v="0.00108653115"/>
        <n v="0.00108117029999999"/>
        <n v="9.838447E-4"/>
        <n v="9.74777899999999E-4"/>
        <n v="9.5E-4"/>
        <n v="7.569505E-4"/>
        <n v="7.11248849999999E-4"/>
        <n v="5.87820099999999E-4"/>
        <n v="4.467641E-4"/>
        <n v="4.360424E-4"/>
        <n v="3.8600495E-4"/>
        <n v="1.19260149999999E-4"/>
        <n v="9.4335E-5"/>
        <n v="7.13449999999999E-5"/>
        <n v="6.5075E-5"/>
        <n v="5.719E-5"/>
        <n v="4.959E-5"/>
        <n v="4.7405E-5"/>
        <n v="4.332E-5"/>
        <n v="4.085E-5"/>
        <n v="3.781E-5"/>
        <n v="3.54349999999999E-5"/>
        <n v="2.80249999999999E-5"/>
      </sharedItems>
    </cacheField>
    <cacheField name="nearest_planned_dist_km">
      <sharedItems containsMixedTypes="1" containsNumber="1">
        <n v="117.718432761816"/>
        <n v="105.824791241387"/>
        <n v="118.019639058575"/>
        <n v="28.1849692807109"/>
        <s v="inf"/>
        <n v="1.72990234385222"/>
        <n v="2.06600166673463"/>
        <n v="47.0644249375271"/>
        <n v="22.0475321340588"/>
        <n v="11.5134861156712"/>
        <n v="14.3355835255721"/>
        <n v="1.84981263766011"/>
        <n v="48.6005958493077"/>
        <n v="20.6608858767996"/>
        <n v="5.84435220990527"/>
        <n v="5.78085550399353"/>
        <n v="93.4948438155764"/>
        <n v="56.4543501961317"/>
        <n v="89.4588393086454"/>
        <n v="93.7529110988016"/>
        <n v="87.6397343997774"/>
        <n v="3.49341219527547"/>
        <n v="125.679678085939"/>
        <n v="105.165121759878"/>
        <n v="47.0202995488548"/>
        <n v="74.1657575526901"/>
        <n v="46.1128318314841"/>
        <n v="21.936895605036"/>
        <n v="16.7800712533569"/>
        <n v="47.0069454875244"/>
        <n v="1.74555399404323"/>
        <n v="45.7150687640072"/>
        <n v="17.5887755432812"/>
        <n v="17.2117617632018"/>
        <n v="115.966014181691"/>
        <n v="6.44657954377367"/>
        <n v="12.7925011798721"/>
        <n v="13.1233319687839"/>
        <n v="4.77637924695864"/>
        <n v="8.7826364088484"/>
        <n v="3.32740819407471"/>
        <n v="65.1755255847742"/>
        <n v="74.5593035540037"/>
        <n v="81.3904740295088"/>
        <n v="21.8011162292586"/>
        <n v="136.046653617913"/>
        <n v="26.503500851713"/>
        <n v="5.38773728282972"/>
        <n v="44.936263880588"/>
        <n v="15.3818770164731"/>
        <n v="9.37640663745151"/>
        <n v="7.02841896891764"/>
        <n v="9.1281991750802"/>
        <n v="0.0"/>
        <n v="11.976626392369"/>
        <n v="72.0357459126066"/>
        <n v="76.6041644729405"/>
        <n v="118.443084007478"/>
        <n v="104.320148334799"/>
        <n v="76.1396541324578"/>
        <n v="3.08272590458495"/>
        <n v="5.84629468882869"/>
        <n v="9.16665985549794"/>
        <n v="4.82657712354335"/>
        <n v="6.20150740237226"/>
        <n v="5.51373005387472"/>
        <n v="155.564158044555"/>
        <n v="47.0164119883652"/>
        <n v="127.250923719444"/>
        <n v="101.784489639214"/>
        <n v="141.42542459343"/>
        <n v="5.19246687880572"/>
        <n v="11.2119080860588"/>
        <n v="30.156780527186"/>
        <n v="5.93954764789357"/>
        <n v="6.10813465711093"/>
        <n v="0.976967638658125"/>
        <n v="2.25661313086714"/>
        <n v="9.19958503968101"/>
        <n v="9.59742396175925"/>
        <n v="4.02464801572107"/>
        <n v="0.450000540999109"/>
        <n v="29.1215484508055"/>
        <n v="16.0147410904209"/>
        <n v="20.5143967119037"/>
        <n v="10.6328430982308"/>
        <n v="110.987854442074"/>
        <n v="0.565826153802842"/>
        <n v="1.32303707032415"/>
        <n v="8.29985570870766"/>
        <n v="36.4045091201523"/>
        <n v="20.8356150456365"/>
        <n v="3.83090658621901"/>
        <n v="18.2932285785927"/>
        <n v="13.3089204350812"/>
        <n v="27.9280269421006"/>
        <n v="1.61299581338794"/>
        <n v="12.2397369798474"/>
        <n v="2.66550258568556"/>
        <n v="37.360513883788"/>
        <n v="55.9788038976616"/>
        <n v="87.3975968413135"/>
        <n v="112.238483881086"/>
        <n v="102.088936341766"/>
        <n v="33.2392787821972"/>
        <n v="47.5337949248586"/>
        <n v="28.1203069046477"/>
        <n v="2.25916087323128"/>
        <n v="71.9411243520253"/>
        <n v="38.4744308244741"/>
        <n v="0.0627824017039101"/>
        <n v="139.186739324271"/>
        <n v="6.09394385263986"/>
        <n v="5.47667054666575"/>
        <n v="32.8039921655118"/>
        <n v="24.4963396567999"/>
        <n v="35.0737391308437"/>
        <n v="104.300973471974"/>
        <n v="81.9203249602455"/>
        <n v="0.892938574656605"/>
        <n v="100.759635567927"/>
        <n v="139.979251703992"/>
        <n v="188.09268223513"/>
        <n v="87.4416251881264"/>
        <n v="6.93121429108697"/>
        <n v="16.259870399983"/>
        <n v="9.17744658595539"/>
        <n v="0.627254658799726"/>
        <n v="5.41421966308274"/>
        <n v="5.53550598318165"/>
        <n v="134.598366906396"/>
        <n v="41.2628215581255"/>
        <n v="14.5607764451665"/>
        <n v="1.44879743751806"/>
        <n v="86.68103393711"/>
        <n v="32.3036077074874"/>
        <n v="52.7729554237032"/>
        <n v="57.512986376"/>
        <n v="21.3383790000368"/>
        <n v="107.920695681772"/>
        <n v="44.4602584357158"/>
        <n v="1.05031751144903"/>
        <n v="0.760354885234881"/>
        <n v="17.2138074619347"/>
        <n v="13.403849237415"/>
        <n v="147.261353035982"/>
        <n v="4.97271064510151"/>
        <n v="12.4676581251484"/>
        <n v="7.59002725479197"/>
        <n v="18.3388996439572"/>
        <n v="47.3887017681789"/>
        <n v="95.5031603239025"/>
        <n v="21.0588416556919"/>
        <n v="27.0583775406213"/>
        <n v="5.85164917221072"/>
        <n v="38.7070530498553"/>
        <n v="70.8747108629494"/>
        <n v="164.148751827979"/>
        <n v="5.26895056460086"/>
        <n v="31.0519569684754"/>
        <n v="59.0437174990867"/>
        <n v="38.1887045884408"/>
        <n v="0.497256946817893"/>
        <n v="103.554355652693"/>
        <n v="66.367628036455"/>
        <n v="108.29156321734"/>
        <n v="104.207554232254"/>
        <n v="67.7241817816782"/>
        <n v="29.9686016920282"/>
        <n v="2.4092498712259E-7"/>
        <n v="136.522989243992"/>
        <n v="11.7638530753292"/>
        <n v="11.596666542141"/>
        <n v="7.69152319768076"/>
        <n v="17.5556076613175"/>
        <n v="15.0409956080989"/>
        <n v="29.364268460472"/>
        <n v="3.57024574867291"/>
        <n v="93.4254763810246"/>
        <n v="42.2967988893276"/>
        <n v="72.8001901577937"/>
        <n v="55.9768342298444"/>
        <n v="52.9983140934672"/>
        <n v="131.352092774066"/>
        <n v="10.9789142100481"/>
        <n v="11.5361107193539"/>
        <n v="94.47332871499"/>
        <n v="110.84465878897"/>
        <n v="80.0133854081751"/>
        <n v="6.13638536624203"/>
        <n v="117.752322806001"/>
        <n v="60.8505341625904"/>
        <n v="34.6485809885128"/>
        <n v="0.0347291352623591"/>
        <n v="61.0296299691055"/>
        <n v="85.5883816674063"/>
        <n v="21.820204827774"/>
        <n v="18.1591341861736"/>
        <n v="10.7279600435088"/>
        <n v="75.6037601962541"/>
        <n v="105.254111555021"/>
        <n v="9.16795544850855"/>
        <n v="6.68725192128337"/>
        <n v="16.2369273325616"/>
        <n v="58.0398447934792"/>
        <n v="2.00727845458746"/>
        <n v="123.55079180374"/>
        <n v="63.4605110945616"/>
        <n v="34.1964710203531"/>
        <n v="48.2342147994243"/>
        <n v="6.32978580065764"/>
        <n v="10.8143056999947"/>
        <n v="30.9792999647559"/>
        <n v="76.4503972472537"/>
        <n v="10.6241914824513"/>
        <n v="3.80165959034391"/>
        <n v="73.6831532280931"/>
        <n v="119.218307440492"/>
        <n v="63.9114518196775"/>
        <n v="29.9244699940967"/>
        <n v="75.085765017362"/>
        <n v="154.20105379804"/>
        <n v="9.14149328950512"/>
        <n v="12.2940014752733"/>
        <n v="39.737145979852"/>
        <n v="106.435784314669"/>
        <n v="8.53254495251682"/>
        <n v="11.6814065029532"/>
        <n v="71.0550309663858"/>
        <n v="91.0103951878841"/>
        <n v="93.7312894737922"/>
        <n v="73.1246445425967"/>
        <n v="25.1093381660415"/>
        <n v="147.038898103748"/>
        <n v="90.9354491560288"/>
        <n v="0.803212370834066"/>
        <n v="17.8895176660329"/>
        <n v="194.661676778866"/>
        <n v="36.706455669924"/>
        <n v="88.7185707053693"/>
        <n v="26.2404328778427"/>
        <n v="2.26365947487455"/>
        <n v="22.2885013597048"/>
        <n v="21.8295706240063"/>
        <n v="6.92388761263448"/>
        <n v="15.0471559360563"/>
        <n v="10.9340643587069"/>
        <n v="100.502709858194"/>
        <n v="30.1154760617068"/>
        <n v="19.5187348351067"/>
        <n v="85.9106106849862"/>
        <n v="90.7075982321527"/>
        <n v="4.2725581988736"/>
        <n v="41.100896889366"/>
        <n v="62.1199937180012"/>
        <n v="11.9189421811977"/>
        <n v="35.2257014745468"/>
        <n v="83.6596374288878"/>
        <n v="5.22462164166002"/>
        <n v="57.2808245556852"/>
        <n v="6.34771438157382"/>
        <n v="9.21769126103238"/>
        <n v="25.7001120177296"/>
        <n v="71.1978800903471"/>
        <n v="154.250429705519"/>
        <n v="15.3861451143845"/>
        <n v="84.4436100528981"/>
        <n v="15.2187229312304"/>
        <n v="1.95428983236414"/>
        <n v="4.10179045593047"/>
        <n v="118.516665982107"/>
        <n v="1.27581482476991"/>
        <n v="18.8376648985327"/>
        <n v="102.541038794085"/>
        <n v="33.1830053635495"/>
        <n v="55.4423946415278"/>
        <n v="4.71459760006912"/>
        <n v="124.563703862553"/>
        <n v="7.02831001709002"/>
        <n v="75.4059380304754"/>
        <n v="49.9965178328873"/>
        <n v="29.5899242373522"/>
        <n v="103.851416834322"/>
        <n v="1.55972243288906"/>
        <n v="5.16628612173149"/>
        <n v="0.282659991387648"/>
        <n v="32.438778507534"/>
        <n v="41.2821868825011"/>
        <n v="19.1281294874379"/>
        <n v="64.4323964898857"/>
        <n v="7.46441123736192"/>
        <n v="87.5871112498676"/>
        <n v="33.4192205959124"/>
        <n v="0.0520951859520941"/>
        <n v="7.16760246473447"/>
        <n v="20.15499008238"/>
        <n v="5.34614426928039"/>
        <n v="11.0971874627296"/>
        <n v="14.1210541631687"/>
        <n v="56.8610570800108"/>
        <n v="1.79903006831224"/>
        <n v="29.8305525122852"/>
        <n v="95.7086426354983"/>
        <n v="0.44150628423389"/>
        <n v="13.5823919928168"/>
        <n v="1.51959288906322"/>
        <n v="133.635182165238"/>
        <n v="57.9182916139632"/>
        <n v="85.1129326931724"/>
        <n v="106.193750318149"/>
        <n v="44.8141079097151"/>
        <n v="134.92765365413"/>
        <n v="7.16848211767424"/>
        <n v="29.4911567756098"/>
        <n v="36.6251363876531"/>
        <n v="82.4676539591777"/>
        <n v="35.1405809321935"/>
        <n v="67.8796729923341"/>
        <n v="8.40240815867884"/>
        <n v="105.323074778508"/>
        <n v="75.9004347685043"/>
        <n v="4.17388313443966"/>
        <n v="6.00524008111833"/>
        <n v="1.10381355714881"/>
        <n v="0.761631241891411"/>
        <n v="62.9714790439926"/>
        <n v="4.4436123932666"/>
        <n v="0.656983894908746"/>
        <n v="2.21513128739057"/>
        <n v="34.9533983078914"/>
        <n v="7.91538292904857"/>
        <n v="20.9026465709979"/>
        <n v="2.89541391148888"/>
        <n v="6.10463296577408"/>
        <n v="82.5841430054868"/>
        <n v="6.92516427782179"/>
        <n v="23.6459292643663"/>
        <n v="0.323036160687242"/>
        <n v="44.7764670357278"/>
        <n v="45.726487718065"/>
        <n v="69.7107739138029"/>
        <n v="1.29711476028503"/>
        <n v="34.9468535526048"/>
        <n v="41.3053514034702"/>
        <n v="0.425407630433317"/>
        <n v="21.8632398914209"/>
        <n v="138.50504622153"/>
        <n v="2.81303047203327"/>
        <n v="117.189202532869"/>
        <n v="69.1012892863973"/>
        <n v="18.610707159691"/>
        <n v="0.691923535485099"/>
        <n v="99.5384126893336"/>
        <n v="118.003232637922"/>
        <n v="0.795950177207771"/>
        <n v="10.5787298024641"/>
        <n v="0.98479529728554"/>
        <n v="29.0038932089982"/>
        <n v="0.977161264972074"/>
        <n v="15.6546387397906"/>
        <n v="27.4180736779891"/>
        <n v="64.8636344641166"/>
        <n v="29.2526426479449"/>
        <n v="80.5593246033305"/>
        <n v="88.1494621254022"/>
        <n v="47.219130472664"/>
        <n v="9.22224302299318"/>
        <n v="35.0176627981288"/>
        <n v="1.58263241020835"/>
        <n v="7.03951244260015"/>
        <n v="14.1827272748039"/>
        <n v="6.38624233779263"/>
        <n v="26.7340305238067"/>
        <n v="9.48606500325988"/>
        <n v="7.66853021955996"/>
        <n v="2.07789481806075"/>
        <n v="6.24315237013283"/>
        <n v="105.104991534742"/>
        <n v="82.5729106323571"/>
        <n v="42.3162619128528"/>
        <n v="52.0089023298939"/>
        <n v="7.46726219310738"/>
        <n v="149.474297824995"/>
        <n v="18.0055657650268"/>
        <n v="2.92350479839627"/>
        <n v="90.4163076891905"/>
        <n v="35.1559266902359"/>
        <n v="118.95047764337"/>
        <n v="36.0416081583356"/>
        <n v="122.286777840297"/>
        <n v="93.1763957456523"/>
        <n v="0.89005302741924"/>
        <n v="0.277297961381413"/>
        <n v="150.672057130152"/>
        <n v="104.917004475098"/>
        <n v="3.56762051148995"/>
        <n v="83.3403294229332"/>
        <n v="99.8456749886125"/>
        <n v="8.14394264976205"/>
        <n v="68.2741139905085"/>
        <n v="128.948385906052"/>
        <n v="9.07398118223044"/>
        <n v="113.500134361008"/>
        <n v="53.0534672597754"/>
        <n v="75.8447879221444"/>
        <n v="106.171730601558"/>
        <n v="0.282501252439669"/>
        <n v="0.812099658490923"/>
        <n v="105.204288519645"/>
        <n v="74.0549970844438"/>
        <n v="117.961857542642"/>
        <n v="132.673603783619"/>
        <n v="87.6512615258167"/>
        <n v="54.8006728572838"/>
        <n v="74.3386431389514"/>
        <n v="35.4919358228913"/>
        <n v="4.12959571321656"/>
        <n v="61.9211407431701"/>
        <n v="16.1991313291258"/>
        <n v="2.44277422968921"/>
        <n v="121.323901657502"/>
        <n v="28.5552595758315"/>
        <n v="9.92221906052133"/>
        <n v="127.123403904477"/>
        <n v="10.1022873380021"/>
        <n v="66.3916371075284"/>
        <n v="6.6265690298941"/>
        <n v="88.1173027422572"/>
        <n v="102.488550849511"/>
        <n v="19.0472764906485"/>
        <n v="11.6315155368525"/>
        <n v="19.2760721880311"/>
        <n v="16.0133726854595"/>
        <n v="112.452424687782"/>
        <n v="113.908631786792"/>
        <n v="85.3965434566417"/>
        <n v="7.62399881397559"/>
        <n v="45.7543441920282"/>
        <n v="116.8419417406"/>
        <n v="40.8323427874092"/>
        <n v="1.16205346652897"/>
        <n v="13.4705825232405"/>
        <n v="119.700450764406"/>
        <n v="46.7791387499338"/>
        <n v="118.131412325079"/>
        <n v="4.75372966126516"/>
        <n v="118.976704286844"/>
        <n v="22.3837583186172"/>
        <n v="50.5371729846328"/>
        <n v="60.7003907903502"/>
        <n v="6.18869174766466"/>
        <n v="39.7571859806892"/>
        <n v="128.388823103094"/>
        <n v="4.09557218367695"/>
        <n v="52.8940114783931"/>
        <n v="10.3779478424536"/>
        <n v="1.67955972017896"/>
        <n v="3.1785611158585"/>
        <n v="101.257976788835"/>
        <n v="84.3165222648201"/>
        <n v="114.944808396884"/>
        <n v="19.1994970945202"/>
        <n v="148.632226817402"/>
        <n v="105.50609216232"/>
        <n v="1.27227430710945E-7"/>
        <n v="10.6549889514459"/>
        <n v="12.4515735943609"/>
        <n v="45.5295256562315"/>
        <n v="16.878435256008"/>
        <n v="57.55194148289"/>
        <n v="4.34766001940652"/>
        <n v="40.990243402536"/>
        <n v="21.7608047616856"/>
        <n v="4.23287507358647"/>
        <n v="110.406659809423"/>
        <n v="18.9411729071916"/>
        <n v="18.2424670491145"/>
        <n v="69.6823907318109"/>
        <n v="3.56265817395836"/>
        <n v="4.99931919936586"/>
        <n v="56.9893291966336"/>
        <n v="24.5714565503367"/>
        <n v="93.8488611419708"/>
        <n v="6.74406657610035"/>
        <n v="34.270187061133"/>
        <n v="116.816454726305"/>
        <n v="164.324138552291"/>
        <n v="6.42890483849031"/>
        <n v="5.24704524415488"/>
        <n v="0.261771129241849"/>
        <n v="4.50639728380939"/>
        <n v="4.37568028642479"/>
        <n v="22.4493572847328"/>
        <n v="68.4561335879028"/>
        <n v="2.45242542905509"/>
        <n v="45.6842286614329"/>
        <n v="1.79300313586451"/>
        <n v="23.7832349491963"/>
        <n v="1.75314640334535"/>
        <n v="81.749840189648"/>
        <n v="13.089552800632"/>
        <n v="135.873518387929"/>
        <n v="11.0483155313543"/>
        <n v="132.651477440879"/>
        <n v="22.0801625394502"/>
        <n v="1.93313753733577"/>
        <n v="23.418852657325"/>
        <n v="129.747242624343"/>
        <n v="26.9702223436565"/>
        <n v="33.6187309113002"/>
        <n v="29.1904622614919"/>
        <n v="2.40512387964512"/>
        <n v="19.5559056749025"/>
        <n v="3.48471089784965"/>
        <n v="29.2852801149966"/>
        <n v="3.81468104283657"/>
        <n v="18.6017167010911"/>
        <n v="18.182876965423"/>
        <n v="112.777974705192"/>
        <n v="2.02057711234389"/>
        <n v="108.755767313441"/>
        <n v="81.1052473697211"/>
        <n v="45.2115569988516"/>
        <n v="7.55379631089108"/>
        <n v="55.3065835674704"/>
        <n v="86.8171730744769"/>
        <n v="104.155127114778"/>
        <n v="131.561348835063"/>
        <n v="33.4338122874224"/>
        <n v="102.11352068368"/>
        <n v="63.3066823516978"/>
        <n v="109.826085943969"/>
        <n v="114.200511377595"/>
        <n v="134.163342684187"/>
        <n v="52.5554956965809"/>
        <n v="62.8765127325729"/>
        <n v="19.2509838914771"/>
        <n v="96.1357062787023"/>
        <n v="101.711059685194"/>
        <n v="74.2846634848243"/>
        <n v="105.417146677652"/>
        <n v="79.2816820112575"/>
        <n v="11.4615161548576"/>
        <n v="6.96482574496083"/>
        <n v="14.1076961366441"/>
        <n v="94.0881724640854"/>
        <n v="1.37389258033094"/>
        <n v="2.25373417664623"/>
        <n v="3.10219640866758"/>
        <n v="21.8128118157958"/>
        <n v="4.45861292389535"/>
        <n v="5.93176912744713"/>
        <n v="2.92503440221467"/>
        <n v="4.3500200008334"/>
        <n v="10.4942276571615"/>
        <n v="3.51510519568542"/>
        <n v="5.27275566756011"/>
        <n v="7.29280869651269"/>
        <n v="6.395593831601"/>
        <n v="7.34824442772174"/>
        <n v="47.9806657470061"/>
        <n v="2.97115010392654"/>
        <n v="10.5336743317083"/>
        <n v="57.0038129956238"/>
        <n v="2.05709945624359"/>
        <n v="6.7583050118566"/>
        <n v="9.08217570894033"/>
        <n v="7.71213708957772"/>
        <n v="54.2200085249337"/>
        <n v="8.0340643697032"/>
        <n v="20.954492345458"/>
        <n v="71.0021009440054"/>
        <n v="53.3348798409122"/>
        <n v="128.365208578339"/>
        <n v="54.6390739780793"/>
        <n v="14.999961530148"/>
        <n v="48.5327347679546"/>
        <n v="3.04325622182235"/>
        <n v="9.21551032982691"/>
        <n v="68.7212767973682"/>
        <n v="75.5378998382353"/>
        <n v="91.7296518681009"/>
        <n v="8.80336753368683"/>
        <n v="21.313378918066"/>
        <n v="11.7605601541547"/>
        <n v="81.0102779128909"/>
        <n v="40.1517826521606"/>
        <n v="2.63200147380794"/>
        <n v="7.29992654491167"/>
        <n v="8.88790918586125"/>
        <n v="21.6995843906651"/>
        <n v="79.3345816410825"/>
        <n v="6.83472435606983"/>
        <n v="38.5326400088889"/>
        <n v="28.9953568105248"/>
        <n v="99.3672230741057"/>
        <n v="55.0472347987526"/>
        <n v="39.836267880207"/>
        <n v="199.206809980435"/>
        <n v="15.1054624404989"/>
        <n v="3.43029466421139"/>
        <n v="80.0207411983133"/>
        <n v="84.8995176948232"/>
        <n v="55.35828156682"/>
        <n v="22.8076506383637"/>
        <n v="35.4773246125166"/>
        <n v="59.424299247281"/>
        <n v="6.08924018180625"/>
        <n v="15.4611243691068"/>
        <n v="23.944154225093"/>
        <n v="8.38394532792503"/>
        <n v="7.54907525774402"/>
        <n v="65.1621043490871"/>
        <n v="111.937012970239"/>
        <n v="5.3727845674154"/>
        <n v="36.2558095775628"/>
        <n v="44.4665595786857"/>
        <n v="2.68026341952497"/>
        <n v="15.7202848518738"/>
        <n v="1.24781152267959"/>
        <n v="3.320421748857"/>
        <n v="3.14319235544909"/>
        <n v="45.4225744297926"/>
        <n v="0.394239241990769"/>
        <n v="42.3815051453994"/>
        <n v="23.1196305467509"/>
        <n v="36.1854948707534"/>
        <n v="1.87521633701567"/>
        <n v="32.1750367534203"/>
        <n v="32.0627021983684"/>
        <n v="15.3509501215597"/>
        <n v="3.18169143870632"/>
        <n v="6.14142892205384"/>
        <n v="9.60841567787187"/>
        <n v="7.77000095651382E-7"/>
        <n v="0.0349398375395133"/>
        <n v="4.31816308489416E-8"/>
        <n v="26.0297816834913"/>
        <n v="33.164141111164"/>
        <n v="3.40272978999474"/>
        <n v="3.82613313196401"/>
        <n v="2.33895409274589"/>
        <n v="1.80301265034609"/>
        <n v="3.46387892543094"/>
        <n v="26.5122923239281"/>
        <n v="36.8018242697384"/>
        <n v="27.0813110788267"/>
        <n v="14.0418172129771"/>
        <n v="4.29204605817299"/>
        <n v="7.37670955959658"/>
        <n v="28.6511199338722"/>
        <n v="1.25650817614451"/>
        <n v="27.8945059430343"/>
        <n v="19.3070033512793"/>
        <n v="14.3218198971515"/>
        <n v="2.1979273701864"/>
        <n v="1.50052783762096"/>
        <n v="6.84332903189121"/>
        <n v="2.52372525179202"/>
        <n v="4.34482768063375"/>
        <n v="9.61046388755633"/>
        <n v="6.82342127598161"/>
        <n v="3.7636708220052"/>
        <n v="23.0583055124732"/>
        <n v="0.793429703873845"/>
        <n v="1.9159226334877"/>
        <n v="1.60150922366687"/>
        <n v="1.58318838063922"/>
        <n v="0.657942366975709"/>
        <n v="21.1313509830601"/>
        <n v="115.815609932314"/>
        <n v="16.0596669320566"/>
        <n v="17.7345693957049"/>
        <n v="3.17117200366236"/>
        <n v="2.98896916563183"/>
        <n v="45.2831980348165"/>
        <n v="25.093721289322"/>
        <n v="20.4372788984469"/>
        <n v="15.9842255960445"/>
        <n v="38.9910745939864"/>
        <n v="5.47695879656812"/>
        <n v="11.1787411166968"/>
        <n v="73.9281141540742"/>
        <n v="33.4808606923581"/>
        <n v="5.64798394732711"/>
        <n v="5.0120223000697"/>
        <n v="70.3888666725316"/>
        <n v="39.9060113338925"/>
        <n v="9.2502300670942"/>
        <n v="16.6277270117979"/>
        <n v="12.0941397124474"/>
        <n v="6.52570717511935"/>
        <n v="0.797540075158981"/>
        <n v="4.36545795676604E-7"/>
        <n v="39.5374420379267"/>
        <n v="14.7758256498156"/>
        <n v="26.4526299874186"/>
        <n v="86.2453832169558"/>
        <n v="80.3529795322151"/>
        <n v="2.71056232974094"/>
        <n v="121.152860153709"/>
        <n v="102.030464231959"/>
        <n v="79.6180373609547"/>
        <n v="31.0732912900005"/>
        <n v="107.809710896986"/>
        <n v="105.143840289534"/>
        <n v="168.170174887685"/>
        <n v="2.51275841793918"/>
        <n v="42.5960755906433"/>
        <n v="10.228293282968"/>
        <n v="5.27718099860422"/>
        <n v="18.3611956507115"/>
        <n v="23.1417775443512"/>
        <n v="61.6359177894528"/>
        <n v="8.4516890330657"/>
        <n v="7.26514371608956"/>
        <n v="16.6826517284504"/>
        <n v="8.30783302376326"/>
        <n v="47.4353937135484"/>
        <n v="109.326679430053"/>
        <n v="67.2898851262326"/>
        <n v="128.441656329872"/>
        <n v="55.6915585863144"/>
        <n v="134.943190706955"/>
        <n v="18.1322041875673"/>
        <n v="15.4028600285875"/>
        <n v="21.4474231579626"/>
        <n v="28.2268206300616"/>
        <n v="12.74576466163"/>
        <n v="16.3656908358336"/>
        <n v="17.0803235980685"/>
        <n v="20.4118891128493"/>
        <n v="3.76970262429358"/>
        <n v="71.4198860784761"/>
        <n v="47.1942260352451"/>
        <n v="81.4730579760634"/>
        <n v="29.8639910070308"/>
        <n v="37.8677493040616"/>
        <n v="10.2371884966511"/>
        <n v="75.3352941902786"/>
        <n v="37.4003949580832"/>
        <n v="25.2248084699219"/>
        <n v="18.3371086436603"/>
        <n v="10.1664157315251"/>
        <n v="1.90093843433955"/>
        <n v="7.8390515820632E-8"/>
        <n v="9.43483398481578"/>
        <n v="73.6530430624855"/>
        <n v="76.7436875759833"/>
        <n v="25.2247980561015"/>
        <n v="23.102373106371"/>
        <n v="48.8578916082657"/>
        <n v="20.2661602240943"/>
        <n v="1.35330068945728"/>
        <n v="7.40173746969559"/>
        <n v="1.27197504054413"/>
        <n v="1.66126930043758"/>
        <n v="14.0261367558041"/>
        <n v="6.76882438348001"/>
        <n v="0.977566898771818"/>
        <n v="29.3986353722409"/>
        <n v="8.57579858936182"/>
        <n v="1.08164942875214"/>
        <n v="8.87971490832178E-8"/>
        <n v="21.3870787206979"/>
        <n v="12.845982517314"/>
        <n v="12.8635612743645"/>
        <n v="5.36219730282177"/>
        <n v="2.56879278384491"/>
        <n v="5.19395224669908"/>
        <n v="34.1928130121817"/>
        <n v="2.1795209092123"/>
        <n v="0.303605864550764"/>
        <n v="151.693376736553"/>
        <n v="130.806171464032"/>
        <n v="0.72359062715354"/>
        <n v="3.15279245013297"/>
        <n v="77.4568681806119"/>
        <n v="2.18672236458223"/>
        <n v="5.90807414910541"/>
        <n v="15.4882281639104"/>
        <n v="2.69076226576246"/>
        <n v="164.490813539619"/>
        <n v="68.2781758016102"/>
        <n v="32.5152067348409"/>
        <n v="85.3642846620646"/>
        <n v="0.621474857290345"/>
        <n v="4.93247018774859"/>
        <n v="1.57569557022676"/>
        <n v="5.49981702328746"/>
        <n v="0.148972063431512"/>
        <n v="8.28152613367159"/>
        <n v="74.0322177705959"/>
        <n v="124.415687476033"/>
        <n v="181.993049584507"/>
        <n v="85.2328767512485"/>
        <n v="97.4533333723812"/>
        <n v="15.0481470989469"/>
        <n v="75.0942977808903"/>
        <n v="3.1058920013357"/>
        <n v="43.7301669348548"/>
        <n v="58.6486419310899"/>
        <n v="13.3255957751282"/>
        <n v="2.68984530142174"/>
        <n v="95.8504376561824"/>
        <n v="4.31113979141211"/>
        <n v="4.82528219572138"/>
        <n v="105.443742905124"/>
        <n v="37.3454813768974"/>
        <n v="0.518813162521945"/>
        <n v="13.2008423297885"/>
        <n v="1.58160338095572"/>
        <n v="68.0254587421051"/>
        <n v="4.71703562375535"/>
        <n v="0.0645729827816187"/>
        <n v="29.1198265388795"/>
        <n v="6.28035471161067"/>
        <n v="1.81625599917628"/>
        <n v="0.395812695697812"/>
        <n v="4.83359595329004"/>
        <n v="0.275880172776408"/>
        <n v="43.9389260722297"/>
        <n v="1.62046830543453"/>
        <n v="26.7150246387828"/>
        <n v="8.39331530170958"/>
        <n v="5.02084125598915"/>
        <n v="10.3202416954407"/>
        <n v="30.2336419881646"/>
        <n v="5.66608854041787"/>
        <n v="126.612954516449"/>
        <n v="5.20144005024548"/>
        <n v="7.20727802632832"/>
        <n v="3.76440243745189"/>
        <n v="6.5883013063991"/>
        <n v="21.4596669750087"/>
        <n v="28.2721832777668"/>
        <n v="1.7384468585995"/>
        <n v="3.85239825164245"/>
        <n v="2.19078840665814E-7"/>
        <n v="155.028606630115"/>
        <n v="94.4913123451572"/>
        <n v="95.3043396348347"/>
        <n v="8.08765648520259"/>
        <n v="3.17441171596971"/>
        <n v="8.71969292731335"/>
        <n v="10.0545347951616"/>
        <n v="4.60607411527681"/>
        <n v="0.0378373822109477"/>
        <n v="24.894433946469"/>
        <n v="7.75277871862203"/>
        <n v="5.1257208186998"/>
        <n v="11.6532220430525"/>
        <n v="14.0339975388071"/>
        <n v="6.83339002553837"/>
        <n v="25.7727905901455"/>
        <n v="0.969918007300589"/>
        <n v="0.338455858744272"/>
        <n v="5.54364844955788"/>
        <n v="8.70763593454151"/>
        <n v="23.6955613492514"/>
        <n v="6.79846954870456"/>
        <n v="2.26236507443776"/>
        <n v="20.6291426077543"/>
        <n v="0.482254705262373"/>
        <n v="59.4013999175544"/>
        <n v="52.5522610354828"/>
        <n v="41.7163666103648"/>
        <n v="2.81616820016887"/>
        <n v="10.401848358563"/>
        <n v="7.30775002948794"/>
        <n v="19.7401944458314"/>
        <n v="21.6975410821522"/>
        <n v="24.2434677295979"/>
        <n v="74.1118590825503"/>
        <n v="3.6857131935777"/>
        <n v="115.93247717176"/>
        <n v="13.1415036986529"/>
        <n v="3.73308642078869"/>
        <n v="47.2415265439249"/>
        <n v="7.00884629897187"/>
        <n v="93.7136291132926"/>
        <n v="147.631583691055"/>
        <n v="12.8630234604511"/>
        <n v="49.9103501352668"/>
        <n v="6.14281814283673"/>
        <n v="6.4415800906361"/>
        <n v="34.7097597109999"/>
        <n v="29.264677032285"/>
        <n v="57.5188158406865"/>
        <n v="19.7950902790604"/>
        <n v="51.4418048389059"/>
        <n v="41.9799600216263"/>
        <n v="86.0681745449401"/>
        <n v="10.3361861020218"/>
        <n v="1.49178692589795"/>
        <n v="28.4705176188044"/>
        <n v="1.62597346858504"/>
        <n v="52.0652404415659"/>
        <n v="19.2773676076182"/>
        <n v="11.5571844771259"/>
        <n v="36.5051543112701"/>
        <n v="48.9179647341741"/>
        <n v="3.9685110397031"/>
        <n v="52.7345342501806"/>
        <n v="10.1487127553467"/>
        <n v="73.2415779035746"/>
        <n v="4.45586181685655"/>
        <n v="34.2545091574695"/>
        <n v="78.6862094246157"/>
        <n v="14.5297403666463"/>
        <n v="6.66537423992133"/>
        <n v="6.41776124361798"/>
        <n v="5.06325134017767"/>
        <n v="46.1197765976695"/>
        <n v="7.50351315004661"/>
        <n v="50.4299324548647"/>
        <n v="19.1261556860027"/>
        <n v="26.1045671907682"/>
        <n v="25.1339497296187"/>
        <n v="94.5580251494562"/>
        <n v="5.3377885703433"/>
        <n v="143.196410548225"/>
        <n v="90.8316131861708"/>
        <n v="15.0703729036383"/>
        <n v="17.7471218982982"/>
        <n v="2.47959630487603"/>
        <n v="21.6982773993788"/>
        <n v="20.4963293585033"/>
        <n v="6.97587039989351"/>
        <n v="7.28022815987619"/>
        <n v="7.99307266906478"/>
        <n v="8.5709486814219E-7"/>
        <n v="4.6355409186073"/>
        <n v="38.2293358034933"/>
        <n v="64.4713457074169"/>
        <n v="52.5868067540822"/>
        <n v="4.13035190547864"/>
        <n v="31.0787218052008"/>
        <n v="98.3220427311575"/>
        <n v="63.4649857054426"/>
        <n v="124.009631148158"/>
        <n v="72.9904976461317"/>
        <n v="155.232600940693"/>
        <n v="171.584277623974"/>
        <n v="118.993407892667"/>
        <n v="28.1673061494726"/>
        <n v="4.97076343899313"/>
        <n v="1.16996528275678"/>
        <n v="39.9802695601749"/>
        <n v="80.0895532656765"/>
        <n v="33.0575210325217"/>
        <n v="28.0831793610371"/>
        <n v="46.2802769510019"/>
        <n v="45.0384239968914"/>
        <n v="27.3500076157119"/>
        <n v="76.9152245905299"/>
        <n v="24.6518386413594"/>
        <n v="117.814044529846"/>
        <n v="130.848371356828"/>
        <n v="52.7993410864217"/>
        <n v="9.24039144425963E-8"/>
        <n v="38.1528090365084"/>
        <n v="7.31425316748166"/>
        <n v="50.031527744866"/>
        <n v="32.7316000467004"/>
        <n v="8.31465695862358"/>
        <n v="50.1282740462519"/>
        <n v="0.408895052798541"/>
        <n v="48.6748458356011"/>
        <n v="23.4860192878314"/>
        <n v="27.3954618759729"/>
        <n v="26.8891540080615"/>
        <n v="4.8388267688286"/>
        <n v="2.68947806858436E-7"/>
        <n v="9.01503126687409"/>
        <n v="5.47798755788159"/>
        <n v="17.7879485440159"/>
        <n v="1.37493829954669"/>
        <n v="6.06471710966206"/>
        <n v="26.5013572356271"/>
        <n v="6.4997153853616"/>
        <n v="3.25834995024716"/>
        <n v="10.2635691615733"/>
        <n v="2.30240318220566"/>
        <n v="34.3212479434282"/>
        <n v="12.0228891127154"/>
        <n v="20.0828895190783"/>
        <n v="8.74269840964402"/>
        <n v="10.6025982460806"/>
        <n v="0.772966058674886"/>
        <n v="1.35574682847843"/>
        <n v="2.12852069164535E-8"/>
        <n v="4.3370517641466E-9"/>
        <n v="2.61294423935332"/>
        <n v="3.31875725666976E-7"/>
        <n v="7.74767077171046"/>
        <n v="8.53539291906966"/>
        <n v="20.3303845449387"/>
        <n v="0.118296896364117"/>
        <n v="1.98317397516963"/>
        <n v="11.6425939164512"/>
        <n v="9.30750840107642"/>
        <n v="4.2975765718607"/>
        <n v="3.04602867863819"/>
        <n v="1.24796626969111"/>
        <n v="37.8588593425657"/>
        <n v="11.6491586251589"/>
        <n v="21.6330213926782"/>
        <n v="24.7579882703756"/>
        <n v="139.145807624838"/>
        <n v="13.7731986809209"/>
        <n v="1.7297658569645"/>
        <n v="15.7973751774172"/>
        <n v="14.7152082372385"/>
        <n v="3.26842087452516"/>
        <n v="5.37530242285819"/>
        <n v="49.4946661796552"/>
        <n v="7.50043426348839"/>
        <n v="2.01314584642593"/>
        <n v="8.976572908032"/>
        <n v="5.5848559150907"/>
        <n v="31.1861221987457"/>
        <n v="14.2506122649917"/>
        <n v="6.64160010702754"/>
        <n v="22.0035632075156"/>
        <n v="0.861176253222253"/>
        <n v="3.36627832158107"/>
        <n v="7.08881977826819"/>
        <n v="2.45318334303568"/>
        <n v="3.88099751760588"/>
        <n v="14.006466469591"/>
        <n v="1.81657045738569"/>
        <n v="5.06955498913956"/>
        <n v="0.861558998118632"/>
        <n v="3.9617374303181"/>
        <n v="8.75605393278368"/>
        <n v="12.1800149007416"/>
        <n v="6.25521797606834"/>
        <n v="6.8928236487272"/>
        <n v="8.87185679996593"/>
        <n v="10.3907243851806"/>
        <n v="34.1737961466881"/>
        <n v="15.6138361199379"/>
        <n v="1.35819396683041"/>
        <n v="9.20535494581605"/>
        <n v="7.03766028503161"/>
        <n v="20.5373869632748"/>
        <n v="12.3891929468753"/>
        <n v="0.0538014045729603"/>
        <n v="14.525754215072"/>
        <n v="7.90362014984989"/>
        <n v="4.90234187238219"/>
        <n v="76.4526992092887"/>
        <n v="2.08802368798384"/>
        <n v="0.178250300517077"/>
        <n v="2.48122107248825"/>
        <n v="17.3988797448546"/>
        <n v="1.95853714539064"/>
        <n v="67.2243005423921"/>
        <n v="11.1314688184701"/>
        <n v="135.530684506886"/>
        <n v="15.3189530498878"/>
        <n v="73.6520746361509"/>
        <n v="63.5448006876313"/>
        <n v="4.38353695015522"/>
        <n v="4.90575099146424"/>
        <n v="1.95373204918904"/>
        <n v="2.06089073716846"/>
        <n v="5.05077721800269"/>
        <n v="7.51116957761876"/>
        <n v="9.39559871930991"/>
        <n v="13.2467011039845"/>
        <n v="5.63879019370756"/>
        <n v="13.8221336046184"/>
        <n v="59.4313472601806"/>
        <n v="14.2011831089063"/>
        <n v="9.12261655257444"/>
        <n v="1.46886122780771"/>
        <n v="13.9254192273636"/>
        <n v="40.6264991621693"/>
        <n v="12.736141000843"/>
        <n v="20.3734471930511"/>
        <n v="5.32241935425407"/>
        <n v="3.62364449873729"/>
        <n v="1.22935575019792"/>
        <n v="49.1541572587338"/>
        <n v="54.7097907940505"/>
        <n v="6.62182369191309"/>
        <n v="0.651952995911795"/>
        <n v="3.3598704224729"/>
        <n v="99.3844151524343"/>
        <n v="35.552272903279"/>
        <n v="4.46535161231926"/>
        <n v="89.0968019340778"/>
        <n v="3.50520628949958"/>
        <n v="0.768064612550868"/>
        <n v="27.1462600819783"/>
        <n v="0.800735880019143"/>
        <n v="6.38293617101684"/>
        <n v="36.6933277072605"/>
        <n v="23.857454861439"/>
        <n v="48.8987502669807"/>
        <n v="10.3563594496251"/>
        <n v="29.1245068329152"/>
        <n v="14.0892789614141"/>
        <n v="25.1581434948005"/>
        <n v="16.7796827606047"/>
        <n v="9.41533976228792"/>
        <n v="33.7920874211413"/>
        <n v="8.15312464782643"/>
        <n v="7.38011456906357"/>
        <n v="31.9884264883397"/>
        <n v="15.6915412428799"/>
        <n v="94.6939224191035"/>
        <n v="16.7927170402404"/>
        <n v="7.62096316363414"/>
        <n v="5.33898979617953"/>
        <n v="31.8572106647978"/>
        <n v="60.2653541616062"/>
        <n v="12.0657170333944"/>
        <n v="44.1529865373835"/>
        <n v="13.1556569989788"/>
        <n v="48.3996191984453"/>
        <n v="54.3282583652377"/>
        <n v="6.88584005075919"/>
        <n v="14.518240387699"/>
        <n v="6.91673319220864"/>
        <n v="2.18234904474745"/>
        <n v="2.48291154253343"/>
        <n v="41.0762301042079"/>
        <n v="43.4042506725256"/>
        <n v="46.060513057099"/>
        <n v="32.5483285074538"/>
        <n v="0.921018540075203"/>
        <n v="0.826472010447974"/>
        <n v="10.2661732723819"/>
        <n v="22.9106531742289"/>
        <n v="152.486394288997"/>
        <n v="132.93683145805"/>
        <n v="133.615481721485"/>
        <n v="2.58657697718791"/>
        <n v="52.0793095571405"/>
        <n v="3.12596303645767"/>
        <n v="8.56209884411244"/>
        <n v="95.9362478596318"/>
        <n v="22.2604691762996"/>
        <n v="78.3900110098284"/>
        <n v="3.74571505146572"/>
        <n v="4.07327389314213"/>
        <n v="65.6032090358321"/>
        <n v="4.4072879043703"/>
        <n v="7.75647355984596"/>
        <n v="27.0333219400201"/>
        <n v="9.5174260258355"/>
        <n v="3.27043919062375"/>
        <n v="12.9285048803224"/>
        <n v="111.265642187168"/>
        <n v="26.7269380831033"/>
        <n v="14.1001747049024"/>
        <n v="94.9567952696448"/>
        <n v="3.111421489754"/>
        <n v="99.4033052367301"/>
        <n v="23.0741325395809"/>
        <n v="68.8620792665155"/>
        <n v="85.0596801417365"/>
        <n v="96.4754550479467"/>
        <n v="149.568840611862"/>
        <n v="3.87669473517797"/>
        <n v="144.995230527896"/>
        <n v="3.44217411295393"/>
        <n v="107.514744562747"/>
        <n v="53.9502596400448"/>
        <n v="9.46320272119057"/>
        <n v="87.373285094314"/>
        <n v="41.9798440333406"/>
        <n v="113.433369698918"/>
        <n v="2.01753879274074"/>
        <n v="114.92307053319"/>
        <n v="75.187481829635"/>
        <n v="99.7736442492781"/>
        <n v="98.1455282232038"/>
        <n v="48.8107554154702"/>
        <n v="155.21991570913"/>
        <n v="147.188883138088"/>
        <n v="166.572419930188"/>
        <n v="108.755410242656"/>
        <n v="52.9088088328605"/>
        <n v="52.4397193166075"/>
        <n v="132.69961005656"/>
        <n v="112.866176786482"/>
        <n v="112.262346884885"/>
        <n v="124.167461660894"/>
        <n v="33.793008379136"/>
        <n v="119.433193981016"/>
        <n v="56.5530274435372"/>
        <n v="147.581507849912"/>
        <n v="91.07068929552"/>
        <n v="107.968554118043"/>
        <n v="65.0688882604887"/>
        <n v="126.215481531609"/>
        <n v="136.547213587834"/>
        <n v="88.380354251626"/>
        <n v="20.6031555769181"/>
        <n v="1.40272170005423"/>
        <n v="50.6459656551397"/>
        <n v="51.6509351971788"/>
        <n v="73.6676767264568"/>
        <n v="43.7229538429007"/>
        <n v="6.38649967107241"/>
        <n v="136.320525413125"/>
        <n v="11.2743018229978"/>
        <n v="40.4878973578677"/>
        <n v="64.0344849293212"/>
        <n v="100.301088897581"/>
        <n v="136.016355076281"/>
        <n v="72.2938728037292"/>
        <n v="95.4601454559839"/>
        <n v="58.6716871133072"/>
        <n v="139.618750789445"/>
        <n v="63.1770522880127"/>
        <n v="78.3769477866881"/>
        <n v="69.4301058508075"/>
        <n v="126.797189719113"/>
        <n v="64.690931932663"/>
        <n v="128.625774076638"/>
        <n v="60.3518266797846"/>
        <n v="124.603564508107"/>
        <n v="101.718616923131"/>
        <n v="16.2486900212293"/>
        <n v="107.773542689158"/>
        <n v="98.7159396536157"/>
        <n v="98.2808775401145"/>
        <n v="34.4230909465574"/>
        <n v="117.435257211977"/>
        <n v="12.0533548420252"/>
        <n v="69.1130545145891"/>
        <n v="107.173140053742"/>
        <n v="123.220309587665"/>
        <n v="99.5040672800747"/>
        <n v="104.204531146222"/>
        <n v="106.666819304397"/>
        <n v="65.6949485556609"/>
        <n v="112.627592569727"/>
        <n v="87.7780080631343"/>
        <n v="39.4792414133078"/>
        <n v="79.0745178388696"/>
        <n v="92.4020471428744"/>
        <n v="21.9079299965687"/>
        <n v="99.5912190302873"/>
        <n v="91.5325448426519"/>
        <n v="40.2451894160553"/>
        <n v="93.3006771494921"/>
        <n v="88.8133458149707"/>
        <n v="33.095590975532"/>
        <n v="7.05892916282453"/>
        <n v="56.8738034564339"/>
        <n v="132.945132559056"/>
        <n v="72.5978041047459"/>
        <n v="14.8627558613158"/>
        <n v="2.89974266677728"/>
        <n v="24.7444801322876"/>
        <n v="25.3731616646456"/>
        <n v="21.8656199864319"/>
        <n v="22.2589281074532"/>
        <n v="3.93970276246129"/>
        <n v="47.3183499356769"/>
        <n v="19.5670318956493"/>
        <n v="21.3065154302629"/>
        <n v="25.7040096142957"/>
        <n v="8.62490940663315"/>
        <n v="19.4219206778276"/>
        <n v="7.45132681265999"/>
        <n v="19.7650149117"/>
        <n v="37.6118955917074"/>
        <n v="4.40987890930472"/>
        <n v="15.9893217289443"/>
        <n v="56.7322264538903"/>
        <n v="34.0472434991957"/>
        <n v="10.1184196994803"/>
        <n v="18.3578767612256"/>
        <n v="132.578891309385"/>
        <n v="42.6768437020238"/>
        <n v="49.0814089062797"/>
        <n v="6.19497079388678"/>
        <n v="111.862718724088"/>
        <n v="39.8699672024089"/>
        <n v="38.5554952443237"/>
        <n v="3.71801826486217"/>
        <n v="49.5894162344912"/>
        <n v="2.5349998824917"/>
        <n v="8.26839217295224"/>
        <n v="3.62522454338611"/>
        <n v="42.3667142593201"/>
        <n v="29.9587444471068"/>
        <n v="32.6819214637057"/>
        <n v="2.60145677757222"/>
        <n v="7.20505520097133"/>
        <n v="16.352218492148"/>
        <n v="2.92315946340596"/>
        <n v="12.0392034487728"/>
        <n v="1.36651203876626"/>
        <n v="14.7921229813878"/>
        <n v="4.38534707238417"/>
        <n v="15.35632857366"/>
        <n v="1.70920924450447"/>
        <n v="44.8739379076489"/>
        <n v="27.0990684735747"/>
        <n v="4.13734506358107"/>
        <n v="78.9053705599255"/>
        <n v="21.713460421547"/>
        <n v="11.2999898611811"/>
        <n v="1.10520755042281"/>
        <n v="6.08522845063964"/>
        <n v="6.96184631930908"/>
        <n v="10.0417202291795"/>
        <n v="107.743141185472"/>
        <n v="6.77890787602945"/>
        <n v="6.27166396437258"/>
        <n v="2.54476094711747E-7"/>
        <n v="56.7408246332294"/>
        <n v="6.56497897829758"/>
        <n v="20.5177988659817"/>
        <n v="1.69443626685848"/>
        <n v="21.0161061957609"/>
        <n v="3.38358634686891"/>
        <n v="1.18418661057815"/>
        <n v="4.79443857299754"/>
        <n v="15.4336019825226"/>
        <n v="13.2295579458373"/>
        <n v="6.7088575775635"/>
        <n v="7.49235780364013"/>
        <n v="25.8367788068894"/>
        <n v="3.95135646838493"/>
        <n v="68.6535726323359"/>
        <n v="132.652168587287"/>
        <n v="85.0306678680888"/>
        <n v="22.3362724811163"/>
        <n v="15.0991505065608"/>
        <n v="2.6273985146412"/>
        <n v="44.7108749143874"/>
        <n v="42.6719397043479"/>
        <n v="2.01416679118176"/>
        <n v="59.4995296224802"/>
        <n v="14.4960122577945"/>
        <n v="18.4929416214093"/>
        <n v="94.9840471263248"/>
        <n v="18.6514466000197"/>
        <n v="47.1058293422232"/>
        <n v="29.950854434078"/>
        <n v="128.92732762753"/>
        <n v="22.179606591854"/>
        <n v="22.8341372198466"/>
        <n v="95.9925019481927"/>
        <n v="118.229629655866"/>
        <n v="215.308689742876"/>
        <n v="55.2053016952677"/>
        <n v="122.259787187215"/>
        <n v="53.4483386317993"/>
        <n v="41.6606955983261"/>
        <n v="109.732542165345"/>
        <n v="34.8607629436337"/>
        <n v="30.2375832569382"/>
        <n v="45.6901119531911"/>
        <n v="73.3020483038963"/>
        <n v="123.316270576496"/>
        <n v="51.8523892784402"/>
        <n v="147.324427575727"/>
        <n v="19.4689657841946"/>
        <n v="103.396409299071"/>
        <n v="116.935434759898"/>
        <n v="78.5454663071738"/>
        <n v="89.429300827625"/>
        <n v="9.81800490775858"/>
      </sharedItems>
    </cacheField>
    <cacheField name="within_50km_planned" numFmtId="0">
      <sharedItems>
        <b v="0"/>
        <b v="1"/>
      </sharedItems>
    </cacheField>
    <cacheField name="within_100km_planned" numFmtId="0">
      <sharedItems>
        <b v="0"/>
        <b v="1"/>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_8" cacheId="0" dataCaption="" compact="0" compactData="0">
  <location ref="A4:O37" firstHeaderRow="0" firstDataRow="1" firstDataCol="1"/>
  <pivotFields>
    <pivotField name="Country" axis="axisRow" compact="0" outline="0" multipleItemSelectionAllowed="1" showAll="0" sortType="descending">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autoSortScope>
        <pivotArea>
          <references>
            <reference field="4294967294">
              <x v="0"/>
            </reference>
          </references>
        </pivotArea>
      </autoSortScope>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Col" compact="0" outline="0" multipleItemSelectionAllowed="1" showAll="0" sortType="descending">
      <items>
        <item x="3"/>
        <item x="10"/>
        <item x="4"/>
        <item x="11"/>
        <item x="15"/>
        <item x="6"/>
        <item x="13"/>
        <item x="12"/>
        <item h="1" x="5"/>
        <item x="8"/>
        <item x="7"/>
        <item x="9"/>
        <item h="1" x="2"/>
        <item x="1"/>
        <item h="1"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0"/>
  </rowFields>
  <colFields>
    <field x="19"/>
  </colFields>
  <dataFields>
    <dataField name="SUM of Accessible biogenic (MtCO2/yr)" fld="23" baseField="0"/>
  </dataFields>
</pivotTableDefinition>
</file>

<file path=xl/pivotTables/pivotTable10.xml><?xml version="1.0" encoding="utf-8"?>
<pivotTableDefinition xmlns="http://schemas.openxmlformats.org/spreadsheetml/2006/main" name="data_8 10" cacheId="0" dataCaption="" createdVersion="6" compact="0" compactData="0">
  <location ref="M112:M113" firstHeaderRow="0" firstDataRow="0" firstDataCol="0" rowPageCount="3" colPageCount="1"/>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axis="axisPag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axis="axisPag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Page" compact="0" outline="0" multipleItemSelectionAllowed="1" showAll="0">
      <items>
        <item h="1" x="0"/>
        <item x="1"/>
        <item h="1" x="2"/>
        <item x="3"/>
        <item x="4"/>
        <item h="1" x="5"/>
        <item x="6"/>
        <item x="7"/>
        <item x="8"/>
        <item x="9"/>
        <item x="10"/>
        <item x="11"/>
        <item x="12"/>
        <item x="13"/>
        <item x="14"/>
        <item x="15"/>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pageFields>
    <pageField fld="9"/>
    <pageField fld="8"/>
    <pageField fld="19"/>
  </pageFields>
  <dataFields>
    <dataField name="SUM of Accessible biogenic (MtCO2/yr)" fld="23" baseField="0"/>
  </dataFields>
  <filters>
    <filter fld="9" type="captionBetween" evalOrder="-1" id="1" stringValue1="46" stringValue2="51.5">
      <autoFilter ref="A1">
        <filterColumn colId="0">
          <customFilters and="1">
            <customFilter operator="greaterThanOrEqual" val="46"/>
            <customFilter operator="lessThanOrEqual" val="51.5"/>
          </customFilters>
        </filterColumn>
      </autoFilter>
    </filter>
    <filter fld="8" type="captionBetween" evalOrder="-1" id="2" stringValue1="14" stringValue2="24.5">
      <autoFilter ref="A1">
        <filterColumn colId="0">
          <customFilters and="1">
            <customFilter operator="greaterThanOrEqual" val="14"/>
            <customFilter operator="lessThanOrEqual" val="24.5"/>
          </customFilters>
        </filterColumn>
      </autoFilter>
    </filter>
  </filters>
</pivotTableDefinition>
</file>

<file path=xl/pivotTables/pivotTable11.xml><?xml version="1.0" encoding="utf-8"?>
<pivotTableDefinition xmlns="http://schemas.openxmlformats.org/spreadsheetml/2006/main" name="data_8 11" cacheId="0" dataCaption="" compact="0" compactData="0">
  <location ref="A126:B134" firstHeaderRow="0" firstDataRow="1" firstDataCol="0"/>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axis="axisRow" compact="0" outline="0" multipleItemSelectionAllowed="1" showAll="0" sortType="ascending">
      <items>
        <item x="0"/>
        <item x="4"/>
        <item x="6"/>
        <item x="1"/>
        <item x="3"/>
        <item x="5"/>
        <item x="2"/>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compact="0" outline="0" multipleItemSelectionAllowed="1" showAll="0">
      <items>
        <item x="0"/>
        <item x="1"/>
        <item x="2"/>
        <item x="3"/>
        <item x="4"/>
        <item x="5"/>
        <item x="6"/>
        <item x="7"/>
        <item x="8"/>
        <item x="9"/>
        <item x="10"/>
        <item x="11"/>
        <item x="12"/>
        <item x="13"/>
        <item x="14"/>
        <item x="15"/>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12"/>
  </rowFields>
  <dataFields>
    <dataField name="SUM of Accessible biogenic (MtCO2/yr)" fld="23" baseField="0"/>
  </dataFields>
</pivotTableDefinition>
</file>

<file path=xl/pivotTables/pivotTable2.xml><?xml version="1.0" encoding="utf-8"?>
<pivotTableDefinition xmlns="http://schemas.openxmlformats.org/spreadsheetml/2006/main" name="data_8 2" cacheId="0" dataCaption="" compact="0" compactData="0">
  <location ref="A45:B62" firstHeaderRow="0" firstDataRow="1" firstDataCol="0"/>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0"/>
        <item x="1"/>
        <item x="2"/>
        <item x="3"/>
        <item x="4"/>
        <item x="5"/>
        <item x="6"/>
        <item x="7"/>
        <item x="8"/>
        <item x="9"/>
        <item x="10"/>
        <item x="11"/>
        <item x="12"/>
        <item x="13"/>
        <item x="14"/>
        <item x="15"/>
        <item t="default"/>
      </items>
      <autoSortScope>
        <pivotArea>
          <references>
            <reference field="4294967294">
              <x v="0"/>
            </reference>
          </references>
        </pivotArea>
      </autoSortScope>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19"/>
  </rowFields>
  <dataFields>
    <dataField name="SUM of Biogenic emissions (MtCO2/year)" fld="17" baseField="0"/>
  </dataFields>
</pivotTableDefinition>
</file>

<file path=xl/pivotTables/pivotTable3.xml><?xml version="1.0" encoding="utf-8"?>
<pivotTableDefinition xmlns="http://schemas.openxmlformats.org/spreadsheetml/2006/main" name="data_8 3" cacheId="0" dataCaption="" compact="0" compactData="0">
  <location ref="D45:E61" firstHeaderRow="0" firstDataRow="1" firstDataCol="0"/>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0"/>
        <item x="1"/>
        <item x="2"/>
        <item x="3"/>
        <item x="4"/>
        <item h="1" x="5"/>
        <item x="6"/>
        <item x="7"/>
        <item x="8"/>
        <item x="9"/>
        <item x="10"/>
        <item x="11"/>
        <item x="12"/>
        <item x="13"/>
        <item x="14"/>
        <item x="15"/>
        <item t="default"/>
      </items>
      <autoSortScope>
        <pivotArea>
          <references>
            <reference field="4294967294">
              <x v="0"/>
            </reference>
          </references>
        </pivotArea>
      </autoSortScope>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19"/>
  </rowFields>
  <dataFields>
    <dataField name="SUM of Biogenic emissions (MtCO2/year)" fld="17" baseField="0"/>
  </dataFields>
</pivotTableDefinition>
</file>

<file path=xl/pivotTables/pivotTable4.xml><?xml version="1.0" encoding="utf-8"?>
<pivotTableDefinition xmlns="http://schemas.openxmlformats.org/spreadsheetml/2006/main" name="data_8 4" cacheId="0" dataCaption="" compact="0" compactData="0">
  <location ref="G45:H61" firstHeaderRow="0" firstDataRow="1" firstDataCol="0"/>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x="2"/>
        <item x="1"/>
        <item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19"/>
  </rowFields>
  <dataFields>
    <dataField name="SUM of Accessible biogenic (MtCO2/yr)" fld="23" baseField="0"/>
  </dataFields>
</pivotTableDefinition>
</file>

<file path=xl/pivotTables/pivotTable5.xml><?xml version="1.0" encoding="utf-8"?>
<pivotTableDefinition xmlns="http://schemas.openxmlformats.org/spreadsheetml/2006/main" name="data_8 5" cacheId="0" dataCaption="" compact="0" compactData="0">
  <location ref="J45:K59" firstHeaderRow="0" firstDataRow="1" firstDataCol="0"/>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h="1" x="2"/>
        <item x="1"/>
        <item h="1"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compact="0" outline="0" multipleItemSelectionAllowed="1" showAll="0">
      <items>
        <item x="0"/>
        <item x="1"/>
        <item t="default"/>
      </items>
    </pivotField>
  </pivotFields>
  <rowFields>
    <field x="19"/>
  </rowFields>
  <dataFields>
    <dataField name="SUM of Accessible biogenic (MtCO2/yr)" fld="23" baseField="0"/>
  </dataFields>
</pivotTableDefinition>
</file>

<file path=xl/pivotTables/pivotTable6.xml><?xml version="1.0" encoding="utf-8"?>
<pivotTableDefinition xmlns="http://schemas.openxmlformats.org/spreadsheetml/2006/main" name="data_8 6" cacheId="0" dataCaption="" compact="0" compactData="0">
  <location ref="A71:B86" firstHeaderRow="0" firstDataRow="1" firstDataCol="0" rowPageCount="1" colPageCount="1"/>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x="2"/>
        <item x="1"/>
        <item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axis="axisPage" compact="0" outline="0" multipleItemSelectionAllowed="1" showAll="0">
      <items>
        <item h="1" x="0"/>
        <item x="1"/>
        <item t="default"/>
      </items>
    </pivotField>
    <pivotField name="within_100km_planned" compact="0" outline="0" multipleItemSelectionAllowed="1" showAll="0">
      <items>
        <item x="0"/>
        <item x="1"/>
        <item t="default"/>
      </items>
    </pivotField>
  </pivotFields>
  <rowFields>
    <field x="19"/>
  </rowFields>
  <pageFields>
    <pageField fld="25"/>
  </pageFields>
  <dataFields>
    <dataField name="SUM of Accessible biogenic (MtCO2/yr)" fld="23" baseField="0"/>
  </dataFields>
</pivotTableDefinition>
</file>

<file path=xl/pivotTables/pivotTable7.xml><?xml version="1.0" encoding="utf-8"?>
<pivotTableDefinition xmlns="http://schemas.openxmlformats.org/spreadsheetml/2006/main" name="data_8 7" cacheId="0" dataCaption="" compact="0" compactData="0">
  <location ref="D71:E87" firstHeaderRow="0" firstDataRow="1" firstDataCol="0" rowPageCount="1" colPageCount="1"/>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x="2"/>
        <item x="1"/>
        <item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axis="axisPage" compact="0" outline="0" multipleItemSelectionAllowed="1" showAll="0">
      <items>
        <item h="1" x="0"/>
        <item x="1"/>
        <item t="default"/>
      </items>
    </pivotField>
  </pivotFields>
  <rowFields>
    <field x="19"/>
  </rowFields>
  <pageFields>
    <pageField fld="26"/>
  </pageFields>
  <dataFields>
    <dataField name="SUM of Accessible biogenic (MtCO2/yr)" fld="23" baseField="0"/>
  </dataFields>
</pivotTableDefinition>
</file>

<file path=xl/pivotTables/pivotTable8.xml><?xml version="1.0" encoding="utf-8"?>
<pivotTableDefinition xmlns="http://schemas.openxmlformats.org/spreadsheetml/2006/main" name="data_8 8" cacheId="0" dataCaption="" compact="0" compactData="0">
  <location ref="G71:H84" firstHeaderRow="0" firstDataRow="1" firstDataCol="0" rowPageCount="1" colPageCount="1"/>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h="1" x="2"/>
        <item x="1"/>
        <item h="1"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axis="axisPage" compact="0" outline="0" multipleItemSelectionAllowed="1" showAll="0">
      <items>
        <item h="1" x="0"/>
        <item x="1"/>
        <item t="default"/>
      </items>
    </pivotField>
    <pivotField name="within_100km_planned" compact="0" outline="0" multipleItemSelectionAllowed="1" showAll="0">
      <items>
        <item x="0"/>
        <item x="1"/>
        <item t="default"/>
      </items>
    </pivotField>
  </pivotFields>
  <rowFields>
    <field x="19"/>
  </rowFields>
  <pageFields>
    <pageField fld="25"/>
  </pageFields>
  <dataFields>
    <dataField name="SUM of Accessible biogenic (MtCO2/yr)" fld="23" baseField="0"/>
  </dataFields>
</pivotTableDefinition>
</file>

<file path=xl/pivotTables/pivotTable9.xml><?xml version="1.0" encoding="utf-8"?>
<pivotTableDefinition xmlns="http://schemas.openxmlformats.org/spreadsheetml/2006/main" name="data_8 9" cacheId="0" dataCaption="" compact="0" compactData="0">
  <location ref="J71:K85" firstHeaderRow="0" firstDataRow="1" firstDataCol="0" rowPageCount="1" colPageCount="1"/>
  <pivotFields>
    <pivotField name="Countr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EPRTRSectorCode" compact="0" outline="0" multipleItemSelectionAllowed="1" showAll="0">
      <items>
        <item x="0"/>
        <item x="1"/>
        <item x="2"/>
        <item x="3"/>
        <item x="4"/>
        <item x="5"/>
        <item x="6"/>
        <item x="7"/>
        <item x="8"/>
        <item x="9"/>
        <item t="default"/>
      </items>
    </pivotField>
    <pivotField name="eprtrSectorName" compact="0" outline="0" multipleItemSelectionAllowed="1" showAll="0">
      <items>
        <item x="0"/>
        <item x="1"/>
        <item x="2"/>
        <item x="3"/>
        <item x="4"/>
        <item x="5"/>
        <item x="6"/>
        <item x="7"/>
        <item x="8"/>
        <item x="9"/>
        <item t="default"/>
      </items>
    </pivotField>
    <pivotField name="EPRTRAnnexIMainActivity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EPRTRAnnexIMainActivityLab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FacilityInspire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t="default"/>
      </items>
    </pivotField>
    <pivotField name="Facility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t="default"/>
      </items>
    </pivotField>
    <pivotField name="facilityNameConfidentialityReason" compact="0" outline="0" multipleItemSelectionAllowed="1" showAll="0">
      <items>
        <item x="0"/>
        <item x="1"/>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t="default"/>
      </items>
    </pivotField>
    <pivotField name="pollutant" compact="0" outline="0" multipleItemSelectionAllowed="1" showAll="0">
      <items>
        <item x="0"/>
        <item x="1"/>
        <item x="2"/>
        <item t="default"/>
      </items>
    </pivotField>
    <pivotField name="reportingYear" compact="0" outline="0" multipleItemSelectionAllowed="1" showAll="0">
      <items>
        <item x="0"/>
        <item x="1"/>
        <item x="2"/>
        <item x="3"/>
        <item x="4"/>
        <item x="5"/>
        <item x="6"/>
        <item t="default"/>
      </items>
    </pivotField>
    <pivotField name="Sector" compact="0" outline="0" multipleItemSelectionAllowed="1" showAll="0">
      <items>
        <item x="0"/>
        <item x="1"/>
        <item x="2"/>
        <item x="3"/>
        <item x="4"/>
        <item x="5"/>
        <item x="6"/>
        <item x="7"/>
        <item x="8"/>
        <item x="9"/>
        <item x="10"/>
        <item x="11"/>
        <item x="12"/>
        <item x="13"/>
        <item t="default"/>
      </items>
    </pivotField>
    <pivotField name="Subsecto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Industry" compact="0" outline="0" multipleItemSelectionAllowed="1" showAll="0">
      <items>
        <item x="0"/>
        <item x="1"/>
        <item x="2"/>
        <item t="default"/>
      </items>
    </pivotField>
    <pivotField name="Tota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t="default"/>
      </items>
    </pivotField>
    <pivotField name="Biogenic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t="default"/>
      </items>
    </pivotField>
    <pivotField name="Fossil Emissions (MtCO2/ye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t="default"/>
      </items>
    </pivotField>
    <pivotField name="Preferred Labelling of sector" axis="axisRow" compact="0" outline="0" multipleItemSelectionAllowed="1" showAll="0" sortType="descending">
      <items>
        <item x="3"/>
        <item x="10"/>
        <item x="4"/>
        <item x="11"/>
        <item x="15"/>
        <item x="6"/>
        <item x="13"/>
        <item x="12"/>
        <item h="1" x="5"/>
        <item x="8"/>
        <item x="7"/>
        <item x="9"/>
        <item h="1" x="2"/>
        <item x="1"/>
        <item h="1" x="0"/>
        <item x="14"/>
        <item t="default"/>
      </items>
    </pivotField>
    <pivotField name="Capture category" compact="0" outline="0" multipleItemSelectionAllowed="1" showAll="0">
      <items>
        <item x="0"/>
        <item x="1"/>
        <item x="2"/>
        <item t="default"/>
      </items>
    </pivotField>
    <pivotField name="Feasible capture" compact="0" outline="0" multipleItemSelectionAllowed="1" showAll="0">
      <items>
        <item x="0"/>
        <item x="1"/>
        <item t="default"/>
      </items>
    </pivotField>
    <pivotField name="Capture rate" compact="0" outline="0" multipleItemSelectionAllowed="1" showAll="0">
      <items>
        <item x="0"/>
        <item x="1"/>
        <item t="default"/>
      </items>
    </pivotField>
    <pivotField name="Accessible biogenic (MtCO2/yr)"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t="default"/>
      </items>
    </pivotField>
    <pivotField name="nearest_planned_dist_k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t="default"/>
      </items>
    </pivotField>
    <pivotField name="within_50km_planned" compact="0" outline="0" multipleItemSelectionAllowed="1" showAll="0">
      <items>
        <item x="0"/>
        <item x="1"/>
        <item t="default"/>
      </items>
    </pivotField>
    <pivotField name="within_100km_planned" axis="axisPage" compact="0" outline="0" multipleItemSelectionAllowed="1" showAll="0">
      <items>
        <item h="1" x="0"/>
        <item x="1"/>
        <item t="default"/>
      </items>
    </pivotField>
  </pivotFields>
  <rowFields>
    <field x="19"/>
  </rowFields>
  <pageFields>
    <pageField fld="26"/>
  </pageFields>
  <dataFields>
    <dataField name="SUM of Accessible biogenic (MtCO2/yr)" fld="23" baseField="0"/>
  </dataFields>
</pivotTableDefinition>
</file>

<file path=xl/tables/table1.xml><?xml version="1.0" encoding="utf-8"?>
<table xmlns="http://schemas.openxmlformats.org/spreadsheetml/2006/main" ref="A17:C40" displayName="Table_1" name="Table_1" id="1">
  <tableColumns count="3">
    <tableColumn name="Tab" id="1"/>
    <tableColumn name="Description" id="2"/>
    <tableColumn name="Source" id="3"/>
  </tableColumns>
  <tableStyleInfo name="cover-style" showColumnStripes="0" showFirstColumn="1" showLastColumn="1" showRowStripes="1"/>
</table>
</file>

<file path=xl/tables/table10.xml><?xml version="1.0" encoding="utf-8"?>
<table xmlns="http://schemas.openxmlformats.org/spreadsheetml/2006/main" ref="A50:F51" displayName="Table_10" name="Table_10" id="10">
  <tableColumns count="6">
    <tableColumn name="Scenario" id="1"/>
    <tableColumn name="Salamander" id="2"/>
    <tableColumn name="Phoenix" id="3"/>
    <tableColumn name="Metropolis" id="4"/>
    <tableColumn name="Icarus" id="5"/>
    <tableColumn name="Vision" id="6"/>
  </tableColumns>
  <tableStyleInfo name="data_2-style 3" showColumnStripes="0" showFirstColumn="1" showLastColumn="1" showRowStripes="1"/>
</table>
</file>

<file path=xl/tables/table11.xml><?xml version="1.0" encoding="utf-8"?>
<table xmlns="http://schemas.openxmlformats.org/spreadsheetml/2006/main" headerRowCount="0" ref="A55:E65" displayName="Table_11" name="Table_11" id="11">
  <tableColumns count="5">
    <tableColumn name="Column1" id="1"/>
    <tableColumn name="Column2" id="2"/>
    <tableColumn name="Column3" id="3"/>
    <tableColumn name="Column4" id="4"/>
    <tableColumn name="Column5" id="5"/>
  </tableColumns>
  <tableStyleInfo name="data_2-style 4" showColumnStripes="0" showFirstColumn="1" showLastColumn="1" showRowStripes="1"/>
  <extLst>
    <ext uri="GoogleSheetsCustomDataVersion1">
      <go:sheetsCustomData xmlns:go="http://customooxmlschemas.google.com/" headerRowCount="1"/>
    </ext>
  </extLst>
</table>
</file>

<file path=xl/tables/table12.xml><?xml version="1.0" encoding="utf-8"?>
<table xmlns="http://schemas.openxmlformats.org/spreadsheetml/2006/main" ref="A1:E1000" displayName="Table_12" name="Table_12" id="12">
  <tableColumns count="5">
    <tableColumn name="Facility Name" id="1"/>
    <tableColumn name="Latitude" id="2"/>
    <tableColumn name="Longitude" id="3"/>
    <tableColumn name="Other" id="4"/>
    <tableColumn name="Biogenic emissions (MtCO2/year)" id="5"/>
  </tableColumns>
  <tableStyleInfo name="flourish_3-style" showColumnStripes="0" showFirstColumn="1" showLastColumn="1" showRowStripes="1"/>
</table>
</file>

<file path=xl/tables/table13.xml><?xml version="1.0" encoding="utf-8"?>
<table xmlns="http://schemas.openxmlformats.org/spreadsheetml/2006/main" ref="A1:E1000" displayName="Table_13" name="Table_13" id="13">
  <tableColumns count="5">
    <tableColumn name="Project name" id="1"/>
    <tableColumn name="Latitude" id="2"/>
    <tableColumn name="Longitude" id="3"/>
    <tableColumn name="Fate of carbon" id="4"/>
    <tableColumn name="Capacity in Mt CO₂/yr" id="5"/>
  </tableColumns>
  <tableStyleInfo name="flourish_4_a-style" showColumnStripes="0" showFirstColumn="1" showLastColumn="1" showRowStripes="1"/>
</table>
</file>

<file path=xl/tables/table14.xml><?xml version="1.0" encoding="utf-8"?>
<table xmlns="http://schemas.openxmlformats.org/spreadsheetml/2006/main" ref="A1:F89" displayName="Table_14" name="Table_14" id="14">
  <tableColumns count="6">
    <tableColumn name="Geometry" id="1"/>
    <tableColumn name="Name" id="2"/>
    <tableColumn name="Description" id="3"/>
    <tableColumn name="Type" id="4"/>
    <tableColumn name="Capacity" id="5"/>
    <tableColumn name="Category" id="6"/>
  </tableColumns>
  <tableStyleInfo name="flourish_4_b-style" showColumnStripes="0" showFirstColumn="1" showLastColumn="1" showRowStripes="1"/>
</table>
</file>

<file path=xl/tables/table15.xml><?xml version="1.0" encoding="utf-8"?>
<table xmlns="http://schemas.openxmlformats.org/spreadsheetml/2006/main" ref="A1:B4" displayName="Table_15" name="Table_15" id="15">
  <tableColumns count="2">
    <tableColumn name="Category" id="1"/>
    <tableColumn name="CO₂ in Mt" id="2"/>
  </tableColumns>
  <tableStyleInfo name="flourish_5-style" showColumnStripes="0" showFirstColumn="1" showLastColumn="1" showRowStripes="1"/>
</table>
</file>

<file path=xl/tables/table16.xml><?xml version="1.0" encoding="utf-8"?>
<table xmlns="http://schemas.openxmlformats.org/spreadsheetml/2006/main" ref="A1:E6" displayName="Table_16" name="Table_16" id="16">
  <tableColumns count="5">
    <tableColumn name="Distance - Flow rate" id="1"/>
    <tableColumn name="30 kt CO₂/yr" id="2"/>
    <tableColumn name="100 kt CO₂/yr" id="3"/>
    <tableColumn name="300 kt CO₂/yr" id="4"/>
    <tableColumn name="1000 kt CO₂/yr" id="5"/>
  </tableColumns>
  <tableStyleInfo name="flourish_6-style" showColumnStripes="0" showFirstColumn="1" showLastColumn="1" showRowStripes="1"/>
</table>
</file>

<file path=xl/tables/table17.xml><?xml version="1.0" encoding="utf-8"?>
<table xmlns="http://schemas.openxmlformats.org/spreadsheetml/2006/main" headerRowCount="0" ref="A1:F38" displayName="Table_17" name="Table_17" id="17">
  <tableColumns count="6">
    <tableColumn name="Column1" id="1"/>
    <tableColumn name="Column2" id="2"/>
    <tableColumn name="Column3" id="3"/>
    <tableColumn name="Column4" id="4"/>
    <tableColumn name="Column5" id="5"/>
    <tableColumn name="Column6" id="6"/>
  </tableColumns>
  <tableStyleInfo name="data_6-style" showColumnStripes="0" showFirstColumn="1" showLastColumn="1" showRowStripes="1"/>
  <extLst>
    <ext uri="GoogleSheetsCustomDataVersion1">
      <go:sheetsCustomData xmlns:go="http://customooxmlschemas.google.com/" headerRowCount="1"/>
    </ext>
  </extLst>
</table>
</file>

<file path=xl/tables/table18.xml><?xml version="1.0" encoding="utf-8"?>
<table xmlns="http://schemas.openxmlformats.org/spreadsheetml/2006/main" ref="A1:L5" displayName="Table_18" name="Table_18" id="18">
  <tableColumns count="12">
    <tableColumn name="Cost [€/toe]" id="1"/>
    <tableColumn name="Green hydrogen" id="2"/>
    <tableColumn name="Synthesis" id="3"/>
    <tableColumn name="CO₂ capture" id="4"/>
    <tableColumn name="CO₂ transport" id="5"/>
    <tableColumn name="Source" id="6"/>
    <tableColumn name="Tonnes of CO2 per toe of fuel" id="7"/>
    <tableColumn name="Capture cost per tonne [€/t CO2]" id="8"/>
    <tableColumn name="Transport cost per tonne [€/t CO2]" id="9"/>
    <tableColumn name="Cost share of capture + transport in total cost" id="10"/>
    <tableColumn name="Cost share of transport in total cost" id="11"/>
    <tableColumn name="Cost share of capture in total cost" id="12"/>
  </tableColumns>
  <tableStyleInfo name="flourish_7-style" showColumnStripes="0" showFirstColumn="1" showLastColumn="1" showRowStripes="1"/>
</table>
</file>

<file path=xl/tables/table19.xml><?xml version="1.0" encoding="utf-8"?>
<table xmlns="http://schemas.openxmlformats.org/spreadsheetml/2006/main" ref="A1:N1000" displayName="Table_19" name="Table_19" id="19">
  <tableColumns count="14">
    <tableColumn name="Country" id="1"/>
    <tableColumn name="Waste management" id="2"/>
    <tableColumn name="Refining" id="3"/>
    <tableColumn name="Paper, pulp and primary wood products" id="4"/>
    <tableColumn name="Other" id="5"/>
    <tableColumn name="Mining" id="6"/>
    <tableColumn name="Iron, steel, and other metals" id="7"/>
    <tableColumn name="Glass" id="8"/>
    <tableColumn name="Fuel manufacture" id="9"/>
    <tableColumn name="Food and drinks" id="10"/>
    <tableColumn name="Chemicals" id="11"/>
    <tableColumn name="Cement &amp; lime" id="12"/>
    <tableColumn name="Biogas upgrading" id="13"/>
    <tableColumn name="Agriculture" id="14"/>
  </tableColumns>
  <tableStyleInfo name="flourish_8-style" showColumnStripes="0" showFirstColumn="1" showLastColumn="1" showRowStripes="1"/>
</table>
</file>

<file path=xl/tables/table2.xml><?xml version="1.0" encoding="utf-8"?>
<table xmlns="http://schemas.openxmlformats.org/spreadsheetml/2006/main" headerRowCount="0" ref="A1:H32" displayName="Table_2" name="Table_2" id="2">
  <tableColumns count="8">
    <tableColumn name="Column1" id="1"/>
    <tableColumn name="Column2" id="2"/>
    <tableColumn name="Column3" id="3"/>
    <tableColumn name="Column4" id="4"/>
    <tableColumn name="Column5" id="5"/>
    <tableColumn name="Column6" id="6"/>
    <tableColumn name="Column7" id="7"/>
    <tableColumn name="Column8" id="8"/>
  </tableColumns>
  <tableStyleInfo name="statements-style" showColumnStripes="0" showFirstColumn="1" showLastColumn="1" showRowStripes="1"/>
  <extLst>
    <ext uri="GoogleSheetsCustomDataVersion1">
      <go:sheetsCustomData xmlns:go="http://customooxmlschemas.google.com/" headerRowCount="1"/>
    </ext>
  </extLst>
</table>
</file>

<file path=xl/tables/table20.xml><?xml version="1.0" encoding="utf-8"?>
<table xmlns="http://schemas.openxmlformats.org/spreadsheetml/2006/main" headerRowCount="0" ref="A1:G8" displayName="Table_20" name="Table_20" id="20">
  <tableColumns count="7">
    <tableColumn name="Column1" id="1"/>
    <tableColumn name="Column2" id="2"/>
    <tableColumn name="Column3" id="3"/>
    <tableColumn name="Column4" id="4"/>
    <tableColumn name="Column5" id="5"/>
    <tableColumn name="Column6" id="6"/>
    <tableColumn name="Column7" id="7"/>
  </tableColumns>
  <tableStyleInfo name="data_aviation-style" showColumnStripes="0" showFirstColumn="1" showLastColumn="1" showRowStripes="1"/>
  <extLst>
    <ext uri="GoogleSheetsCustomDataVersion1">
      <go:sheetsCustomData xmlns:go="http://customooxmlschemas.google.com/" headerRowCount="1"/>
    </ext>
  </extLst>
</table>
</file>

<file path=xl/tables/table21.xml><?xml version="1.0" encoding="utf-8"?>
<table xmlns="http://schemas.openxmlformats.org/spreadsheetml/2006/main" ref="A1:AA2255" displayName="Table_21" name="Table_21" id="21">
  <tableColumns count="27">
    <tableColumn name="Country" id="1"/>
    <tableColumn name="EPRTRSectorCode" id="2"/>
    <tableColumn name="eprtrSectorName" id="3"/>
    <tableColumn name="EPRTRAnnexIMainActivityCode" id="4"/>
    <tableColumn name="EPRTRAnnexIMainActivityLabel" id="5"/>
    <tableColumn name="FacilityInspireID" id="6"/>
    <tableColumn name="Facility Name" id="7"/>
    <tableColumn name="facilityNameConfidentialityReason" id="8"/>
    <tableColumn name="Longitude" id="9"/>
    <tableColumn name="Latitude" id="10"/>
    <tableColumn name="City" id="11"/>
    <tableColumn name="pollutant" id="12"/>
    <tableColumn name="reportingYear" id="13"/>
    <tableColumn name="Sector" id="14"/>
    <tableColumn name="Subsector" id="15"/>
    <tableColumn name="Industry" id="16"/>
    <tableColumn name="Total Emissions (MtCO2/year)" id="17"/>
    <tableColumn name="Biogenic emissions (MtCO2/year)" id="18"/>
    <tableColumn name="Fossil Emissions (MtCO2/year)" id="19"/>
    <tableColumn name="Preferred Labelling of sector" id="20"/>
    <tableColumn name="Capture category" id="21"/>
    <tableColumn name="Feasible capture" id="22"/>
    <tableColumn name="Capture rate" id="23"/>
    <tableColumn name="Accessible biogenic (MtCO2/yr)" id="24"/>
    <tableColumn name="nearest_planned_dist_km" id="25"/>
    <tableColumn name="within_50km_planned" id="26"/>
    <tableColumn name="within_100km_planned" id="27"/>
  </tableColumns>
  <tableStyleInfo name="data_all_emissions-style" showColumnStripes="0" showFirstColumn="1" showLastColumn="1" showRowStripes="1"/>
</table>
</file>

<file path=xl/tables/table22.xml><?xml version="1.0" encoding="utf-8"?>
<table xmlns="http://schemas.openxmlformats.org/spreadsheetml/2006/main" ref="A1:E1000" displayName="Table_22" name="Table_22" id="22">
  <tableColumns count="5">
    <tableColumn name="ID" id="1"/>
    <tableColumn name="Biogenic CO2 (ktCO2/yr)" id="2"/>
    <tableColumn name="Longitude" id="3"/>
    <tableColumn name="Latitude" id="4"/>
    <tableColumn name="Country" id="5"/>
  </tableColumns>
  <tableStyleInfo name="data_ethanol-style" showColumnStripes="0" showFirstColumn="1" showLastColumn="1" showRowStripes="1"/>
</table>
</file>

<file path=xl/tables/table23.xml><?xml version="1.0" encoding="utf-8"?>
<table xmlns="http://schemas.openxmlformats.org/spreadsheetml/2006/main" ref="A1:G32" displayName="Table_23" name="Table_23" id="23">
  <tableColumns count="7">
    <tableColumn name="Country" id="1"/>
    <tableColumn name="Number of current plants" id="2"/>
    <tableColumn name="Total biomethane output (TWh/yr)" id="3"/>
    <tableColumn name="Total biogenic CO2 (ktCO2/yr)" id="4"/>
    <tableColumn name="Total biogenic CO2 (MtCO2/yr)" id="5"/>
    <tableColumn name="Area of country (km^2)" id="6"/>
    <tableColumn name="Biogenic CO2 density (tCO2/km^2)" id="7"/>
  </tableColumns>
  <tableStyleInfo name="data_biomethane-style" showColumnStripes="0" showFirstColumn="1" showLastColumn="1" showRowStripes="1"/>
</table>
</file>

<file path=xl/tables/table24.xml><?xml version="1.0" encoding="utf-8"?>
<table xmlns="http://schemas.openxmlformats.org/spreadsheetml/2006/main" ref="A1:C14" displayName="Table_24" name="Table_24" id="24">
  <tableColumns count="3">
    <tableColumn name="Variable" id="1"/>
    <tableColumn name="Value" id="2"/>
    <tableColumn name="Unit" id="3"/>
  </tableColumns>
  <tableStyleInfo name="config-style" showColumnStripes="0" showFirstColumn="1" showLastColumn="1" showRowStripes="1"/>
</table>
</file>

<file path=xl/tables/table3.xml><?xml version="1.0" encoding="utf-8"?>
<table xmlns="http://schemas.openxmlformats.org/spreadsheetml/2006/main" ref="A1:E7" displayName="Table_3" name="Table_3" id="3">
  <tableColumns count="5">
    <tableColumn name="Year" id="1"/>
    <tableColumn name="Demand: CO₂ for e-kerosene according to ReFuel EU" id="2"/>
    <tableColumn name="Demand: CO₂ for shipping e-fuels if e-ammonia fails to take off" id="3"/>
    <tableColumn name="Demand: Biogenic storage" id="4"/>
    <tableColumn name="Demand: Existing (currently met via SMR)" id="5"/>
  </tableColumns>
  <tableStyleInfo name="flourish_0-style" showColumnStripes="0" showFirstColumn="1" showLastColumn="1" showRowStripes="1"/>
</table>
</file>

<file path=xl/tables/table4.xml><?xml version="1.0" encoding="utf-8"?>
<table xmlns="http://schemas.openxmlformats.org/spreadsheetml/2006/main" ref="A1:H3" displayName="Table_4" name="Table_4" id="4">
  <tableColumns count="8">
    <tableColumn name="Category" id="1"/>
    <tableColumn name="E-kerosene" id="2"/>
    <tableColumn name="E-methanol" id="3"/>
    <tableColumn name="Paper and pulp mills" id="4"/>
    <tableColumn name="Waste incineration (biogenic fraction)" id="5"/>
    <tableColumn name="Biogas upgrading" id="6"/>
    <tableColumn name="Other" id="7"/>
    <tableColumn name="Total" id="8"/>
  </tableColumns>
  <tableStyleInfo name="flourish_1-style" showColumnStripes="0" showFirstColumn="1" showLastColumn="1" showRowStripes="1"/>
</table>
</file>

<file path=xl/tables/table5.xml><?xml version="1.0" encoding="utf-8"?>
<table xmlns="http://schemas.openxmlformats.org/spreadsheetml/2006/main" headerRowCount="0" ref="A5:D15" displayName="Table_5" name="Table_5" id="5">
  <tableColumns count="4">
    <tableColumn name="Column1" id="1"/>
    <tableColumn name="Column2" id="2"/>
    <tableColumn name="Column3" id="3"/>
    <tableColumn name="Column4" id="4"/>
  </tableColumns>
  <tableStyleInfo name="data_1-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19:F22" displayName="Table_6" name="Table_6" id="6">
  <tableColumns count="6">
    <tableColumn name="Column1" id="1"/>
    <tableColumn name="Column2" id="2"/>
    <tableColumn name="Column3" id="3"/>
    <tableColumn name="Column4" id="4"/>
    <tableColumn name="Column5" id="5"/>
    <tableColumn name="Column6" id="6"/>
  </tableColumns>
  <tableStyleInfo name="data_1-style 2"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ref="A1:H985" displayName="Table_7" name="Table_7" id="7">
  <tableColumns count="8">
    <tableColumn name="Year" id="1"/>
    <tableColumn name="Demand: CO₂ for e-kerosene according to ReFuel EU" id="2"/>
    <tableColumn name="Demand: CO₂ for shipping e-fuels" id="3"/>
    <tableColumn name="Demand: Existing demands in 2025 (Urea production, carbonated drinks, etc.) " id="4"/>
    <tableColumn name="Demand: Chemicals + Plastic" id="5"/>
    <tableColumn name="Demand: Concrete" id="6"/>
    <tableColumn name="Demand: Non-fossil (biogenic or DAC) storage" id="7"/>
    <tableColumn name="Note" id="8"/>
  </tableColumns>
  <tableStyleInfo name="flourish_2-style" showColumnStripes="0" showFirstColumn="1" showLastColumn="1" showRowStripes="1"/>
</table>
</file>

<file path=xl/tables/table8.xml><?xml version="1.0" encoding="utf-8"?>
<table xmlns="http://schemas.openxmlformats.org/spreadsheetml/2006/main" headerRowCount="0" ref="A5:I31" displayName="Table_8" name="Table_8" id="8">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data_2-style" showColumnStripes="0" showFirstColumn="1" showLastColumn="1" showRowStripes="1"/>
  <extLst>
    <ext uri="GoogleSheetsCustomDataVersion1">
      <go:sheetsCustomData xmlns:go="http://customooxmlschemas.google.com/" headerRowCount="1"/>
    </ext>
  </extLst>
</table>
</file>

<file path=xl/tables/table9.xml><?xml version="1.0" encoding="utf-8"?>
<table xmlns="http://schemas.openxmlformats.org/spreadsheetml/2006/main" ref="A36:C41" displayName="Table_9" name="Table_9" id="9">
  <tableColumns count="3">
    <tableColumn name="Meaning" id="1"/>
    <tableColumn name="Value" id="2"/>
    <tableColumn name="Unit" id="3"/>
  </tableColumns>
  <tableStyleInfo name="data_2-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pivotTable" Target="../pivotTables/pivotTable4.xml"/><Relationship Id="rId11" Type="http://schemas.openxmlformats.org/officeDocument/2006/relationships/pivotTable" Target="../pivotTables/pivotTable11.xml"/><Relationship Id="rId10" Type="http://schemas.openxmlformats.org/officeDocument/2006/relationships/pivotTable" Target="../pivotTables/pivotTable10.xml"/><Relationship Id="rId12" Type="http://schemas.openxmlformats.org/officeDocument/2006/relationships/drawing" Target="../drawings/drawing16.xml"/><Relationship Id="rId9" Type="http://schemas.openxmlformats.org/officeDocument/2006/relationships/pivotTable" Target="../pivotTables/pivotTable9.x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pivotTable" Target="../pivotTables/pivotTable7.xml"/><Relationship Id="rId8"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20.xml"/></Relationships>
</file>

<file path=xl/worksheets/_rels/sheet18.xml.rels><?xml version="1.0" encoding="UTF-8" standalone="yes"?><Relationships xmlns="http://schemas.openxmlformats.org/package/2006/relationships"><Relationship Id="rId190" Type="http://schemas.openxmlformats.org/officeDocument/2006/relationships/hyperlink" Target="https://registry.gdi-de.org/id/de.nw.inspire.pf.bube-eureg/arb-2017-978004-900-9139027" TargetMode="External"/><Relationship Id="rId194" Type="http://schemas.openxmlformats.org/officeDocument/2006/relationships/hyperlink" Target="https://registry.gdi-de.org/id/de.nw.inspire.pf.bube-eureg/arb-2017-978024-900-9103527" TargetMode="External"/><Relationship Id="rId193" Type="http://schemas.openxmlformats.org/officeDocument/2006/relationships/hyperlink" Target="https://registry.gdi-de.org/id/de.he.0945.de7.pf.eu_industrie/20000094" TargetMode="External"/><Relationship Id="rId192" Type="http://schemas.openxmlformats.org/officeDocument/2006/relationships/hyperlink" Target="https://registry.gdi-de.org/id/de.he.0945.de7.pf.eu_industrie/80007914" TargetMode="External"/><Relationship Id="rId191" Type="http://schemas.openxmlformats.org/officeDocument/2006/relationships/hyperlink" Target="https://registry.gdi-de.org/id/de.hh/pf.bube-eureg_/7046" TargetMode="External"/><Relationship Id="rId187" Type="http://schemas.openxmlformats.org/officeDocument/2006/relationships/hyperlink" Target="https://registry.gdi-de.org/id/de.bw.lubw.inspire.pf//pf-450-34044741-00000000" TargetMode="External"/><Relationship Id="rId186" Type="http://schemas.openxmlformats.org/officeDocument/2006/relationships/hyperlink" Target="https://registry.gdi-de.org/id/de.ni.mu/04041762920" TargetMode="External"/><Relationship Id="rId185" Type="http://schemas.openxmlformats.org/officeDocument/2006/relationships/hyperlink" Target="https://registry.gdi-de.org/id/de.ni.mu/10102275040" TargetMode="External"/><Relationship Id="rId184" Type="http://schemas.openxmlformats.org/officeDocument/2006/relationships/hyperlink" Target="https://registry.gdi-de.org/id/de.by.inspire.pf.ied/S00015" TargetMode="External"/><Relationship Id="rId189" Type="http://schemas.openxmlformats.org/officeDocument/2006/relationships/hyperlink" Target="https://registry.gdi-de.org/id/de.bw.lubw.inspire.pf//pf-450-8683034-00000000" TargetMode="External"/><Relationship Id="rId188" Type="http://schemas.openxmlformats.org/officeDocument/2006/relationships/hyperlink" Target="https://registry.gdi-de.org/id/de.ni.mu/06063351970" TargetMode="External"/><Relationship Id="rId183" Type="http://schemas.openxmlformats.org/officeDocument/2006/relationships/hyperlink" Target="https://registry.gdi-de.org/id/de.rp.inspire.pf.bube-eureg/1000901" TargetMode="External"/><Relationship Id="rId182" Type="http://schemas.openxmlformats.org/officeDocument/2006/relationships/hyperlink" Target="https://registry.gdi-de.org/id/de.nw.inspire.pf.bube-eureg/arb-2017-978024-900-9139128" TargetMode="External"/><Relationship Id="rId181" Type="http://schemas.openxmlformats.org/officeDocument/2006/relationships/hyperlink" Target="https://registry.gdi-de.org/id/de.nw.inspire.pf.bube-eureg/arb-2017-766032-700-0001580" TargetMode="External"/><Relationship Id="rId180" Type="http://schemas.openxmlformats.org/officeDocument/2006/relationships/hyperlink" Target="https://registry.gdi-de.org/id/de.he.0945.de7.pf.eu_industrie/30000936" TargetMode="External"/><Relationship Id="rId176" Type="http://schemas.openxmlformats.org/officeDocument/2006/relationships/hyperlink" Target="https://registry.gdi-de.org/id/de.nw.inspire.pf.bube-eureg/arb-2017-114000-100-0250693" TargetMode="External"/><Relationship Id="rId297" Type="http://schemas.openxmlformats.org/officeDocument/2006/relationships/hyperlink" Target="https://registry.gdi-de.org/id/de.by.inspire.pf.ied/S01026" TargetMode="External"/><Relationship Id="rId175" Type="http://schemas.openxmlformats.org/officeDocument/2006/relationships/hyperlink" Target="https://registry.gdi-de.org/id/de.bb.inspire.pf.eureg/45027005" TargetMode="External"/><Relationship Id="rId296" Type="http://schemas.openxmlformats.org/officeDocument/2006/relationships/hyperlink" Target="https://registry.gdi-de.org/id/de.nw.inspire.pf.bube-eureg/arb-2017-958004-900-0001413" TargetMode="External"/><Relationship Id="rId174" Type="http://schemas.openxmlformats.org/officeDocument/2006/relationships/hyperlink" Target="http://paikkatiedot.fi/so/1002031/pf/ProductionFacility/0000001931.ProductionFacility" TargetMode="External"/><Relationship Id="rId295" Type="http://schemas.openxmlformats.org/officeDocument/2006/relationships/hyperlink" Target="https://registry.gdi-de.org/id/de.bw.lubw.inspire.pf//pf-450-4124448-00000000" TargetMode="External"/><Relationship Id="rId173" Type="http://schemas.openxmlformats.org/officeDocument/2006/relationships/hyperlink" Target="https://registry.gdi-de.org/id/de.by.inspire.pf.ied/S00316" TargetMode="External"/><Relationship Id="rId294" Type="http://schemas.openxmlformats.org/officeDocument/2006/relationships/hyperlink" Target="https://registry.gdi-de.org/id/de.nw.inspire.pf.bube-eureg/arb-2017-754008-700-0128330" TargetMode="External"/><Relationship Id="rId179" Type="http://schemas.openxmlformats.org/officeDocument/2006/relationships/hyperlink" Target="https://registry.gdi-de.org/id/de.bb.inspire.pf.eureg/23024012" TargetMode="External"/><Relationship Id="rId178" Type="http://schemas.openxmlformats.org/officeDocument/2006/relationships/hyperlink" Target="https://registry.gdi-de.org/id/de.ni.mu/04041505980" TargetMode="External"/><Relationship Id="rId299" Type="http://schemas.openxmlformats.org/officeDocument/2006/relationships/hyperlink" Target="https://registry.gdi-de.org/id/de.rp.inspire.pf.bube-eureg/4000095" TargetMode="External"/><Relationship Id="rId177" Type="http://schemas.openxmlformats.org/officeDocument/2006/relationships/hyperlink" Target="https://registry.gdi-de.org/id/de.st.lau.pf.anlagen-ied-euregistry/100464" TargetMode="External"/><Relationship Id="rId298" Type="http://schemas.openxmlformats.org/officeDocument/2006/relationships/hyperlink" Target="https://registry.gdi-de.org/id/de.sn.sax4inspire.pf/80011253" TargetMode="External"/><Relationship Id="rId198" Type="http://schemas.openxmlformats.org/officeDocument/2006/relationships/hyperlink" Target="https://data.ied_registry.omgeving.vlaanderen.be/id/productionfacility//BE.VL.000001872.FACILITY" TargetMode="External"/><Relationship Id="rId197" Type="http://schemas.openxmlformats.org/officeDocument/2006/relationships/hyperlink" Target="https://data.ied_registry.omgeving.vlaanderen.be/id/productionfacility//BE.VL.000000039.FACILITY" TargetMode="External"/><Relationship Id="rId196" Type="http://schemas.openxmlformats.org/officeDocument/2006/relationships/hyperlink" Target="https://registry.gdi-de.org/id/de.rp.inspire.pf.bube-eureg/2000208" TargetMode="External"/><Relationship Id="rId195" Type="http://schemas.openxmlformats.org/officeDocument/2006/relationships/hyperlink" Target="https://registry.gdi-de.org/id/de.bb.inspire.pf.eureg/45024504" TargetMode="External"/><Relationship Id="rId199" Type="http://schemas.openxmlformats.org/officeDocument/2006/relationships/hyperlink" Target="http://paikkatiedot.fi/so/1002031/pf/ProductionFacility/0100239220.ProductionFacility" TargetMode="External"/><Relationship Id="rId150" Type="http://schemas.openxmlformats.org/officeDocument/2006/relationships/hyperlink" Target="https://registry.gdi-de.org/id/de.nw.inspire.pf.bube-eureg/arb-2017-570008-500-0053376" TargetMode="External"/><Relationship Id="rId271" Type="http://schemas.openxmlformats.org/officeDocument/2006/relationships/hyperlink" Target="https://data.ied_registry.omgeving.vlaanderen.be/id/productionfacility//BE.VL.000000003.FACILITY" TargetMode="External"/><Relationship Id="rId392" Type="http://schemas.openxmlformats.org/officeDocument/2006/relationships/hyperlink" Target="https://registry.gdi-de.org/id/de.st.lau.pf.anlagen-ied-euregistry/101071" TargetMode="External"/><Relationship Id="rId270" Type="http://schemas.openxmlformats.org/officeDocument/2006/relationships/hyperlink" Target="https://registry.gdi-de.org/id/de.hh/pf.bube-eureg_/12273" TargetMode="External"/><Relationship Id="rId391" Type="http://schemas.openxmlformats.org/officeDocument/2006/relationships/hyperlink" Target="https://registry.gdi-de.org/id/de.th/5bf25e39-19d5-4254-adac-63f1b1cec499/30013152" TargetMode="External"/><Relationship Id="rId390" Type="http://schemas.openxmlformats.org/officeDocument/2006/relationships/hyperlink" Target="https://registry.gdi-de.org/id/de.sh//10030084" TargetMode="External"/><Relationship Id="rId1" Type="http://schemas.openxmlformats.org/officeDocument/2006/relationships/hyperlink" Target="http://paikkatiedot.fi/so/1002031/pf/ProductionFacility/0100252736.ProductionFacility" TargetMode="External"/><Relationship Id="rId2" Type="http://schemas.openxmlformats.org/officeDocument/2006/relationships/hyperlink" Target="http://paikkatiedot.fi/so/1002031/pf/ProductionFacility/0000001254.ProductionFacility" TargetMode="External"/><Relationship Id="rId3" Type="http://schemas.openxmlformats.org/officeDocument/2006/relationships/hyperlink" Target="http://paikkatiedot.fi/so/1002031/pf/ProductionFacility/0000001348.ProductionFacility" TargetMode="External"/><Relationship Id="rId149" Type="http://schemas.openxmlformats.org/officeDocument/2006/relationships/hyperlink" Target="https://registry.gdi-de.org/id/de.nw.inspire.pf.bube-eureg/arb-2017-570020-500-0055819" TargetMode="External"/><Relationship Id="rId4" Type="http://schemas.openxmlformats.org/officeDocument/2006/relationships/hyperlink" Target="http://paikkatiedot.fi/so/1002031/pf/ProductionFacility/0000001111.ProductionFacility" TargetMode="External"/><Relationship Id="rId148" Type="http://schemas.openxmlformats.org/officeDocument/2006/relationships/hyperlink" Target="https://registry.gdi-de.org/id/de.by.inspire.pf.ied/S01167" TargetMode="External"/><Relationship Id="rId269" Type="http://schemas.openxmlformats.org/officeDocument/2006/relationships/hyperlink" Target="https://registry.gdi-de.org/id/de.sh//10000140" TargetMode="External"/><Relationship Id="rId9" Type="http://schemas.openxmlformats.org/officeDocument/2006/relationships/hyperlink" Target="http://paikkatiedot.fi/so/1002031/pf/ProductionFacility/0000001592.ProductionFacility" TargetMode="External"/><Relationship Id="rId143" Type="http://schemas.openxmlformats.org/officeDocument/2006/relationships/hyperlink" Target="https://registry.gdi-de.org/id/de.by.inspire.pf.ied/S00941" TargetMode="External"/><Relationship Id="rId264" Type="http://schemas.openxmlformats.org/officeDocument/2006/relationships/hyperlink" Target="https://data.ied_registry.omgeving.vlaanderen.be/id/productionfacility//BE.VL.000000016.FACILITY" TargetMode="External"/><Relationship Id="rId385" Type="http://schemas.openxmlformats.org/officeDocument/2006/relationships/hyperlink" Target="https://registry.gdi-de.org/id/de.nw.inspire.pf.bube-eureg/arb-2017-315000-300-0923949" TargetMode="External"/><Relationship Id="rId142" Type="http://schemas.openxmlformats.org/officeDocument/2006/relationships/hyperlink" Target="https://registry.gdi-de.org/id/de.nw.inspire.pf.bube-eureg/arb-2017-974016-900-0255642" TargetMode="External"/><Relationship Id="rId263" Type="http://schemas.openxmlformats.org/officeDocument/2006/relationships/hyperlink" Target="https://data.ied_registry.omgeving.vlaanderen.be/id/productionfacility//BE.VL.000000117.FACILITY" TargetMode="External"/><Relationship Id="rId384" Type="http://schemas.openxmlformats.org/officeDocument/2006/relationships/hyperlink" Target="https://registry.gdi-de.org/id/de.by.inspire.pf.ied/S00719" TargetMode="External"/><Relationship Id="rId141" Type="http://schemas.openxmlformats.org/officeDocument/2006/relationships/hyperlink" Target="https://registry.gdi-de.org/id/de.by.inspire.pf.ied/S00600" TargetMode="External"/><Relationship Id="rId262" Type="http://schemas.openxmlformats.org/officeDocument/2006/relationships/hyperlink" Target="https://data.ied_registry.omgeving.vlaanderen.be/id/productionfacility//BE.VL.000000067.FACILITY" TargetMode="External"/><Relationship Id="rId383" Type="http://schemas.openxmlformats.org/officeDocument/2006/relationships/hyperlink" Target="https://registry.gdi-de.org/id/de.st.lau.pf.anlagen-ied-euregistry/101086" TargetMode="External"/><Relationship Id="rId140" Type="http://schemas.openxmlformats.org/officeDocument/2006/relationships/hyperlink" Target="https://registry.gdi-de.org/id/de.sh//10038078" TargetMode="External"/><Relationship Id="rId261" Type="http://schemas.openxmlformats.org/officeDocument/2006/relationships/hyperlink" Target="https://registry.gdi-de.org/id/de.st.lau.pf.anlagen-ied-euregistry/100575" TargetMode="External"/><Relationship Id="rId382" Type="http://schemas.openxmlformats.org/officeDocument/2006/relationships/hyperlink" Target="https://registry.gdi-de.org/id/de.be.pf.lisa/173145" TargetMode="External"/><Relationship Id="rId5" Type="http://schemas.openxmlformats.org/officeDocument/2006/relationships/hyperlink" Target="http://paikkatiedot.fi/so/1002031/pf/ProductionFacility/0000001269.ProductionFacility" TargetMode="External"/><Relationship Id="rId147" Type="http://schemas.openxmlformats.org/officeDocument/2006/relationships/hyperlink" Target="https://registry.gdi-de.org/id/de.ni.mu/06221720040" TargetMode="External"/><Relationship Id="rId268" Type="http://schemas.openxmlformats.org/officeDocument/2006/relationships/hyperlink" Target="https://registry.gdi-de.org/id/de.bb.inspire.pf.eureg/45026224" TargetMode="External"/><Relationship Id="rId389" Type="http://schemas.openxmlformats.org/officeDocument/2006/relationships/hyperlink" Target="https://registry.gdi-de.org/id/de.nw.inspire.pf.bube-eureg/arb-2017-111000-100-0036701" TargetMode="External"/><Relationship Id="rId6" Type="http://schemas.openxmlformats.org/officeDocument/2006/relationships/hyperlink" Target="http://paikkatiedot.fi/so/1002031/pf/ProductionFacility/0000001919.ProductionFacility" TargetMode="External"/><Relationship Id="rId146" Type="http://schemas.openxmlformats.org/officeDocument/2006/relationships/hyperlink" Target="https://registry.gdi-de.org/id/de.nw.inspire.pf.bube-eureg/arb-2017-974020-900-0009824" TargetMode="External"/><Relationship Id="rId267" Type="http://schemas.openxmlformats.org/officeDocument/2006/relationships/hyperlink" Target="https://registry.gdi-de.org/id/de.rp.inspire.pf.bube-eureg/5000671" TargetMode="External"/><Relationship Id="rId388" Type="http://schemas.openxmlformats.org/officeDocument/2006/relationships/hyperlink" Target="https://registry.gdi-de.org/id/de.sl.inspire.pf//0101003-G" TargetMode="External"/><Relationship Id="rId7" Type="http://schemas.openxmlformats.org/officeDocument/2006/relationships/hyperlink" Target="http://paikkatiedot.fi/so/1002031/pf/ProductionFacility/0000001780.ProductionFacility" TargetMode="External"/><Relationship Id="rId145" Type="http://schemas.openxmlformats.org/officeDocument/2006/relationships/hyperlink" Target="https://registry.gdi-de.org/id/de.by.inspire.pf.ied/S00242" TargetMode="External"/><Relationship Id="rId266" Type="http://schemas.openxmlformats.org/officeDocument/2006/relationships/hyperlink" Target="https://data.ied_registry.omgeving.vlaanderen.be/id/productionfacility//BE.VL.000000661.FACILITY" TargetMode="External"/><Relationship Id="rId387" Type="http://schemas.openxmlformats.org/officeDocument/2006/relationships/hyperlink" Target="https://registry.gdi-de.org/id/de.st.lau.pf.anlagen-ied-euregistry/100876" TargetMode="External"/><Relationship Id="rId8" Type="http://schemas.openxmlformats.org/officeDocument/2006/relationships/hyperlink" Target="http://paikkatiedot.fi/so/1002031/pf/ProductionFacility/0000001560.ProductionFacility" TargetMode="External"/><Relationship Id="rId144" Type="http://schemas.openxmlformats.org/officeDocument/2006/relationships/hyperlink" Target="https://registry.gdi-de.org/id/de.by.inspire.pf.ied/S00935" TargetMode="External"/><Relationship Id="rId265" Type="http://schemas.openxmlformats.org/officeDocument/2006/relationships/hyperlink" Target="https://data.ied_registry.omgeving.vlaanderen.be/id/productionfacility//BE.VL.000000590.FACILITY" TargetMode="External"/><Relationship Id="rId386" Type="http://schemas.openxmlformats.org/officeDocument/2006/relationships/hyperlink" Target="https://registry.gdi-de.org/id/de.nw.inspire.pf.bube-eureg/arb-2017-954020-900-0125939" TargetMode="External"/><Relationship Id="rId260" Type="http://schemas.openxmlformats.org/officeDocument/2006/relationships/hyperlink" Target="https://registry.gdi-de.org/id/de.rp.inspire.pf.bube-eureg/4000050" TargetMode="External"/><Relationship Id="rId381" Type="http://schemas.openxmlformats.org/officeDocument/2006/relationships/hyperlink" Target="https://registry.gdi-de.org/id/de.be.pf.lisa/169709" TargetMode="External"/><Relationship Id="rId380" Type="http://schemas.openxmlformats.org/officeDocument/2006/relationships/hyperlink" Target="https://registry.gdi-de.org/id/de.nw.inspire.pf.bube-eureg/arb-2022-916000-900-0011514" TargetMode="External"/><Relationship Id="rId139" Type="http://schemas.openxmlformats.org/officeDocument/2006/relationships/hyperlink" Target="https://registry.gdi-de.org/id/de.bb.inspire.pf.eureg/23020947" TargetMode="External"/><Relationship Id="rId138" Type="http://schemas.openxmlformats.org/officeDocument/2006/relationships/hyperlink" Target="http://paikkatiedot.fi/so/1002031/pf/ProductionFacility/0000002577.ProductionFacility" TargetMode="External"/><Relationship Id="rId259" Type="http://schemas.openxmlformats.org/officeDocument/2006/relationships/hyperlink" Target="https://data.ied_registry.omgeving.vlaanderen.be/id/productionfacility//BE.VL.000000468.FACILITY" TargetMode="External"/><Relationship Id="rId137" Type="http://schemas.openxmlformats.org/officeDocument/2006/relationships/hyperlink" Target="http://paikkatiedot.fi/so/1002031/pf/ProductionFacility/0000002779.ProductionFacility" TargetMode="External"/><Relationship Id="rId258" Type="http://schemas.openxmlformats.org/officeDocument/2006/relationships/hyperlink" Target="https://registry.gdi-de.org/id/de.he.0945.de7.pf.eu_industrie/50000118" TargetMode="External"/><Relationship Id="rId379" Type="http://schemas.openxmlformats.org/officeDocument/2006/relationships/hyperlink" Target="https://registry.gdi-de.org/id/de.by.inspire.pf.ied/S00044" TargetMode="External"/><Relationship Id="rId132" Type="http://schemas.openxmlformats.org/officeDocument/2006/relationships/hyperlink" Target="https://data.ied_registry.omgeving.vlaanderen.be/id/productionfacility//BE.VL.000000424.FACILITY" TargetMode="External"/><Relationship Id="rId253" Type="http://schemas.openxmlformats.org/officeDocument/2006/relationships/hyperlink" Target="https://registry.gdi-de.org/id/de.hh/pf.bube-eureg_/13200" TargetMode="External"/><Relationship Id="rId374" Type="http://schemas.openxmlformats.org/officeDocument/2006/relationships/hyperlink" Target="https://registry.gdi-de.org/id/de.rp.inspire.pf.bube-eureg/4000021" TargetMode="External"/><Relationship Id="rId495" Type="http://schemas.openxmlformats.org/officeDocument/2006/relationships/hyperlink" Target="https://registry.gdi-de.org/id/de.nw.inspire.pf.bube-eureg/arb-2017-915000-900-0302988" TargetMode="External"/><Relationship Id="rId131" Type="http://schemas.openxmlformats.org/officeDocument/2006/relationships/hyperlink" Target="https://data.ied_registry.omgeving.vlaanderen.be/id/productionfacility//BE.VL.000000605.FACILITY" TargetMode="External"/><Relationship Id="rId252" Type="http://schemas.openxmlformats.org/officeDocument/2006/relationships/hyperlink" Target="https://registry.gdi-de.org/id/de.nw.inspire.pf.bube-eureg/arb-2017-162024-100-0082185" TargetMode="External"/><Relationship Id="rId373" Type="http://schemas.openxmlformats.org/officeDocument/2006/relationships/hyperlink" Target="https://registry.gdi-de.org/id/de.sn.sax4inspire.pf/70015868" TargetMode="External"/><Relationship Id="rId494" Type="http://schemas.openxmlformats.org/officeDocument/2006/relationships/hyperlink" Target="https://registry.gdi-de.org/id/de.ni.mu/06060181710" TargetMode="External"/><Relationship Id="rId130" Type="http://schemas.openxmlformats.org/officeDocument/2006/relationships/hyperlink" Target="https://data.gov.sk/set/data/so/57002803_minzp/pf:ProductionFacility/57002803.NRZ.FACILITY" TargetMode="External"/><Relationship Id="rId251" Type="http://schemas.openxmlformats.org/officeDocument/2006/relationships/hyperlink" Target="https://registry.gdi-de.org/id/de.by.inspire.pf.ied/S00223" TargetMode="External"/><Relationship Id="rId372" Type="http://schemas.openxmlformats.org/officeDocument/2006/relationships/hyperlink" Target="https://registry.gdi-de.org/id/de.be.pf.lisa/172654" TargetMode="External"/><Relationship Id="rId493" Type="http://schemas.openxmlformats.org/officeDocument/2006/relationships/hyperlink" Target="https://registry.gdi-de.org/id/de.nw.inspire.pf.bube-eureg/arb-2017-314000-300-0362088" TargetMode="External"/><Relationship Id="rId250" Type="http://schemas.openxmlformats.org/officeDocument/2006/relationships/hyperlink" Target="https://registry.gdi-de.org/id/de.st.lau.pf.anlagen-ied-euregistry/100864" TargetMode="External"/><Relationship Id="rId371" Type="http://schemas.openxmlformats.org/officeDocument/2006/relationships/hyperlink" Target="https://registry.gdi-de.org/id/de.hb//de.hb.pf.bube-eureg.06-04-11/2001178/8/0" TargetMode="External"/><Relationship Id="rId492" Type="http://schemas.openxmlformats.org/officeDocument/2006/relationships/hyperlink" Target="https://registry.gdi-de.org/id/de.he.0945.de7.pf.eu_industrie/50003355" TargetMode="External"/><Relationship Id="rId136" Type="http://schemas.openxmlformats.org/officeDocument/2006/relationships/hyperlink" Target="https://registry.gdi-de.org/id/de.by.inspire.pf.ied/S00334" TargetMode="External"/><Relationship Id="rId257" Type="http://schemas.openxmlformats.org/officeDocument/2006/relationships/hyperlink" Target="https://registry.gdi-de.org/id/de.nw.inspire.pf.bube-eureg/arb-2017-113000-100-0327911" TargetMode="External"/><Relationship Id="rId378" Type="http://schemas.openxmlformats.org/officeDocument/2006/relationships/hyperlink" Target="https://registry.gdi-de.org/id/de.be.pf.lisa/234566" TargetMode="External"/><Relationship Id="rId499" Type="http://schemas.openxmlformats.org/officeDocument/2006/relationships/hyperlink" Target="https://registry.gdi-de.org/id/de.bb.inspire.pf.eureg/45035910" TargetMode="External"/><Relationship Id="rId135" Type="http://schemas.openxmlformats.org/officeDocument/2006/relationships/hyperlink" Target="https://registry.gdi-de.org/id/de.ni.mu/09281734280" TargetMode="External"/><Relationship Id="rId256" Type="http://schemas.openxmlformats.org/officeDocument/2006/relationships/hyperlink" Target="https://registry.gdi-de.org/id/de.nw.inspire.pf.bube-eureg/arb-2017-162024-100-0173542" TargetMode="External"/><Relationship Id="rId377" Type="http://schemas.openxmlformats.org/officeDocument/2006/relationships/hyperlink" Target="https://registry.gdi-de.org/id/de.nw.inspire.pf.bube-eureg/arb-2017-915000-900-9140178" TargetMode="External"/><Relationship Id="rId498" Type="http://schemas.openxmlformats.org/officeDocument/2006/relationships/hyperlink" Target="https://registry.gdi-de.org/id/de.by.inspire.pf.ied/S00053" TargetMode="External"/><Relationship Id="rId134" Type="http://schemas.openxmlformats.org/officeDocument/2006/relationships/hyperlink" Target="https://data.ied_registry.omgeving.vlaanderen.be/id/productionfacility//BE.VL.000000618.FACILITY" TargetMode="External"/><Relationship Id="rId255" Type="http://schemas.openxmlformats.org/officeDocument/2006/relationships/hyperlink" Target="https://registry.gdi-de.org/id/de.hh/pf.bube-eureg_/12233" TargetMode="External"/><Relationship Id="rId376" Type="http://schemas.openxmlformats.org/officeDocument/2006/relationships/hyperlink" Target="https://registry.gdi-de.org/id/de.ni.mu/01010157480" TargetMode="External"/><Relationship Id="rId497" Type="http://schemas.openxmlformats.org/officeDocument/2006/relationships/hyperlink" Target="https://registry.gdi-de.org/id/de.by.inspire.pf.ied/S00052" TargetMode="External"/><Relationship Id="rId133" Type="http://schemas.openxmlformats.org/officeDocument/2006/relationships/hyperlink" Target="https://data.ied_registry.omgeving.vlaanderen.be/id/productionfacility//BE.VL.000000132.FACILITY" TargetMode="External"/><Relationship Id="rId254" Type="http://schemas.openxmlformats.org/officeDocument/2006/relationships/hyperlink" Target="https://registry.gdi-de.org/id/de.nw.inspire.pf.bube-eureg/arb-2017-978024-900-0877505" TargetMode="External"/><Relationship Id="rId375" Type="http://schemas.openxmlformats.org/officeDocument/2006/relationships/hyperlink" Target="https://registry.gdi-de.org/id/de.sh//50082038" TargetMode="External"/><Relationship Id="rId496" Type="http://schemas.openxmlformats.org/officeDocument/2006/relationships/hyperlink" Target="https://registry.gdi-de.org/id/de.by.inspire.pf.ied/S00971" TargetMode="External"/><Relationship Id="rId172" Type="http://schemas.openxmlformats.org/officeDocument/2006/relationships/hyperlink" Target="https://registry.gdi-de.org/id/de.nw.inspire.pf.bube-eureg/arb-2017-358024-300-0907015" TargetMode="External"/><Relationship Id="rId293" Type="http://schemas.openxmlformats.org/officeDocument/2006/relationships/hyperlink" Target="https://registry.gdi-de.org/id/de.bb.inspire.pf.eureg/23020136" TargetMode="External"/><Relationship Id="rId171" Type="http://schemas.openxmlformats.org/officeDocument/2006/relationships/hyperlink" Target="https://registry.gdi-de.org/id/de.rp.inspire.pf.bube-eureg/5000152" TargetMode="External"/><Relationship Id="rId292" Type="http://schemas.openxmlformats.org/officeDocument/2006/relationships/hyperlink" Target="https://registry.gdi-de.org/id/de.ni.mu/04247180070" TargetMode="External"/><Relationship Id="rId170" Type="http://schemas.openxmlformats.org/officeDocument/2006/relationships/hyperlink" Target="https://registry.gdi-de.org/id/de.by.inspire.pf.ied/S00962" TargetMode="External"/><Relationship Id="rId291" Type="http://schemas.openxmlformats.org/officeDocument/2006/relationships/hyperlink" Target="https://registry.gdi-de.org/id/de.rp.inspire.pf.bube-eureg/1000136" TargetMode="External"/><Relationship Id="rId290" Type="http://schemas.openxmlformats.org/officeDocument/2006/relationships/hyperlink" Target="https://registry.gdi-de.org/id/de.ni.mu/09281337040" TargetMode="External"/><Relationship Id="rId165" Type="http://schemas.openxmlformats.org/officeDocument/2006/relationships/hyperlink" Target="https://registry.gdi-de.org/id/de.he.0945.de7.pf.eu_industrie/60000291" TargetMode="External"/><Relationship Id="rId286" Type="http://schemas.openxmlformats.org/officeDocument/2006/relationships/hyperlink" Target="https://registry.gdi-de.org/id/de.bb.inspire.pf.eureg/23020389" TargetMode="External"/><Relationship Id="rId164" Type="http://schemas.openxmlformats.org/officeDocument/2006/relationships/hyperlink" Target="https://registry.gdi-de.org/id/de.hb//de.hb.pf.bube-eureg.06-04-11/2005384/0/0" TargetMode="External"/><Relationship Id="rId285" Type="http://schemas.openxmlformats.org/officeDocument/2006/relationships/hyperlink" Target="https://registry.gdi-de.org/id/de.nw.inspire.pf.bube-eureg/arb-2017-958012-900-0235121" TargetMode="External"/><Relationship Id="rId163" Type="http://schemas.openxmlformats.org/officeDocument/2006/relationships/hyperlink" Target="https://registry.gdi-de.org/id/de.sl.inspire.pf//0050559-G" TargetMode="External"/><Relationship Id="rId284" Type="http://schemas.openxmlformats.org/officeDocument/2006/relationships/hyperlink" Target="https://registry.gdi-de.org/id/de.nw.inspire.pf.bube-eureg/arb-2021-562024-500-0016694" TargetMode="External"/><Relationship Id="rId162" Type="http://schemas.openxmlformats.org/officeDocument/2006/relationships/hyperlink" Target="https://registry.gdi-de.org/id/de.hb//de.hb.pf.bube-eureg.06-04-11/2005382/5/0" TargetMode="External"/><Relationship Id="rId283" Type="http://schemas.openxmlformats.org/officeDocument/2006/relationships/hyperlink" Target="https://registry.gdi-de.org/id/de.nw.inspire.pf.bube-eureg/arb-2017-170024-100-0989193" TargetMode="External"/><Relationship Id="rId169" Type="http://schemas.openxmlformats.org/officeDocument/2006/relationships/hyperlink" Target="https://registry.gdi-de.org/id/de.ni.mu/07244473830" TargetMode="External"/><Relationship Id="rId168" Type="http://schemas.openxmlformats.org/officeDocument/2006/relationships/hyperlink" Target="https://registry.gdi-de.org/id/de.nw.inspire.pf.bube-eureg/arb-2017-114000-100-0018507" TargetMode="External"/><Relationship Id="rId289" Type="http://schemas.openxmlformats.org/officeDocument/2006/relationships/hyperlink" Target="https://registry.gdi-de.org/id/de.ni.mu/07244141350" TargetMode="External"/><Relationship Id="rId167" Type="http://schemas.openxmlformats.org/officeDocument/2006/relationships/hyperlink" Target="https://registry.gdi-de.org/id/de.ni.mu/08271405180" TargetMode="External"/><Relationship Id="rId288" Type="http://schemas.openxmlformats.org/officeDocument/2006/relationships/hyperlink" Target="https://registry.gdi-de.org/id/de.by.inspire.pf.ied/S00282" TargetMode="External"/><Relationship Id="rId166" Type="http://schemas.openxmlformats.org/officeDocument/2006/relationships/hyperlink" Target="https://registry.gdi-de.org/id/de.nw.inspire.pf.bube-eureg/arb-2017-911000-900-9000294" TargetMode="External"/><Relationship Id="rId287" Type="http://schemas.openxmlformats.org/officeDocument/2006/relationships/hyperlink" Target="https://registry.gdi-de.org/id/de.by.inspire.pf.ied/S00552" TargetMode="External"/><Relationship Id="rId161" Type="http://schemas.openxmlformats.org/officeDocument/2006/relationships/hyperlink" Target="https://registry.gdi-de.org/id/de.nw.inspire.pf.bube-eureg/arb-2017-512000-500-1185268" TargetMode="External"/><Relationship Id="rId282" Type="http://schemas.openxmlformats.org/officeDocument/2006/relationships/hyperlink" Target="https://registry.gdi-de.org/id/de.nw.inspire.pf.bube-eureg/arb-2017-316000-300-1114955" TargetMode="External"/><Relationship Id="rId160" Type="http://schemas.openxmlformats.org/officeDocument/2006/relationships/hyperlink" Target="https://registry.gdi-de.org/id/de.sl.inspire.pf//0078668-G" TargetMode="External"/><Relationship Id="rId281" Type="http://schemas.openxmlformats.org/officeDocument/2006/relationships/hyperlink" Target="https://registry.gdi-de.org/id/de.nw.inspire.pf.bube-eureg/arb-2017-119000-100-0990908" TargetMode="External"/><Relationship Id="rId280" Type="http://schemas.openxmlformats.org/officeDocument/2006/relationships/hyperlink" Target="https://registry.gdi-de.org/id/de.by.inspire.pf.ied/S00222" TargetMode="External"/><Relationship Id="rId159" Type="http://schemas.openxmlformats.org/officeDocument/2006/relationships/hyperlink" Target="https://registry.gdi-de.org/id/de.nw.inspire.pf.bube-eureg/arb-2017-112000-100-0990890" TargetMode="External"/><Relationship Id="rId154" Type="http://schemas.openxmlformats.org/officeDocument/2006/relationships/hyperlink" Target="https://registry.gdi-de.org/id/de.nw.inspire.pf.bube-eureg/arb-2017-570008-500-0050929" TargetMode="External"/><Relationship Id="rId275" Type="http://schemas.openxmlformats.org/officeDocument/2006/relationships/hyperlink" Target="https://registry.gdi-de.org/id/de.sn.sax4inspire.pf/80011248" TargetMode="External"/><Relationship Id="rId396" Type="http://schemas.openxmlformats.org/officeDocument/2006/relationships/hyperlink" Target="https://registry.gdi-de.org/id/de.by.inspire.pf.ied/S00925" TargetMode="External"/><Relationship Id="rId153" Type="http://schemas.openxmlformats.org/officeDocument/2006/relationships/hyperlink" Target="https://registry.gdi-de.org/id/de.by.inspire.pf.ied/S00839" TargetMode="External"/><Relationship Id="rId274" Type="http://schemas.openxmlformats.org/officeDocument/2006/relationships/hyperlink" Target="http://paikkatiedot.fi/so/1002031/pf/ProductionFacility/0000003500.ProductionFacility" TargetMode="External"/><Relationship Id="rId395" Type="http://schemas.openxmlformats.org/officeDocument/2006/relationships/hyperlink" Target="https://registry.gdi-de.org/id/de.by.inspire.pf.ied/S00842" TargetMode="External"/><Relationship Id="rId152" Type="http://schemas.openxmlformats.org/officeDocument/2006/relationships/hyperlink" Target="https://registry.gdi-de.org/id/de.nw.inspire.pf.bube-eureg/arb-2017-974016-900-0014514" TargetMode="External"/><Relationship Id="rId273" Type="http://schemas.openxmlformats.org/officeDocument/2006/relationships/hyperlink" Target="https://data.ied_registry.omgeving.vlaanderen.be/id/productionfacility//BE.VL.000000162.FACILITY" TargetMode="External"/><Relationship Id="rId394" Type="http://schemas.openxmlformats.org/officeDocument/2006/relationships/hyperlink" Target="https://registry.gdi-de.org/id/de.nw.inspire.pf.bube-eureg/arb-2017-362028-300-9046030" TargetMode="External"/><Relationship Id="rId151" Type="http://schemas.openxmlformats.org/officeDocument/2006/relationships/hyperlink" Target="https://registry.gdi-de.org/id/de.ni.mu/06291730660" TargetMode="External"/><Relationship Id="rId272" Type="http://schemas.openxmlformats.org/officeDocument/2006/relationships/hyperlink" Target="https://data.ied_registry.omgeving.vlaanderen.be/id/productionfacility//BE.VL.000000093.FACILITY" TargetMode="External"/><Relationship Id="rId393" Type="http://schemas.openxmlformats.org/officeDocument/2006/relationships/hyperlink" Target="https://registry.gdi-de.org/id/de.nw.inspire.pf.bube-eureg/arb-2017-112000-100-0229264" TargetMode="External"/><Relationship Id="rId158" Type="http://schemas.openxmlformats.org/officeDocument/2006/relationships/hyperlink" Target="https://registry.gdi-de.org/id/de.nw.inspire.pf.bube-eureg/arb-2017-362008-800-0197043" TargetMode="External"/><Relationship Id="rId279" Type="http://schemas.openxmlformats.org/officeDocument/2006/relationships/hyperlink" Target="https://registry.gdi-de.org/id/de.by.inspire.pf.ied/S00114" TargetMode="External"/><Relationship Id="rId157" Type="http://schemas.openxmlformats.org/officeDocument/2006/relationships/hyperlink" Target="https://registry.gdi-de.org/id/de.rp.inspire.pf.bube-eureg/3000130" TargetMode="External"/><Relationship Id="rId278" Type="http://schemas.openxmlformats.org/officeDocument/2006/relationships/hyperlink" Target="https://registry.gdi-de.org/id/de.nw.inspire.pf.bube-eureg/arb-2017-562024-500-0875785" TargetMode="External"/><Relationship Id="rId399" Type="http://schemas.openxmlformats.org/officeDocument/2006/relationships/hyperlink" Target="https://registry.gdi-de.org/id/de.mv.land.inspire.pf.bube/30000298" TargetMode="External"/><Relationship Id="rId156" Type="http://schemas.openxmlformats.org/officeDocument/2006/relationships/hyperlink" Target="https://registry.gdi-de.org/id/de.he.0945.de7.pf.eu_industrie/50002043" TargetMode="External"/><Relationship Id="rId277" Type="http://schemas.openxmlformats.org/officeDocument/2006/relationships/hyperlink" Target="https://registry.gdi-de.org/id/de.nw.inspire.pf.bube-eureg/arb-2017-362040-300-0215520" TargetMode="External"/><Relationship Id="rId398" Type="http://schemas.openxmlformats.org/officeDocument/2006/relationships/hyperlink" Target="https://registry.gdi-de.org/id/de.he.0945.de7.pf.eu_industrie/80000333" TargetMode="External"/><Relationship Id="rId155" Type="http://schemas.openxmlformats.org/officeDocument/2006/relationships/hyperlink" Target="https://registry.gdi-de.org/id/de.nw.inspire.pf.bube-eureg/arb-2017-774032-700-0038968" TargetMode="External"/><Relationship Id="rId276" Type="http://schemas.openxmlformats.org/officeDocument/2006/relationships/hyperlink" Target="https://registry.gdi-de.org/id/de.nw.inspire.pf.bube-eureg/arb-2017-315000-300-0928938" TargetMode="External"/><Relationship Id="rId397" Type="http://schemas.openxmlformats.org/officeDocument/2006/relationships/hyperlink" Target="https://registry.gdi-de.org/id/de.bb.inspire.pf.eureg/16018798" TargetMode="External"/><Relationship Id="rId40" Type="http://schemas.openxmlformats.org/officeDocument/2006/relationships/hyperlink" Target="https://registry.gdi-de.org/id/de.nw.inspire.pf.bube-eureg/arb-2017-170032-100-0989137" TargetMode="External"/><Relationship Id="rId42" Type="http://schemas.openxmlformats.org/officeDocument/2006/relationships/hyperlink" Target="http://paikkatiedot.fi/so/1002031/pf/ProductionFacility/0100050963.ProductionFacility" TargetMode="External"/><Relationship Id="rId41" Type="http://schemas.openxmlformats.org/officeDocument/2006/relationships/hyperlink" Target="http://paikkatiedot.fi/so/1002031/pf/ProductionFacility/0000011208.ProductionFacility" TargetMode="External"/><Relationship Id="rId44" Type="http://schemas.openxmlformats.org/officeDocument/2006/relationships/hyperlink" Target="https://registry.gdi-de.org/id/de.rp.inspire.pf.bube-eureg/4000267" TargetMode="External"/><Relationship Id="rId43" Type="http://schemas.openxmlformats.org/officeDocument/2006/relationships/hyperlink" Target="http://paikkatiedot.fi/so/1002031/pf/ProductionFacility/0000002160.ProductionFacility" TargetMode="External"/><Relationship Id="rId46" Type="http://schemas.openxmlformats.org/officeDocument/2006/relationships/hyperlink" Target="https://registry.gdi-de.org/id/de.nw.inspire.pf.bube-eureg/arb-2017-362028-300-9968049" TargetMode="External"/><Relationship Id="rId45" Type="http://schemas.openxmlformats.org/officeDocument/2006/relationships/hyperlink" Target="http://paikkatiedot.fi/so/1002031/pf/ProductionFacility/0000002157.ProductionFacility" TargetMode="External"/><Relationship Id="rId509" Type="http://schemas.openxmlformats.org/officeDocument/2006/relationships/hyperlink" Target="https://registry.gdi-de.org/id/de.bw.lubw.inspire.pf//pf-450-7024258-00000000" TargetMode="External"/><Relationship Id="rId508" Type="http://schemas.openxmlformats.org/officeDocument/2006/relationships/hyperlink" Target="https://registry.gdi-de.org/id/de.rp.inspire.pf.bube-eureg/5000603" TargetMode="External"/><Relationship Id="rId503" Type="http://schemas.openxmlformats.org/officeDocument/2006/relationships/hyperlink" Target="https://registry.gdi-de.org/id/de.rp.inspire.pf.bube-eureg/5000299" TargetMode="External"/><Relationship Id="rId502" Type="http://schemas.openxmlformats.org/officeDocument/2006/relationships/hyperlink" Target="https://registry.gdi-de.org/id/de.ni.mu/04000025140" TargetMode="External"/><Relationship Id="rId501" Type="http://schemas.openxmlformats.org/officeDocument/2006/relationships/hyperlink" Target="https://registry.gdi-de.org/id/de.he.0945.de7.pf.eu_industrie/30001052" TargetMode="External"/><Relationship Id="rId500" Type="http://schemas.openxmlformats.org/officeDocument/2006/relationships/hyperlink" Target="https://registry.gdi-de.org/id/de.by.inspire.pf.ied/S00706" TargetMode="External"/><Relationship Id="rId507" Type="http://schemas.openxmlformats.org/officeDocument/2006/relationships/hyperlink" Target="https://registry.gdi-de.org/id/de.hh/pf.bube-eureg_/12562" TargetMode="External"/><Relationship Id="rId506" Type="http://schemas.openxmlformats.org/officeDocument/2006/relationships/hyperlink" Target="https://registry.gdi-de.org/id/de.he.0945.de7.pf.eu_industrie/20000115" TargetMode="External"/><Relationship Id="rId505" Type="http://schemas.openxmlformats.org/officeDocument/2006/relationships/hyperlink" Target="https://registry.gdi-de.org/id/de.by.inspire.pf.ied/S00857" TargetMode="External"/><Relationship Id="rId504" Type="http://schemas.openxmlformats.org/officeDocument/2006/relationships/hyperlink" Target="https://registry.gdi-de.org/id/de.nw.inspire.pf.bube-eureg/arb-2017-316000-300-0535035" TargetMode="External"/><Relationship Id="rId48" Type="http://schemas.openxmlformats.org/officeDocument/2006/relationships/hyperlink" Target="http://paikkatiedot.fi/so/1002031/pf/ProductionFacility/0100198358.ProductionFacility" TargetMode="External"/><Relationship Id="rId47" Type="http://schemas.openxmlformats.org/officeDocument/2006/relationships/hyperlink" Target="http://paikkatiedot.fi/so/1002031/pf/ProductionFacility/0000001216.ProductionFacility" TargetMode="External"/><Relationship Id="rId49" Type="http://schemas.openxmlformats.org/officeDocument/2006/relationships/hyperlink" Target="http://paikkatiedot.fi/so/1002031/pf/ProductionFacility/0000002591.ProductionFacility" TargetMode="External"/><Relationship Id="rId31" Type="http://schemas.openxmlformats.org/officeDocument/2006/relationships/hyperlink" Target="http://paikkatiedot.fi/so/1002031/pf/ProductionFacility/0000001861.ProductionFacility" TargetMode="External"/><Relationship Id="rId30" Type="http://schemas.openxmlformats.org/officeDocument/2006/relationships/hyperlink" Target="http://paikkatiedot.fi/so/1002031/pf/ProductionFacility/0000002677.ProductionFacility" TargetMode="External"/><Relationship Id="rId33" Type="http://schemas.openxmlformats.org/officeDocument/2006/relationships/hyperlink" Target="https://registry.gdi-de.org/id/de.nw.inspire.pf.bube-eureg/arb-2017-124000-100-0113340" TargetMode="External"/><Relationship Id="rId32" Type="http://schemas.openxmlformats.org/officeDocument/2006/relationships/hyperlink" Target="http://paikkatiedot.fi/so/1002031/pf/ProductionFacility/0000001784.ProductionFacility" TargetMode="External"/><Relationship Id="rId35" Type="http://schemas.openxmlformats.org/officeDocument/2006/relationships/hyperlink" Target="http://paikkatiedot.fi/so/1002031/pf/ProductionFacility/0000001162.ProductionFacility" TargetMode="External"/><Relationship Id="rId34" Type="http://schemas.openxmlformats.org/officeDocument/2006/relationships/hyperlink" Target="https://registry.gdi-de.org/id/de.he.0945.de7.pf.eu_industrie/30000112" TargetMode="External"/><Relationship Id="rId37" Type="http://schemas.openxmlformats.org/officeDocument/2006/relationships/hyperlink" Target="http://paikkatiedot.fi/so/1002031/pf/ProductionFacility/0000001992.ProductionFacility" TargetMode="External"/><Relationship Id="rId36" Type="http://schemas.openxmlformats.org/officeDocument/2006/relationships/hyperlink" Target="https://registry.gdi-de.org/id/de.hb//de.hb.pf.bube-eureg.06-04-11/2001178/8/6" TargetMode="External"/><Relationship Id="rId39" Type="http://schemas.openxmlformats.org/officeDocument/2006/relationships/hyperlink" Target="http://paikkatiedot.fi/so/1002031/pf/ProductionFacility/0000001495.ProductionFacility" TargetMode="External"/><Relationship Id="rId38" Type="http://schemas.openxmlformats.org/officeDocument/2006/relationships/hyperlink" Target="http://paikkatiedot.fi/so/1002031/pf/ProductionFacility/0000001294.ProductionFacility" TargetMode="External"/><Relationship Id="rId20" Type="http://schemas.openxmlformats.org/officeDocument/2006/relationships/hyperlink" Target="https://registry.gdi-de.org/id/de.bw.lubw.inspire.pf//pf-450-2719142-00000000" TargetMode="External"/><Relationship Id="rId22" Type="http://schemas.openxmlformats.org/officeDocument/2006/relationships/hyperlink" Target="http://paikkatiedot.fi/so/1002031/pf/ProductionFacility/0100183092.ProductionFacility" TargetMode="External"/><Relationship Id="rId21" Type="http://schemas.openxmlformats.org/officeDocument/2006/relationships/hyperlink" Target="https://data.ied_registry.omgeving.vlaanderen.be/id/productionfacility//BE.VL.000000714.FACILITY" TargetMode="External"/><Relationship Id="rId24" Type="http://schemas.openxmlformats.org/officeDocument/2006/relationships/hyperlink" Target="http://paikkatiedot.fi/so/1002031/pf/ProductionFacility/0000003238.ProductionFacility" TargetMode="External"/><Relationship Id="rId23" Type="http://schemas.openxmlformats.org/officeDocument/2006/relationships/hyperlink" Target="http://paikkatiedot.fi/so/1002031/pf/ProductionFacility/0000001177.ProductionFacility" TargetMode="External"/><Relationship Id="rId409" Type="http://schemas.openxmlformats.org/officeDocument/2006/relationships/hyperlink" Target="https://registry.gdi-de.org/id/de.hb//de.hb.pf.bube-eureg.06-04-11/2000122/0/0" TargetMode="External"/><Relationship Id="rId404" Type="http://schemas.openxmlformats.org/officeDocument/2006/relationships/hyperlink" Target="https://registry.gdi-de.org/id/de.bw.lubw.inspire.pf//pf-450-3042693-00000000" TargetMode="External"/><Relationship Id="rId403" Type="http://schemas.openxmlformats.org/officeDocument/2006/relationships/hyperlink" Target="https://registry.gdi-de.org/id/de.st.lau.pf.anlagen-ied-euregistry/100032" TargetMode="External"/><Relationship Id="rId402" Type="http://schemas.openxmlformats.org/officeDocument/2006/relationships/hyperlink" Target="https://registry.gdi-de.org/id/de.by.inspire.pf.ied/S00311" TargetMode="External"/><Relationship Id="rId401" Type="http://schemas.openxmlformats.org/officeDocument/2006/relationships/hyperlink" Target="https://registry.gdi-de.org/id/de.he.0945.de7.pf.eu_industrie/50000213" TargetMode="External"/><Relationship Id="rId408" Type="http://schemas.openxmlformats.org/officeDocument/2006/relationships/hyperlink" Target="https://registry.gdi-de.org/id/de.sn.sax4inspire.pf/80011256" TargetMode="External"/><Relationship Id="rId407" Type="http://schemas.openxmlformats.org/officeDocument/2006/relationships/hyperlink" Target="https://registry.gdi-de.org/id/de.st.lau.pf.anlagen-ied-euregistry/100419" TargetMode="External"/><Relationship Id="rId406" Type="http://schemas.openxmlformats.org/officeDocument/2006/relationships/hyperlink" Target="https://registry.gdi-de.org/id/de.nw.inspire.pf.bube-eureg/arb-2017-362028-300-9975553" TargetMode="External"/><Relationship Id="rId405" Type="http://schemas.openxmlformats.org/officeDocument/2006/relationships/hyperlink" Target="https://registry.gdi-de.org/id/de.he.0945.de7.pf.eu_industrie/30000963" TargetMode="External"/><Relationship Id="rId26" Type="http://schemas.openxmlformats.org/officeDocument/2006/relationships/hyperlink" Target="http://paikkatiedot.fi/so/1002031/pf/ProductionFacility/0000003574.ProductionFacility" TargetMode="External"/><Relationship Id="rId25" Type="http://schemas.openxmlformats.org/officeDocument/2006/relationships/hyperlink" Target="http://paikkatiedot.fi/so/1002031/pf/ProductionFacility/0000001170.ProductionFacility" TargetMode="External"/><Relationship Id="rId28" Type="http://schemas.openxmlformats.org/officeDocument/2006/relationships/hyperlink" Target="https://data.gov.sk/set/data/so/57011803_minzp/pf:ProductionFacility/57011803.NRZ.FACILITY" TargetMode="External"/><Relationship Id="rId27" Type="http://schemas.openxmlformats.org/officeDocument/2006/relationships/hyperlink" Target="http://paikkatiedot.fi/so/1002031/pf/ProductionFacility/0000001262.ProductionFacility" TargetMode="External"/><Relationship Id="rId400" Type="http://schemas.openxmlformats.org/officeDocument/2006/relationships/hyperlink" Target="https://registry.gdi-de.org/id/de.ni.mu/06060117340" TargetMode="External"/><Relationship Id="rId29" Type="http://schemas.openxmlformats.org/officeDocument/2006/relationships/hyperlink" Target="http://paikkatiedot.fi/so/1002031/pf/ProductionFacility/0000001406.ProductionFacility" TargetMode="External"/><Relationship Id="rId11" Type="http://schemas.openxmlformats.org/officeDocument/2006/relationships/hyperlink" Target="http://paikkatiedot.fi/so/1002031/pf/ProductionFacility/0000001728.ProductionFacility" TargetMode="External"/><Relationship Id="rId10" Type="http://schemas.openxmlformats.org/officeDocument/2006/relationships/hyperlink" Target="http://paikkatiedot.fi/so/1002031/pf/ProductionFacility/0000001409.ProductionFacility" TargetMode="External"/><Relationship Id="rId13" Type="http://schemas.openxmlformats.org/officeDocument/2006/relationships/hyperlink" Target="http://paikkatiedot.fi/so/1002031/pf/ProductionFacility/0000063404.ProductionFacility" TargetMode="External"/><Relationship Id="rId12" Type="http://schemas.openxmlformats.org/officeDocument/2006/relationships/hyperlink" Target="http://paikkatiedot.fi/so/1002031/pf/ProductionFacility/0000018120.ProductionFacility" TargetMode="External"/><Relationship Id="rId514" Type="http://schemas.openxmlformats.org/officeDocument/2006/relationships/hyperlink" Target="https://registry.gdi-de.org/id/de.nw.inspire.pf.bube-eureg/arb-2017-962024-900-0235202" TargetMode="External"/><Relationship Id="rId513" Type="http://schemas.openxmlformats.org/officeDocument/2006/relationships/hyperlink" Target="https://registry.gdi-de.org/id/de.by.inspire.pf.ied/S00638" TargetMode="External"/><Relationship Id="rId512" Type="http://schemas.openxmlformats.org/officeDocument/2006/relationships/hyperlink" Target="https://registry.gdi-de.org/id/de.by.inspire.pf.ied/S00018" TargetMode="External"/><Relationship Id="rId511" Type="http://schemas.openxmlformats.org/officeDocument/2006/relationships/hyperlink" Target="https://registry.gdi-de.org/id/de.mv.land.inspire.pf.bube/50002562" TargetMode="External"/><Relationship Id="rId517" Type="http://schemas.openxmlformats.org/officeDocument/2006/relationships/table" Target="../tables/table21.xml"/><Relationship Id="rId515" Type="http://schemas.openxmlformats.org/officeDocument/2006/relationships/drawing" Target="../drawings/drawing18.xml"/><Relationship Id="rId15" Type="http://schemas.openxmlformats.org/officeDocument/2006/relationships/hyperlink" Target="https://data.ied_registry.omgeving.vlaanderen.be/id/productionfacility//BE.VL.000000640.FACILITY" TargetMode="External"/><Relationship Id="rId14" Type="http://schemas.openxmlformats.org/officeDocument/2006/relationships/hyperlink" Target="http://paikkatiedot.fi/so/1002031/pf/ProductionFacility/0100304897.ProductionFacility" TargetMode="External"/><Relationship Id="rId17" Type="http://schemas.openxmlformats.org/officeDocument/2006/relationships/hyperlink" Target="https://registry.gdi-de.org/id/de.nw.inspire.pf.bube-eureg/arb-2017-113000-100-0204710" TargetMode="External"/><Relationship Id="rId16" Type="http://schemas.openxmlformats.org/officeDocument/2006/relationships/hyperlink" Target="http://paikkatiedot.fi/so/1002031/pf/ProductionFacility/0100180527.ProductionFacility" TargetMode="External"/><Relationship Id="rId19" Type="http://schemas.openxmlformats.org/officeDocument/2006/relationships/hyperlink" Target="https://registry.gdi-de.org/id/de.hh/pf.bube-eureg_/8159" TargetMode="External"/><Relationship Id="rId510" Type="http://schemas.openxmlformats.org/officeDocument/2006/relationships/hyperlink" Target="https://registry.gdi-de.org/id/de.bb.inspire.pf.eureg/16018080" TargetMode="External"/><Relationship Id="rId18" Type="http://schemas.openxmlformats.org/officeDocument/2006/relationships/hyperlink" Target="https://registry.gdi-de.org/id/de.hb//de.hb.pf.bube-eureg.06-04-11/2013754/1/0" TargetMode="External"/><Relationship Id="rId84" Type="http://schemas.openxmlformats.org/officeDocument/2006/relationships/hyperlink" Target="https://registry.gdi-de.org/id/de.rp.inspire.pf.bube-eureg/5000164" TargetMode="External"/><Relationship Id="rId83" Type="http://schemas.openxmlformats.org/officeDocument/2006/relationships/hyperlink" Target="https://data.gov.sk/set/data/so/37021405_minzp/pf:ProductionFacility/37021405.NRZ.FACILITY" TargetMode="External"/><Relationship Id="rId86" Type="http://schemas.openxmlformats.org/officeDocument/2006/relationships/hyperlink" Target="http://paikkatiedot.fi/so/1002031/pf/ProductionFacility/0100088039.ProductionFacility" TargetMode="External"/><Relationship Id="rId85" Type="http://schemas.openxmlformats.org/officeDocument/2006/relationships/hyperlink" Target="https://data.ied_registry.omgeving.vlaanderen.be/id/productionfacility//BE.VL.000001755.FACILITY" TargetMode="External"/><Relationship Id="rId88" Type="http://schemas.openxmlformats.org/officeDocument/2006/relationships/hyperlink" Target="http://paikkatiedot.fi/so/1002031/pf/ProductionFacility/0000002096.ProductionFacility" TargetMode="External"/><Relationship Id="rId87" Type="http://schemas.openxmlformats.org/officeDocument/2006/relationships/hyperlink" Target="https://data.ied_registry.omgeving.vlaanderen.be/id/productionfacility//BE.VL.000000665.FACILITY" TargetMode="External"/><Relationship Id="rId89" Type="http://schemas.openxmlformats.org/officeDocument/2006/relationships/hyperlink" Target="https://data.ied_registry.omgeving.vlaanderen.be/id/productionfacility//BE.VL.000000516.FACILITY" TargetMode="External"/><Relationship Id="rId80" Type="http://schemas.openxmlformats.org/officeDocument/2006/relationships/hyperlink" Target="https://registry.gdi-de.org/id/de.sh//50081814" TargetMode="External"/><Relationship Id="rId82" Type="http://schemas.openxmlformats.org/officeDocument/2006/relationships/hyperlink" Target="https://registry.gdi-de.org/id/de.sl.inspire.pf//0078532-G" TargetMode="External"/><Relationship Id="rId81" Type="http://schemas.openxmlformats.org/officeDocument/2006/relationships/hyperlink" Target="https://registry.gdi-de.org/id/de.by.inspire.pf.ied/S00400" TargetMode="External"/><Relationship Id="rId73" Type="http://schemas.openxmlformats.org/officeDocument/2006/relationships/hyperlink" Target="https://data.ied_registry.omgeving.vlaanderen.be/id/productionfacility//BE.VL.000000687.FACILITY" TargetMode="External"/><Relationship Id="rId72" Type="http://schemas.openxmlformats.org/officeDocument/2006/relationships/hyperlink" Target="https://registry.gdi-de.org/id/de.sn.sax4inspire.pf/70019073" TargetMode="External"/><Relationship Id="rId75" Type="http://schemas.openxmlformats.org/officeDocument/2006/relationships/hyperlink" Target="https://registry.gdi-de.org/id/de.rp.inspire.pf.bube-eureg/1000878" TargetMode="External"/><Relationship Id="rId74" Type="http://schemas.openxmlformats.org/officeDocument/2006/relationships/hyperlink" Target="https://registry.gdi-de.org/id/de.by.inspire.pf.ied/S00984" TargetMode="External"/><Relationship Id="rId77" Type="http://schemas.openxmlformats.org/officeDocument/2006/relationships/hyperlink" Target="https://registry.gdi-de.org/id/de.by.inspire.pf.ied/S00637" TargetMode="External"/><Relationship Id="rId76" Type="http://schemas.openxmlformats.org/officeDocument/2006/relationships/hyperlink" Target="http://paikkatiedot.fi/so/1002031/pf/ProductionFacility/0000011179.ProductionFacility" TargetMode="External"/><Relationship Id="rId79" Type="http://schemas.openxmlformats.org/officeDocument/2006/relationships/hyperlink" Target="https://registry.gdi-de.org/id/de.nw.inspire.pf.bube-eureg/arb-2017-566040-500-0106867" TargetMode="External"/><Relationship Id="rId78" Type="http://schemas.openxmlformats.org/officeDocument/2006/relationships/hyperlink" Target="https://data.ied_registry.omgeving.vlaanderen.be/id/productionfacility//BE.VL.000000503.FACILITY" TargetMode="External"/><Relationship Id="rId71" Type="http://schemas.openxmlformats.org/officeDocument/2006/relationships/hyperlink" Target="https://registry.gdi-de.org/id/de.nw.inspire.pf.bube-eureg/arb-2017-978024-900-9000377" TargetMode="External"/><Relationship Id="rId70" Type="http://schemas.openxmlformats.org/officeDocument/2006/relationships/hyperlink" Target="http://paikkatiedot.fi/so/1002031/pf/ProductionFacility/0000020744.ProductionFacility" TargetMode="External"/><Relationship Id="rId62" Type="http://schemas.openxmlformats.org/officeDocument/2006/relationships/hyperlink" Target="http://paikkatiedot.fi/so/1002031/pf/ProductionFacility/0000016028.ProductionFacility" TargetMode="External"/><Relationship Id="rId61" Type="http://schemas.openxmlformats.org/officeDocument/2006/relationships/hyperlink" Target="https://data.ied_registry.omgeving.vlaanderen.be/id/productionfacility//BE.VL.000001873.FACILITY" TargetMode="External"/><Relationship Id="rId64" Type="http://schemas.openxmlformats.org/officeDocument/2006/relationships/hyperlink" Target="https://data.ied_registry.omgeving.vlaanderen.be/id/productionfacility//BE.VL.000000991.FACILITY" TargetMode="External"/><Relationship Id="rId63" Type="http://schemas.openxmlformats.org/officeDocument/2006/relationships/hyperlink" Target="http://paikkatiedot.fi/so/1002031/pf/ProductionFacility/0000003607.ProductionFacility" TargetMode="External"/><Relationship Id="rId66" Type="http://schemas.openxmlformats.org/officeDocument/2006/relationships/hyperlink" Target="https://data.ied_registry.omgeving.vlaanderen.be/id/productionfacility//BE.VL.000000642.FACILITY" TargetMode="External"/><Relationship Id="rId65" Type="http://schemas.openxmlformats.org/officeDocument/2006/relationships/hyperlink" Target="https://registry.gdi-de.org/id/de.nw.inspire.pf.bube-eureg/arb-2017-170020-100-0501870" TargetMode="External"/><Relationship Id="rId68" Type="http://schemas.openxmlformats.org/officeDocument/2006/relationships/hyperlink" Target="http://paikkatiedot.fi/so/1002031/pf/ProductionFacility/0000002674.ProductionFacility" TargetMode="External"/><Relationship Id="rId67" Type="http://schemas.openxmlformats.org/officeDocument/2006/relationships/hyperlink" Target="http://paikkatiedot.fi/so/1002031/pf/ProductionFacility/0000003626.ProductionFacility" TargetMode="External"/><Relationship Id="rId60" Type="http://schemas.openxmlformats.org/officeDocument/2006/relationships/hyperlink" Target="https://registry.gdi-de.org/id/de.sl.inspire.pf//0075674-G" TargetMode="External"/><Relationship Id="rId69" Type="http://schemas.openxmlformats.org/officeDocument/2006/relationships/hyperlink" Target="https://registry.gdi-de.org/id/de.th/5bf25e39-19d5-4254-adac-63f1b1cec499/77012792" TargetMode="External"/><Relationship Id="rId51" Type="http://schemas.openxmlformats.org/officeDocument/2006/relationships/hyperlink" Target="https://registry.gdi-de.org/id/de.by.inspire.pf.ied/S00894" TargetMode="External"/><Relationship Id="rId50" Type="http://schemas.openxmlformats.org/officeDocument/2006/relationships/hyperlink" Target="https://registry.gdi-de.org/id/de.hb//de.hb.pf.bube-eureg.06-04-12/2177562/6/0" TargetMode="External"/><Relationship Id="rId53" Type="http://schemas.openxmlformats.org/officeDocument/2006/relationships/hyperlink" Target="http://paikkatiedot.fi/so/1002031/pf/ProductionFacility/0000001300.ProductionFacility" TargetMode="External"/><Relationship Id="rId52" Type="http://schemas.openxmlformats.org/officeDocument/2006/relationships/hyperlink" Target="http://paikkatiedot.fi/so/1002031/pf/ProductionFacility/0100203967.ProductionFacility" TargetMode="External"/><Relationship Id="rId55" Type="http://schemas.openxmlformats.org/officeDocument/2006/relationships/hyperlink" Target="https://data.ied_registry.omgeving.vlaanderen.be/id/productionfacility//BE.VL.000000931.FACILITY" TargetMode="External"/><Relationship Id="rId54" Type="http://schemas.openxmlformats.org/officeDocument/2006/relationships/hyperlink" Target="https://registry.gdi-de.org/id/de.nw.inspire.pf.bube-eureg/arb-2017-354012-300-9001747" TargetMode="External"/><Relationship Id="rId57" Type="http://schemas.openxmlformats.org/officeDocument/2006/relationships/hyperlink" Target="http://paikkatiedot.fi/so/1002031/pf/ProductionFacility/0100184511.ProductionFacility" TargetMode="External"/><Relationship Id="rId56" Type="http://schemas.openxmlformats.org/officeDocument/2006/relationships/hyperlink" Target="http://paikkatiedot.fi/so/1002031/pf/ProductionFacility/0000002336.ProductionFacility" TargetMode="External"/><Relationship Id="rId59" Type="http://schemas.openxmlformats.org/officeDocument/2006/relationships/hyperlink" Target="https://data.gov.sk/set/data/so/47056307_minzp/pf:ProductionFacility/47056307.NRZ.FACILITY" TargetMode="External"/><Relationship Id="rId58" Type="http://schemas.openxmlformats.org/officeDocument/2006/relationships/hyperlink" Target="http://paikkatiedot.fi/so/1002031/pf/ProductionFacility/0000052805.ProductionFacility" TargetMode="External"/><Relationship Id="rId107" Type="http://schemas.openxmlformats.org/officeDocument/2006/relationships/hyperlink" Target="https://data.gov.sk/set/data/so/77065511_minzp/pf:ProductionFacility/77065511.NRZ.FACILITY" TargetMode="External"/><Relationship Id="rId228" Type="http://schemas.openxmlformats.org/officeDocument/2006/relationships/hyperlink" Target="https://registry.gdi-de.org/id/de.by.inspire.pf.ied/S00471" TargetMode="External"/><Relationship Id="rId349" Type="http://schemas.openxmlformats.org/officeDocument/2006/relationships/hyperlink" Target="https://registry.gdi-de.org/id/de.nw.inspire.pf.bube-eureg/arb-2017-916000-900-0327252" TargetMode="External"/><Relationship Id="rId106" Type="http://schemas.openxmlformats.org/officeDocument/2006/relationships/hyperlink" Target="https://data.gov.sk/set/data/so/57105803_minzp/pf:ProductionFacility/57105803.NRZ.FACILITY" TargetMode="External"/><Relationship Id="rId227" Type="http://schemas.openxmlformats.org/officeDocument/2006/relationships/hyperlink" Target="https://registry.gdi-de.org/id/de.he.0945.de7.pf.eu_industrie/20000004" TargetMode="External"/><Relationship Id="rId348" Type="http://schemas.openxmlformats.org/officeDocument/2006/relationships/hyperlink" Target="https://registry.gdi-de.org/id/de.ni.mu/09000237910" TargetMode="External"/><Relationship Id="rId469" Type="http://schemas.openxmlformats.org/officeDocument/2006/relationships/hyperlink" Target="https://registry.gdi-de.org/id/de.bw.lubw.inspire.pf//pf-450-2486806-00000000" TargetMode="External"/><Relationship Id="rId105" Type="http://schemas.openxmlformats.org/officeDocument/2006/relationships/hyperlink" Target="https://data.ied_registry.omgeving.vlaanderen.be/id/productionfacility//BE.VL.000000987.FACILITY" TargetMode="External"/><Relationship Id="rId226" Type="http://schemas.openxmlformats.org/officeDocument/2006/relationships/hyperlink" Target="https://registry.gdi-de.org/id/de.bw.lubw.inspire.pf//pf-450-1574906-00000000" TargetMode="External"/><Relationship Id="rId347" Type="http://schemas.openxmlformats.org/officeDocument/2006/relationships/hyperlink" Target="https://registry.gdi-de.org/id/de.ni.mu/06060316030" TargetMode="External"/><Relationship Id="rId468" Type="http://schemas.openxmlformats.org/officeDocument/2006/relationships/hyperlink" Target="https://registry.gdi-de.org/id/de.nw.inspire.pf.bube-eureg/arb-2017-566044-500-0109203" TargetMode="External"/><Relationship Id="rId104" Type="http://schemas.openxmlformats.org/officeDocument/2006/relationships/hyperlink" Target="https://data.gov.sk/set/data/so/77001503_minzp/pf:ProductionFacility/77001503.NRZ.FACILITY" TargetMode="External"/><Relationship Id="rId225" Type="http://schemas.openxmlformats.org/officeDocument/2006/relationships/hyperlink" Target="https://registry.gdi-de.org/id/de.by.inspire.pf.ied/S00686" TargetMode="External"/><Relationship Id="rId346" Type="http://schemas.openxmlformats.org/officeDocument/2006/relationships/hyperlink" Target="https://registry.gdi-de.org/id/de.mv.land.inspire.pf.bube/30000226" TargetMode="External"/><Relationship Id="rId467" Type="http://schemas.openxmlformats.org/officeDocument/2006/relationships/hyperlink" Target="https://registry.gdi-de.org/id/de.by.inspire.pf.ied/S01166" TargetMode="External"/><Relationship Id="rId109" Type="http://schemas.openxmlformats.org/officeDocument/2006/relationships/hyperlink" Target="https://data.ied_registry.omgeving.vlaanderen.be/id/productionfacility//BE.VL.000000997.FACILITY" TargetMode="External"/><Relationship Id="rId108" Type="http://schemas.openxmlformats.org/officeDocument/2006/relationships/hyperlink" Target="https://registry.gdi-de.org/id/de.nw.inspire.pf.bube-eureg/arb-2017-974020-900-0009912" TargetMode="External"/><Relationship Id="rId229" Type="http://schemas.openxmlformats.org/officeDocument/2006/relationships/hyperlink" Target="https://registry.gdi-de.org/id/de.nw.inspire.pf.bube-eureg/arb-2017-962040-900-0174739" TargetMode="External"/><Relationship Id="rId220" Type="http://schemas.openxmlformats.org/officeDocument/2006/relationships/hyperlink" Target="https://registry.gdi-de.org/id/de.st.lau.pf.anlagen-ied-euregistry/100317" TargetMode="External"/><Relationship Id="rId341" Type="http://schemas.openxmlformats.org/officeDocument/2006/relationships/hyperlink" Target="https://registry.gdi-de.org/id/de.nw.inspire.pf.bube-eureg/arb-2017-978004-900-0205103" TargetMode="External"/><Relationship Id="rId462" Type="http://schemas.openxmlformats.org/officeDocument/2006/relationships/hyperlink" Target="https://registry.gdi-de.org/id/de.rp.inspire.pf.bube-eureg/1000266" TargetMode="External"/><Relationship Id="rId340" Type="http://schemas.openxmlformats.org/officeDocument/2006/relationships/hyperlink" Target="https://registry.gdi-de.org/id/de.he.0945.de7.pf.eu_industrie/30001045" TargetMode="External"/><Relationship Id="rId461" Type="http://schemas.openxmlformats.org/officeDocument/2006/relationships/hyperlink" Target="https://registry.gdi-de.org/id/de.he.0945.de7.pf.eu_industrie/60002258" TargetMode="External"/><Relationship Id="rId460" Type="http://schemas.openxmlformats.org/officeDocument/2006/relationships/hyperlink" Target="https://registry.gdi-de.org/id/de.by.inspire.pf.ied/S00328" TargetMode="External"/><Relationship Id="rId103" Type="http://schemas.openxmlformats.org/officeDocument/2006/relationships/hyperlink" Target="https://data.gov.sk/set/data/so/47025613_minzp/pf:ProductionFacility/47025613.NRZ.FACILITY" TargetMode="External"/><Relationship Id="rId224" Type="http://schemas.openxmlformats.org/officeDocument/2006/relationships/hyperlink" Target="https://registry.gdi-de.org/id/de.st.lau.pf.anlagen-ied-euregistry/100326" TargetMode="External"/><Relationship Id="rId345" Type="http://schemas.openxmlformats.org/officeDocument/2006/relationships/hyperlink" Target="https://registry.gdi-de.org/id/de.by.inspire.pf.ied/S00041" TargetMode="External"/><Relationship Id="rId466" Type="http://schemas.openxmlformats.org/officeDocument/2006/relationships/hyperlink" Target="https://registry.gdi-de.org/id/de.bw.lubw.inspire.pf//pf-450-3192067-00000000" TargetMode="External"/><Relationship Id="rId102" Type="http://schemas.openxmlformats.org/officeDocument/2006/relationships/hyperlink" Target="https://data.gov.sk/set/data/so/57104807_minzp/pf:ProductionFacility/57104807.NRZ.FACILITY" TargetMode="External"/><Relationship Id="rId223" Type="http://schemas.openxmlformats.org/officeDocument/2006/relationships/hyperlink" Target="https://registry.gdi-de.org/id/de.sn.sax4inspire.pf/80011252" TargetMode="External"/><Relationship Id="rId344" Type="http://schemas.openxmlformats.org/officeDocument/2006/relationships/hyperlink" Target="https://registry.gdi-de.org/id/de.bb.inspire.pf.eureg/23023645" TargetMode="External"/><Relationship Id="rId465" Type="http://schemas.openxmlformats.org/officeDocument/2006/relationships/hyperlink" Target="https://registry.gdi-de.org/id/de.by.inspire.pf.ied/S00522" TargetMode="External"/><Relationship Id="rId101" Type="http://schemas.openxmlformats.org/officeDocument/2006/relationships/hyperlink" Target="https://data.gov.sk/set/data/so/77042302_minzp/pf:ProductionFacility/77042302.NRZ.FACILITY" TargetMode="External"/><Relationship Id="rId222" Type="http://schemas.openxmlformats.org/officeDocument/2006/relationships/hyperlink" Target="https://registry.gdi-de.org/id/de.by.inspire.pf.ied/S00627" TargetMode="External"/><Relationship Id="rId343" Type="http://schemas.openxmlformats.org/officeDocument/2006/relationships/hyperlink" Target="https://registry.gdi-de.org/id/de.ni.mu/01241117210" TargetMode="External"/><Relationship Id="rId464" Type="http://schemas.openxmlformats.org/officeDocument/2006/relationships/hyperlink" Target="https://registry.gdi-de.org/id/de.bw.lubw.inspire.pf//pf-450-50902148-00000000" TargetMode="External"/><Relationship Id="rId100" Type="http://schemas.openxmlformats.org/officeDocument/2006/relationships/hyperlink" Target="https://data.ied_registry.omgeving.vlaanderen.be/id/productionfacility//BE.VL.000000717.FACILITY" TargetMode="External"/><Relationship Id="rId221" Type="http://schemas.openxmlformats.org/officeDocument/2006/relationships/hyperlink" Target="https://registry.gdi-de.org/id/de.st.lau.pf.anlagen-ied-euregistry/100430" TargetMode="External"/><Relationship Id="rId342" Type="http://schemas.openxmlformats.org/officeDocument/2006/relationships/hyperlink" Target="https://registry.gdi-de.org/id/de.bw.lubw.inspire.pf//pf-450-1020129-00000000" TargetMode="External"/><Relationship Id="rId463" Type="http://schemas.openxmlformats.org/officeDocument/2006/relationships/hyperlink" Target="https://registry.gdi-de.org/id/de.st.lau.pf.anlagen-ied-euregistry/100920" TargetMode="External"/><Relationship Id="rId217" Type="http://schemas.openxmlformats.org/officeDocument/2006/relationships/hyperlink" Target="https://registry.gdi-de.org/id/de.nw.inspire.pf.bube-eureg/arb-2017-562014-500-0359243" TargetMode="External"/><Relationship Id="rId338" Type="http://schemas.openxmlformats.org/officeDocument/2006/relationships/hyperlink" Target="https://registry.gdi-de.org/id/de.hb//de.hb.pf.bube-eureg.06-04-11/2001178/8/2" TargetMode="External"/><Relationship Id="rId459" Type="http://schemas.openxmlformats.org/officeDocument/2006/relationships/hyperlink" Target="https://registry.gdi-de.org/id/de.ni.mu/01227571140" TargetMode="External"/><Relationship Id="rId216" Type="http://schemas.openxmlformats.org/officeDocument/2006/relationships/hyperlink" Target="https://registry.gdi-de.org/id/de.by.inspire.pf.ied/S00216" TargetMode="External"/><Relationship Id="rId337" Type="http://schemas.openxmlformats.org/officeDocument/2006/relationships/hyperlink" Target="https://registry.gdi-de.org/id/de.nw.inspire.pf.bube-eureg/arb-2017-112000-100-0365906" TargetMode="External"/><Relationship Id="rId458" Type="http://schemas.openxmlformats.org/officeDocument/2006/relationships/hyperlink" Target="https://registry.gdi-de.org/id/de.st.lau.pf.anlagen-ied-euregistry/100933" TargetMode="External"/><Relationship Id="rId215" Type="http://schemas.openxmlformats.org/officeDocument/2006/relationships/hyperlink" Target="https://registry.gdi-de.org/id/de.ni.mu/09261732970" TargetMode="External"/><Relationship Id="rId336" Type="http://schemas.openxmlformats.org/officeDocument/2006/relationships/hyperlink" Target="https://registry.gdi-de.org/id/de.nw.inspire.pf.bube-eureg/arb-2017-112000-100-0220947" TargetMode="External"/><Relationship Id="rId457" Type="http://schemas.openxmlformats.org/officeDocument/2006/relationships/hyperlink" Target="https://registry.gdi-de.org/id/de.st.lau.pf.anlagen-ied-euregistry/100921" TargetMode="External"/><Relationship Id="rId214" Type="http://schemas.openxmlformats.org/officeDocument/2006/relationships/hyperlink" Target="https://registry.gdi-de.org/id/de.rp.inspire.pf.bube-eureg/4000041" TargetMode="External"/><Relationship Id="rId335" Type="http://schemas.openxmlformats.org/officeDocument/2006/relationships/hyperlink" Target="https://registry.gdi-de.org/id/de.nw.inspire.pf.bube-eureg/arb-2017-978024-900-9141660" TargetMode="External"/><Relationship Id="rId456" Type="http://schemas.openxmlformats.org/officeDocument/2006/relationships/hyperlink" Target="https://registry.gdi-de.org/id/de.bw.lubw.inspire.pf//pf-450-7897669-00000000" TargetMode="External"/><Relationship Id="rId219" Type="http://schemas.openxmlformats.org/officeDocument/2006/relationships/hyperlink" Target="https://registry.gdi-de.org/id/de.nw.inspire.pf.bube-eureg/arb-2017-315000-300-0271861" TargetMode="External"/><Relationship Id="rId218" Type="http://schemas.openxmlformats.org/officeDocument/2006/relationships/hyperlink" Target="https://registry.gdi-de.org/id/de.by.inspire.pf.ied/S00560" TargetMode="External"/><Relationship Id="rId339" Type="http://schemas.openxmlformats.org/officeDocument/2006/relationships/hyperlink" Target="https://registry.gdi-de.org/id/de.nw.inspire.pf.bube-eureg/arb-2017-112000-100-0431367" TargetMode="External"/><Relationship Id="rId330" Type="http://schemas.openxmlformats.org/officeDocument/2006/relationships/hyperlink" Target="https://registry.gdi-de.org/id/de.bw.lubw.inspire.pf//pf-450-2797933-00000000" TargetMode="External"/><Relationship Id="rId451" Type="http://schemas.openxmlformats.org/officeDocument/2006/relationships/hyperlink" Target="https://registry.gdi-de.org/id/de.st.lau.pf.anlagen-ied-euregistry/100477" TargetMode="External"/><Relationship Id="rId450" Type="http://schemas.openxmlformats.org/officeDocument/2006/relationships/hyperlink" Target="https://registry.gdi-de.org/id/de.st.lau.pf.anlagen-ied-euregistry/100486" TargetMode="External"/><Relationship Id="rId213" Type="http://schemas.openxmlformats.org/officeDocument/2006/relationships/hyperlink" Target="https://registry.gdi-de.org/id/de.st.lau.pf.anlagen-ied-euregistry/101422" TargetMode="External"/><Relationship Id="rId334" Type="http://schemas.openxmlformats.org/officeDocument/2006/relationships/hyperlink" Target="https://registry.gdi-de.org/id/de.nw.inspire.pf.bube-eureg/arb-2017-513000-500-0342658" TargetMode="External"/><Relationship Id="rId455" Type="http://schemas.openxmlformats.org/officeDocument/2006/relationships/hyperlink" Target="https://registry.gdi-de.org/id/de.bw.lubw.inspire.pf//pf-450-3265552-00000000" TargetMode="External"/><Relationship Id="rId212" Type="http://schemas.openxmlformats.org/officeDocument/2006/relationships/hyperlink" Target="https://registry.gdi-de.org/id/de.rp.inspire.pf.bube-eureg/1000729" TargetMode="External"/><Relationship Id="rId333" Type="http://schemas.openxmlformats.org/officeDocument/2006/relationships/hyperlink" Target="https://registry.gdi-de.org/id/de.nw.inspire.pf.bube-eureg/arb-2018-562008-500-0915123" TargetMode="External"/><Relationship Id="rId454" Type="http://schemas.openxmlformats.org/officeDocument/2006/relationships/hyperlink" Target="https://registry.gdi-de.org/id/de.bw.lubw.inspire.pf//pf-450-1926772-00000000" TargetMode="External"/><Relationship Id="rId211" Type="http://schemas.openxmlformats.org/officeDocument/2006/relationships/hyperlink" Target="https://registry.gdi-de.org/id/de.nw.inspire.pf.bube-eureg/arb-2017-114000-100-9021122" TargetMode="External"/><Relationship Id="rId332" Type="http://schemas.openxmlformats.org/officeDocument/2006/relationships/hyperlink" Target="https://registry.gdi-de.org/id/de.nw.inspire.pf.bube-eureg/arb-2017-112000-100-0008504" TargetMode="External"/><Relationship Id="rId453" Type="http://schemas.openxmlformats.org/officeDocument/2006/relationships/hyperlink" Target="https://registry.gdi-de.org/id/de.bw.lubw.inspire.pf//pf-450-4664299-00000000" TargetMode="External"/><Relationship Id="rId210" Type="http://schemas.openxmlformats.org/officeDocument/2006/relationships/hyperlink" Target="https://registry.gdi-de.org/id/de.nw.inspire.pf.bube-eureg/arb-2017-112000-100-0888309" TargetMode="External"/><Relationship Id="rId331" Type="http://schemas.openxmlformats.org/officeDocument/2006/relationships/hyperlink" Target="https://registry.gdi-de.org/id/de.st.lau.pf.anlagen-ied-euregistry/100125" TargetMode="External"/><Relationship Id="rId452" Type="http://schemas.openxmlformats.org/officeDocument/2006/relationships/hyperlink" Target="https://registry.gdi-de.org/id/de.bw.lubw.inspire.pf//pf-450-4650956-00000000" TargetMode="External"/><Relationship Id="rId370" Type="http://schemas.openxmlformats.org/officeDocument/2006/relationships/hyperlink" Target="https://registry.gdi-de.org/id/de.be.pf.lisa/172656" TargetMode="External"/><Relationship Id="rId491" Type="http://schemas.openxmlformats.org/officeDocument/2006/relationships/hyperlink" Target="https://registry.gdi-de.org/id/de.bb.inspire.pf.eureg/23021047" TargetMode="External"/><Relationship Id="rId490" Type="http://schemas.openxmlformats.org/officeDocument/2006/relationships/hyperlink" Target="https://registry.gdi-de.org/id/de.sh//50079832" TargetMode="External"/><Relationship Id="rId129" Type="http://schemas.openxmlformats.org/officeDocument/2006/relationships/hyperlink" Target="https://registry.gdi-de.org/id/de.by.inspire.pf.ied/S00860" TargetMode="External"/><Relationship Id="rId128" Type="http://schemas.openxmlformats.org/officeDocument/2006/relationships/hyperlink" Target="https://data.gov.sk/set/data/so/77050511_minzp/pf:ProductionFacility/77050511.NRZ.FACILITY" TargetMode="External"/><Relationship Id="rId249" Type="http://schemas.openxmlformats.org/officeDocument/2006/relationships/hyperlink" Target="https://registry.gdi-de.org/id/de.by.inspire.pf.ied/S00135" TargetMode="External"/><Relationship Id="rId127" Type="http://schemas.openxmlformats.org/officeDocument/2006/relationships/hyperlink" Target="https://data.gov.sk/set/data/so/57087808_minzp/pf:ProductionFacility/57087808.NRZ.FACILITY" TargetMode="External"/><Relationship Id="rId248" Type="http://schemas.openxmlformats.org/officeDocument/2006/relationships/hyperlink" Target="https://registry.gdi-de.org/id/de.bw.lubw.inspire.pf//pf-450-2719398-00000000" TargetMode="External"/><Relationship Id="rId369" Type="http://schemas.openxmlformats.org/officeDocument/2006/relationships/hyperlink" Target="https://registry.gdi-de.org/id/de.nw.inspire.pf.bube-eureg/arb-2017-114000-100-9021016" TargetMode="External"/><Relationship Id="rId126" Type="http://schemas.openxmlformats.org/officeDocument/2006/relationships/hyperlink" Target="https://registry.gdi-de.org/id/de.he.0945.de7.pf.eu_industrie/80000011" TargetMode="External"/><Relationship Id="rId247" Type="http://schemas.openxmlformats.org/officeDocument/2006/relationships/hyperlink" Target="https://registry.gdi-de.org/id/de.hh/pf.bube-eureg_/3426" TargetMode="External"/><Relationship Id="rId368" Type="http://schemas.openxmlformats.org/officeDocument/2006/relationships/hyperlink" Target="https://registry.gdi-de.org/id/de.sl.inspire.pf//0100999-G" TargetMode="External"/><Relationship Id="rId489" Type="http://schemas.openxmlformats.org/officeDocument/2006/relationships/hyperlink" Target="https://registry.gdi-de.org/id/de.hh/pf.bube-eureg_/6856" TargetMode="External"/><Relationship Id="rId121" Type="http://schemas.openxmlformats.org/officeDocument/2006/relationships/hyperlink" Target="https://data.gov.sk/set/data/so/37086402_minzp/pf:ProductionFacility/37086402.NRZ.FACILITY" TargetMode="External"/><Relationship Id="rId242" Type="http://schemas.openxmlformats.org/officeDocument/2006/relationships/hyperlink" Target="https://registry.gdi-de.org/id/de.nw.inspire.pf.bube-eureg/arb-2017-513000-500-0073211" TargetMode="External"/><Relationship Id="rId363" Type="http://schemas.openxmlformats.org/officeDocument/2006/relationships/hyperlink" Target="https://registry.gdi-de.org/id/de.nw.inspire.pf.bube-eureg/arb-2017-162004-300-9002708" TargetMode="External"/><Relationship Id="rId484" Type="http://schemas.openxmlformats.org/officeDocument/2006/relationships/hyperlink" Target="https://registry.gdi-de.org/id/de.nw.inspire.pf.bube-eureg/arb-2017-111000-100-0407176" TargetMode="External"/><Relationship Id="rId120" Type="http://schemas.openxmlformats.org/officeDocument/2006/relationships/hyperlink" Target="https://data.ied_registry.omgeving.vlaanderen.be/id/productionfacility//BE.VL.000000111.FACILITY" TargetMode="External"/><Relationship Id="rId241" Type="http://schemas.openxmlformats.org/officeDocument/2006/relationships/hyperlink" Target="https://registry.gdi-de.org/id/de.nw.inspire.pf.bube-eureg/arb-2017-315000-300-0213768" TargetMode="External"/><Relationship Id="rId362" Type="http://schemas.openxmlformats.org/officeDocument/2006/relationships/hyperlink" Target="https://registry.gdi-de.org/id/de.ni.mu/01010098080" TargetMode="External"/><Relationship Id="rId483" Type="http://schemas.openxmlformats.org/officeDocument/2006/relationships/hyperlink" Target="https://registry.gdi-de.org/id/de.sh//50080603" TargetMode="External"/><Relationship Id="rId240" Type="http://schemas.openxmlformats.org/officeDocument/2006/relationships/hyperlink" Target="https://registry.gdi-de.org/id/de.bw.lubw.inspire.pf//pf-450-2719371-00000000" TargetMode="External"/><Relationship Id="rId361" Type="http://schemas.openxmlformats.org/officeDocument/2006/relationships/hyperlink" Target="https://registry.gdi-de.org/id/de.sl.inspire.pf//0107401-G" TargetMode="External"/><Relationship Id="rId482" Type="http://schemas.openxmlformats.org/officeDocument/2006/relationships/hyperlink" Target="https://registry.gdi-de.org/id/de.ni.mu/10000167470" TargetMode="External"/><Relationship Id="rId360" Type="http://schemas.openxmlformats.org/officeDocument/2006/relationships/hyperlink" Target="https://registry.gdi-de.org/id/de.sl.inspire.pf//0101000-G" TargetMode="External"/><Relationship Id="rId481" Type="http://schemas.openxmlformats.org/officeDocument/2006/relationships/hyperlink" Target="https://registry.gdi-de.org/id/de.bw.lubw.inspire.pf//pf-450-1195689-00000000" TargetMode="External"/><Relationship Id="rId125" Type="http://schemas.openxmlformats.org/officeDocument/2006/relationships/hyperlink" Target="https://data.ied_registry.omgeving.vlaanderen.be/id/productionfacility//BE.VL.000000118.FACILITY" TargetMode="External"/><Relationship Id="rId246" Type="http://schemas.openxmlformats.org/officeDocument/2006/relationships/hyperlink" Target="https://registry.gdi-de.org/id/de.by.inspire.pf.ied/S00108" TargetMode="External"/><Relationship Id="rId367" Type="http://schemas.openxmlformats.org/officeDocument/2006/relationships/hyperlink" Target="https://registry.gdi-de.org/id/de.nw.inspire.pf.bube-eureg/arb-2017-316000-300-9046797" TargetMode="External"/><Relationship Id="rId488" Type="http://schemas.openxmlformats.org/officeDocument/2006/relationships/hyperlink" Target="https://registry.gdi-de.org/id/de.bb.inspire.pf.eureg/45039245" TargetMode="External"/><Relationship Id="rId124" Type="http://schemas.openxmlformats.org/officeDocument/2006/relationships/hyperlink" Target="https://data.ied_registry.omgeving.vlaanderen.be/id/productionfacility//BE.VL.000000667.FACILITY" TargetMode="External"/><Relationship Id="rId245" Type="http://schemas.openxmlformats.org/officeDocument/2006/relationships/hyperlink" Target="https://registry.gdi-de.org/id/de.sh//10039818" TargetMode="External"/><Relationship Id="rId366" Type="http://schemas.openxmlformats.org/officeDocument/2006/relationships/hyperlink" Target="https://registry.gdi-de.org/id/de.he.0945.de7.pf.eu_industrie/30000036" TargetMode="External"/><Relationship Id="rId487" Type="http://schemas.openxmlformats.org/officeDocument/2006/relationships/hyperlink" Target="https://registry.gdi-de.org/id/de.nw.inspire.pf.bube-eureg/arb-2017-315000-300-1350016" TargetMode="External"/><Relationship Id="rId123" Type="http://schemas.openxmlformats.org/officeDocument/2006/relationships/hyperlink" Target="https://data.gov.sk/set/data/so/37012102_minzp/pf:ProductionFacility/37012102.NRZ.FACILITY" TargetMode="External"/><Relationship Id="rId244" Type="http://schemas.openxmlformats.org/officeDocument/2006/relationships/hyperlink" Target="https://registry.gdi-de.org/id/de.by.inspire.pf.ied/S00323" TargetMode="External"/><Relationship Id="rId365" Type="http://schemas.openxmlformats.org/officeDocument/2006/relationships/hyperlink" Target="https://registry.gdi-de.org/id/de.nw.inspire.pf.bube-eureg/arb-2017-111000-100-0167182" TargetMode="External"/><Relationship Id="rId486" Type="http://schemas.openxmlformats.org/officeDocument/2006/relationships/hyperlink" Target="https://registry.gdi-de.org/id/de.bb.inspire.pf.eureg/23040177" TargetMode="External"/><Relationship Id="rId122" Type="http://schemas.openxmlformats.org/officeDocument/2006/relationships/hyperlink" Target="https://data.gov.sk/set/data/so/77039506_minzp/pf:ProductionFacility/77039506.NRZ.FACILITY" TargetMode="External"/><Relationship Id="rId243" Type="http://schemas.openxmlformats.org/officeDocument/2006/relationships/hyperlink" Target="https://registry.gdi-de.org/id/de.ni.mu/10257401440" TargetMode="External"/><Relationship Id="rId364" Type="http://schemas.openxmlformats.org/officeDocument/2006/relationships/hyperlink" Target="https://registry.gdi-de.org/id/de.st.lau.pf.anlagen-ied-euregistry/100030" TargetMode="External"/><Relationship Id="rId485" Type="http://schemas.openxmlformats.org/officeDocument/2006/relationships/hyperlink" Target="https://registry.gdi-de.org/id/de.he.0945.de7.pf.eu_industrie/50006414" TargetMode="External"/><Relationship Id="rId95" Type="http://schemas.openxmlformats.org/officeDocument/2006/relationships/hyperlink" Target="https://data.ied_registry.omgeving.vlaanderen.be/id/productionfacility//BE.VL.000000711.FACILITY" TargetMode="External"/><Relationship Id="rId94" Type="http://schemas.openxmlformats.org/officeDocument/2006/relationships/hyperlink" Target="https://data.gov.sk/set/data/so/37084106_minzp/pf:ProductionFacility/37084106.NRZ.FACILITY" TargetMode="External"/><Relationship Id="rId97" Type="http://schemas.openxmlformats.org/officeDocument/2006/relationships/hyperlink" Target="https://data.gov.sk/set/data/so/57084805_minzp/pf:ProductionFacility/57084805.NRZ.FACILITY" TargetMode="External"/><Relationship Id="rId96" Type="http://schemas.openxmlformats.org/officeDocument/2006/relationships/hyperlink" Target="https://registry.gdi-de.org/id/de.he.0945.de7.pf.eu_industrie/30000163" TargetMode="External"/><Relationship Id="rId99" Type="http://schemas.openxmlformats.org/officeDocument/2006/relationships/hyperlink" Target="https://data.ied_registry.omgeving.vlaanderen.be/id/productionfacility//BE.VL.000000113.FACILITY" TargetMode="External"/><Relationship Id="rId480" Type="http://schemas.openxmlformats.org/officeDocument/2006/relationships/hyperlink" Target="https://registry.gdi-de.org/id/de.ni.mu/01000259750" TargetMode="External"/><Relationship Id="rId98" Type="http://schemas.openxmlformats.org/officeDocument/2006/relationships/hyperlink" Target="https://registry.gdi-de.org/id/de.nw.inspire.pf.bube-eureg/arb-2017-974016-900-0014855" TargetMode="External"/><Relationship Id="rId91" Type="http://schemas.openxmlformats.org/officeDocument/2006/relationships/hyperlink" Target="https://registry.gdi-de.org/id/de.nw.inspire.pf.bube-eureg/arb-2017-366044-300-0079450" TargetMode="External"/><Relationship Id="rId90" Type="http://schemas.openxmlformats.org/officeDocument/2006/relationships/hyperlink" Target="https://data.gov.sk/set/data/so/57102807_minzp/pf:ProductionFacility/57102807.NRZ.FACILITY" TargetMode="External"/><Relationship Id="rId93" Type="http://schemas.openxmlformats.org/officeDocument/2006/relationships/hyperlink" Target="https://data.ied_registry.omgeving.vlaanderen.be/id/productionfacility//BE.VL.000000194.FACILITY" TargetMode="External"/><Relationship Id="rId92" Type="http://schemas.openxmlformats.org/officeDocument/2006/relationships/hyperlink" Target="https://data.ied_registry.omgeving.vlaanderen.be/id/productionfacility//BE.VL.000000876.FACILITY" TargetMode="External"/><Relationship Id="rId118" Type="http://schemas.openxmlformats.org/officeDocument/2006/relationships/hyperlink" Target="https://data.gov.sk/set/data/so/77010309_minzp/pf:ProductionFacility/77010309.NRZ.FACILITY" TargetMode="External"/><Relationship Id="rId239" Type="http://schemas.openxmlformats.org/officeDocument/2006/relationships/hyperlink" Target="https://registry.gdi-de.org/id/de.st.lau.pf.anlagen-ied-euregistry/100194" TargetMode="External"/><Relationship Id="rId117" Type="http://schemas.openxmlformats.org/officeDocument/2006/relationships/hyperlink" Target="https://data.gov.sk/set/data/so/37641103_minzp/pf:ProductionFacility/37641103.NRZ.FACILITY" TargetMode="External"/><Relationship Id="rId238" Type="http://schemas.openxmlformats.org/officeDocument/2006/relationships/hyperlink" Target="https://registry.gdi-de.org/id/de.nw.inspire.pf.bube-eureg/arb-2017-362040-300-0215443" TargetMode="External"/><Relationship Id="rId359" Type="http://schemas.openxmlformats.org/officeDocument/2006/relationships/hyperlink" Target="https://registry.gdi-de.org/id/de.by.inspire.pf.ied/S00048" TargetMode="External"/><Relationship Id="rId116" Type="http://schemas.openxmlformats.org/officeDocument/2006/relationships/hyperlink" Target="https://data.ied_registry.omgeving.vlaanderen.be/id/productionfacility//BE.VL.000000874.FACILITY" TargetMode="External"/><Relationship Id="rId237" Type="http://schemas.openxmlformats.org/officeDocument/2006/relationships/hyperlink" Target="https://registry.gdi-de.org/id/de.nw.inspire.pf.bube-eureg/arb-2017-513000-500-0053929" TargetMode="External"/><Relationship Id="rId358" Type="http://schemas.openxmlformats.org/officeDocument/2006/relationships/hyperlink" Target="https://registry.gdi-de.org/id/de.sn.sax4inspire.pf/60015149" TargetMode="External"/><Relationship Id="rId479" Type="http://schemas.openxmlformats.org/officeDocument/2006/relationships/hyperlink" Target="https://registry.gdi-de.org/id/de.he.0945.de7.pf.eu_industrie/30001503" TargetMode="External"/><Relationship Id="rId115" Type="http://schemas.openxmlformats.org/officeDocument/2006/relationships/hyperlink" Target="https://data.ied_registry.omgeving.vlaanderen.be/id/productionfacility//BE.VL.000000172.FACILITY" TargetMode="External"/><Relationship Id="rId236" Type="http://schemas.openxmlformats.org/officeDocument/2006/relationships/hyperlink" Target="https://registry.gdi-de.org/id/de.bb.inspire.pf.eureg/23020490" TargetMode="External"/><Relationship Id="rId357" Type="http://schemas.openxmlformats.org/officeDocument/2006/relationships/hyperlink" Target="https://registry.gdi-de.org/id/de.hh/pf.bube-eureg_/3277" TargetMode="External"/><Relationship Id="rId478" Type="http://schemas.openxmlformats.org/officeDocument/2006/relationships/hyperlink" Target="https://registry.gdi-de.org/id/de.st.lau.pf.anlagen-ied-euregistry/100995" TargetMode="External"/><Relationship Id="rId119" Type="http://schemas.openxmlformats.org/officeDocument/2006/relationships/hyperlink" Target="https://data.gov.sk/set/data/so/77066306_minzp/pf:ProductionFacility/77066306.NRZ.FACILITY" TargetMode="External"/><Relationship Id="rId110" Type="http://schemas.openxmlformats.org/officeDocument/2006/relationships/hyperlink" Target="https://data.gov.sk/set/data/so/57047713a_minzp/pf:ProductionFacility/57047713a.NRZ.FACILITY" TargetMode="External"/><Relationship Id="rId231" Type="http://schemas.openxmlformats.org/officeDocument/2006/relationships/hyperlink" Target="https://registry.gdi-de.org/id/de.bb.inspire.pf.eureg/23024015" TargetMode="External"/><Relationship Id="rId352" Type="http://schemas.openxmlformats.org/officeDocument/2006/relationships/hyperlink" Target="https://registry.gdi-de.org/id/de.by.inspire.pf.ied/S00009" TargetMode="External"/><Relationship Id="rId473" Type="http://schemas.openxmlformats.org/officeDocument/2006/relationships/hyperlink" Target="https://registry.gdi-de.org/id/de.nw.inspire.pf.bube-eureg/arb-2017-562020-500-0414594" TargetMode="External"/><Relationship Id="rId230" Type="http://schemas.openxmlformats.org/officeDocument/2006/relationships/hyperlink" Target="https://registry.gdi-de.org/id/de.nw.inspire.pf.bube-eureg/arb-2017-124000-100-0848198" TargetMode="External"/><Relationship Id="rId351" Type="http://schemas.openxmlformats.org/officeDocument/2006/relationships/hyperlink" Target="https://registry.gdi-de.org/id/de.bw.lubw.inspire.pf//pf-450-1741292-00000000" TargetMode="External"/><Relationship Id="rId472" Type="http://schemas.openxmlformats.org/officeDocument/2006/relationships/hyperlink" Target="https://registry.gdi-de.org/id/de.nw.inspire.pf.bube-eureg/arb-2017-119000-100-0431192" TargetMode="External"/><Relationship Id="rId350" Type="http://schemas.openxmlformats.org/officeDocument/2006/relationships/hyperlink" Target="https://registry.gdi-de.org/id/de.be.pf.lisa/166928" TargetMode="External"/><Relationship Id="rId471" Type="http://schemas.openxmlformats.org/officeDocument/2006/relationships/hyperlink" Target="http://paikkatiedot.fi/so/1002031/pf/ProductionFacility/0100215001.ProductionFacility" TargetMode="External"/><Relationship Id="rId470" Type="http://schemas.openxmlformats.org/officeDocument/2006/relationships/hyperlink" Target="https://registry.gdi-de.org/id/de.nw.inspire.pf.bube-eureg/arb-2017-974044-900-0840277" TargetMode="External"/><Relationship Id="rId114" Type="http://schemas.openxmlformats.org/officeDocument/2006/relationships/hyperlink" Target="https://data.gov.sk/set/data/so/47050608_minzp/pf:ProductionFacility/47050608.NRZ.FACILITY" TargetMode="External"/><Relationship Id="rId235" Type="http://schemas.openxmlformats.org/officeDocument/2006/relationships/hyperlink" Target="http://paikkatiedot.fi/so/1002031/pf/ProductionFacility/0000001866.ProductionFacility" TargetMode="External"/><Relationship Id="rId356" Type="http://schemas.openxmlformats.org/officeDocument/2006/relationships/hyperlink" Target="https://registry.gdi-de.org/id/de.hb//de.hb.pf.bube-eureg.06-04-11/2039669/2/0" TargetMode="External"/><Relationship Id="rId477" Type="http://schemas.openxmlformats.org/officeDocument/2006/relationships/hyperlink" Target="https://registry.gdi-de.org/id/de.be.pf.lisa/760" TargetMode="External"/><Relationship Id="rId113" Type="http://schemas.openxmlformats.org/officeDocument/2006/relationships/hyperlink" Target="https://data.ied_registry.omgeving.vlaanderen.be/id/productionfacility//BE.VL.000000169.FACILITY" TargetMode="External"/><Relationship Id="rId234" Type="http://schemas.openxmlformats.org/officeDocument/2006/relationships/hyperlink" Target="https://registry.gdi-de.org/id/de.nw.inspire.pf.bube-eureg/arb-2017-112000-100-0209686" TargetMode="External"/><Relationship Id="rId355" Type="http://schemas.openxmlformats.org/officeDocument/2006/relationships/hyperlink" Target="https://registry.gdi-de.org/id/de.sh//50083712" TargetMode="External"/><Relationship Id="rId476" Type="http://schemas.openxmlformats.org/officeDocument/2006/relationships/hyperlink" Target="https://registry.gdi-de.org/id/de.by.inspire.pf.ied/S00499" TargetMode="External"/><Relationship Id="rId112" Type="http://schemas.openxmlformats.org/officeDocument/2006/relationships/hyperlink" Target="https://registry.gdi-de.org/id/de.he.0945.de7.pf.eu_industrie/50001960" TargetMode="External"/><Relationship Id="rId233" Type="http://schemas.openxmlformats.org/officeDocument/2006/relationships/hyperlink" Target="https://registry.gdi-de.org/id/de.nw.inspire.pf.bube-eureg/arb-2017-362024-800-0197054" TargetMode="External"/><Relationship Id="rId354" Type="http://schemas.openxmlformats.org/officeDocument/2006/relationships/hyperlink" Target="https://registry.gdi-de.org/id/de.ni.mu/10257673950" TargetMode="External"/><Relationship Id="rId475" Type="http://schemas.openxmlformats.org/officeDocument/2006/relationships/hyperlink" Target="https://registry.gdi-de.org/id/de.st.lau.pf.anlagen-ied-euregistry/100150" TargetMode="External"/><Relationship Id="rId111" Type="http://schemas.openxmlformats.org/officeDocument/2006/relationships/hyperlink" Target="https://data.gov.sk/set/data/so/75081806_minzp/pf:ProductionFacility/75081806.NRZ.FACILITY" TargetMode="External"/><Relationship Id="rId232" Type="http://schemas.openxmlformats.org/officeDocument/2006/relationships/hyperlink" Target="https://registry.gdi-de.org/id/de.nw.inspire.pf.bube-eureg/arb-2017-362028-800-0009877" TargetMode="External"/><Relationship Id="rId353" Type="http://schemas.openxmlformats.org/officeDocument/2006/relationships/hyperlink" Target="https://registry.gdi-de.org/id/de.nw.inspire.pf.bube-eureg/arb-2017-770028-700-0105516" TargetMode="External"/><Relationship Id="rId474" Type="http://schemas.openxmlformats.org/officeDocument/2006/relationships/hyperlink" Target="https://registry.gdi-de.org/id/de.bw.lubw.inspire.pf//pf-450-9169156-00000000" TargetMode="External"/><Relationship Id="rId305" Type="http://schemas.openxmlformats.org/officeDocument/2006/relationships/hyperlink" Target="https://registry.gdi-de.org/id/de.bb.inspire.pf.eureg/23024102" TargetMode="External"/><Relationship Id="rId426" Type="http://schemas.openxmlformats.org/officeDocument/2006/relationships/hyperlink" Target="https://registry.gdi-de.org/id/de.nw.inspire.pf.bube-eureg/arb-2017-314000-300-0838652" TargetMode="External"/><Relationship Id="rId304" Type="http://schemas.openxmlformats.org/officeDocument/2006/relationships/hyperlink" Target="https://registry.gdi-de.org/id/de.sl.inspire.pf//0078699-G" TargetMode="External"/><Relationship Id="rId425" Type="http://schemas.openxmlformats.org/officeDocument/2006/relationships/hyperlink" Target="https://registry.gdi-de.org/id/de.th/5bf25e39-19d5-4254-adac-63f1b1cec499/77012924" TargetMode="External"/><Relationship Id="rId303" Type="http://schemas.openxmlformats.org/officeDocument/2006/relationships/hyperlink" Target="https://registry.gdi-de.org/id/de.nw.inspire.pf.bube-eureg/arb-2017-112000-100-0077961" TargetMode="External"/><Relationship Id="rId424" Type="http://schemas.openxmlformats.org/officeDocument/2006/relationships/hyperlink" Target="https://registry.gdi-de.org/id/de.st.lau.pf.anlagen-ied-euregistry/101049" TargetMode="External"/><Relationship Id="rId302" Type="http://schemas.openxmlformats.org/officeDocument/2006/relationships/hyperlink" Target="https://registry.gdi-de.org/id/de.ni.mu/01211092310" TargetMode="External"/><Relationship Id="rId423" Type="http://schemas.openxmlformats.org/officeDocument/2006/relationships/hyperlink" Target="https://registry.gdi-de.org/id/de.st.lau.pf.anlagen-ied-euregistry/100674" TargetMode="External"/><Relationship Id="rId309" Type="http://schemas.openxmlformats.org/officeDocument/2006/relationships/hyperlink" Target="https://registry.gdi-de.org/id/de.nw.inspire.pf.bube-eureg/arb-2017-112000-100-0388700" TargetMode="External"/><Relationship Id="rId308" Type="http://schemas.openxmlformats.org/officeDocument/2006/relationships/hyperlink" Target="https://registry.gdi-de.org/id/de.nw.inspire.pf.bube-eureg/arb-2017-112000-100-0209697" TargetMode="External"/><Relationship Id="rId429" Type="http://schemas.openxmlformats.org/officeDocument/2006/relationships/hyperlink" Target="https://registry.gdi-de.org/id/de.mv.land.inspire.pf.bube/50000071" TargetMode="External"/><Relationship Id="rId307" Type="http://schemas.openxmlformats.org/officeDocument/2006/relationships/hyperlink" Target="https://registry.gdi-de.org/id/de.nw.inspire.pf.bube-eureg/arb-2017-112000-100-0209707" TargetMode="External"/><Relationship Id="rId428" Type="http://schemas.openxmlformats.org/officeDocument/2006/relationships/hyperlink" Target="https://registry.gdi-de.org/id/de.rp.inspire.pf.bube-eureg/5001005" TargetMode="External"/><Relationship Id="rId306" Type="http://schemas.openxmlformats.org/officeDocument/2006/relationships/hyperlink" Target="https://registry.gdi-de.org/id/de.nw.inspire.pf.bube-eureg/arb-2017-112000-100-0215455" TargetMode="External"/><Relationship Id="rId427" Type="http://schemas.openxmlformats.org/officeDocument/2006/relationships/hyperlink" Target="https://registry.gdi-de.org/id/de.sn.sax4inspire.pf/70015959" TargetMode="External"/><Relationship Id="rId301" Type="http://schemas.openxmlformats.org/officeDocument/2006/relationships/hyperlink" Target="http://paikkatiedot.fi/so/1002031/pf/ProductionFacility/0000002110.ProductionFacility" TargetMode="External"/><Relationship Id="rId422" Type="http://schemas.openxmlformats.org/officeDocument/2006/relationships/hyperlink" Target="https://registry.gdi-de.org/id/de.nw.inspire.pf.bube-eureg/arb-2017-162004-300-9046923" TargetMode="External"/><Relationship Id="rId300" Type="http://schemas.openxmlformats.org/officeDocument/2006/relationships/hyperlink" Target="http://paikkatiedot.fi/so/1002031/pf/ProductionFacility/0000001913.ProductionFacility" TargetMode="External"/><Relationship Id="rId421" Type="http://schemas.openxmlformats.org/officeDocument/2006/relationships/hyperlink" Target="https://registry.gdi-de.org/id/de.by.inspire.pf.ied/S00007" TargetMode="External"/><Relationship Id="rId420" Type="http://schemas.openxmlformats.org/officeDocument/2006/relationships/hyperlink" Target="https://registry.gdi-de.org/id/de.bw.lubw.inspire.pf//pf-450-2142201-00000000" TargetMode="External"/><Relationship Id="rId415" Type="http://schemas.openxmlformats.org/officeDocument/2006/relationships/hyperlink" Target="https://registry.gdi-de.org/id/de.bb.inspire.pf.eureg/23022811" TargetMode="External"/><Relationship Id="rId414" Type="http://schemas.openxmlformats.org/officeDocument/2006/relationships/hyperlink" Target="https://registry.gdi-de.org/id/de.bb.inspire.pf.eureg/23019618" TargetMode="External"/><Relationship Id="rId413" Type="http://schemas.openxmlformats.org/officeDocument/2006/relationships/hyperlink" Target="https://registry.gdi-de.org/id/de.th/5bf25e39-19d5-4254-adac-63f1b1cec499/72012874" TargetMode="External"/><Relationship Id="rId412" Type="http://schemas.openxmlformats.org/officeDocument/2006/relationships/hyperlink" Target="https://registry.gdi-de.org/id/de.bw.lubw.inspire.pf//pf-450-9840001-00000000" TargetMode="External"/><Relationship Id="rId419" Type="http://schemas.openxmlformats.org/officeDocument/2006/relationships/hyperlink" Target="https://registry.gdi-de.org/id/de.by.inspire.pf.ied/S00845" TargetMode="External"/><Relationship Id="rId418" Type="http://schemas.openxmlformats.org/officeDocument/2006/relationships/hyperlink" Target="https://registry.gdi-de.org/id/de.ni.mu/10100029340" TargetMode="External"/><Relationship Id="rId417" Type="http://schemas.openxmlformats.org/officeDocument/2006/relationships/hyperlink" Target="https://registry.gdi-de.org/id/de.sn.sax4inspire.pf/70015792" TargetMode="External"/><Relationship Id="rId416" Type="http://schemas.openxmlformats.org/officeDocument/2006/relationships/hyperlink" Target="https://registry.gdi-de.org/id/de.sl.inspire.pf//0105352-G" TargetMode="External"/><Relationship Id="rId411" Type="http://schemas.openxmlformats.org/officeDocument/2006/relationships/hyperlink" Target="https://registry.gdi-de.org/id/de.by.inspire.pf.ied/S00104" TargetMode="External"/><Relationship Id="rId410" Type="http://schemas.openxmlformats.org/officeDocument/2006/relationships/hyperlink" Target="https://registry.gdi-de.org/id/de.nw.inspire.pf.bube-eureg/arb-2017-515000-500-0221194" TargetMode="External"/><Relationship Id="rId206" Type="http://schemas.openxmlformats.org/officeDocument/2006/relationships/hyperlink" Target="https://registry.gdi-de.org/id/de.ni.mu/03267770260" TargetMode="External"/><Relationship Id="rId327" Type="http://schemas.openxmlformats.org/officeDocument/2006/relationships/hyperlink" Target="https://registry.gdi-de.org/id/de.sn.sax4inspire.pf/80011277" TargetMode="External"/><Relationship Id="rId448" Type="http://schemas.openxmlformats.org/officeDocument/2006/relationships/hyperlink" Target="https://registry.gdi-de.org/id/de.th/5bf25e39-19d5-4254-adac-63f1b1cec499/62013494" TargetMode="External"/><Relationship Id="rId205" Type="http://schemas.openxmlformats.org/officeDocument/2006/relationships/hyperlink" Target="https://registry.gdi-de.org/id/de.ni.mu/31000006225" TargetMode="External"/><Relationship Id="rId326" Type="http://schemas.openxmlformats.org/officeDocument/2006/relationships/hyperlink" Target="https://registry.gdi-de.org/id/de.nw.inspire.pf.bube-eureg/arb-2017-354012-300-0877384" TargetMode="External"/><Relationship Id="rId447" Type="http://schemas.openxmlformats.org/officeDocument/2006/relationships/hyperlink" Target="https://registry.gdi-de.org/id/de.he.0945.de7.pf.eu_industrie/50002126" TargetMode="External"/><Relationship Id="rId204" Type="http://schemas.openxmlformats.org/officeDocument/2006/relationships/hyperlink" Target="https://registry.gdi-de.org/id/de.sh//10000385" TargetMode="External"/><Relationship Id="rId325" Type="http://schemas.openxmlformats.org/officeDocument/2006/relationships/hyperlink" Target="https://registry.gdi-de.org/id/de.bb.inspire.pf.eureg/45025564" TargetMode="External"/><Relationship Id="rId446" Type="http://schemas.openxmlformats.org/officeDocument/2006/relationships/hyperlink" Target="https://registry.gdi-de.org/id/de.st.lau.pf.anlagen-ied-euregistry/18046" TargetMode="External"/><Relationship Id="rId203" Type="http://schemas.openxmlformats.org/officeDocument/2006/relationships/hyperlink" Target="https://registry.gdi-de.org/id/de.st.lau.pf.anlagen-ied-euregistry/100414" TargetMode="External"/><Relationship Id="rId324" Type="http://schemas.openxmlformats.org/officeDocument/2006/relationships/hyperlink" Target="https://registry.gdi-de.org/id/de.nw.inspire.pf.bube-eureg/arb-2017-362008-300-0326774" TargetMode="External"/><Relationship Id="rId445" Type="http://schemas.openxmlformats.org/officeDocument/2006/relationships/hyperlink" Target="https://registry.gdi-de.org/id/de.he.0945.de7.pf.eu_industrie/50002119" TargetMode="External"/><Relationship Id="rId209" Type="http://schemas.openxmlformats.org/officeDocument/2006/relationships/hyperlink" Target="https://registry.gdi-de.org/id/de.nw.inspire.pf.bube-eureg/arb-2017-362008-300-0181417" TargetMode="External"/><Relationship Id="rId208" Type="http://schemas.openxmlformats.org/officeDocument/2006/relationships/hyperlink" Target="https://registry.gdi-de.org/id/de.nw.inspire.pf.bube-eureg/arb-2017-315000-300-0214067" TargetMode="External"/><Relationship Id="rId329" Type="http://schemas.openxmlformats.org/officeDocument/2006/relationships/hyperlink" Target="https://registry.gdi-de.org/id/de.bw.lubw.inspire.pf//pf-450-2948214-00000000" TargetMode="External"/><Relationship Id="rId207" Type="http://schemas.openxmlformats.org/officeDocument/2006/relationships/hyperlink" Target="https://registry.gdi-de.org/id/de.nw.inspire.pf.bube-eureg/arb-2017-913000-900-0148555" TargetMode="External"/><Relationship Id="rId328" Type="http://schemas.openxmlformats.org/officeDocument/2006/relationships/hyperlink" Target="https://registry.gdi-de.org/id/de.bb.inspire.pf.eureg/45025611" TargetMode="External"/><Relationship Id="rId449" Type="http://schemas.openxmlformats.org/officeDocument/2006/relationships/hyperlink" Target="https://registry.gdi-de.org/id/de.nw.inspire.pf.bube-eureg/arb-2017-158036-100-0238246" TargetMode="External"/><Relationship Id="rId440" Type="http://schemas.openxmlformats.org/officeDocument/2006/relationships/hyperlink" Target="https://registry.gdi-de.org/id/de.by.inspire.pf.ied/S00233" TargetMode="External"/><Relationship Id="rId202" Type="http://schemas.openxmlformats.org/officeDocument/2006/relationships/hyperlink" Target="https://registry.gdi-de.org/id/de.st.lau.pf.anlagen-ied-euregistry/100607" TargetMode="External"/><Relationship Id="rId323" Type="http://schemas.openxmlformats.org/officeDocument/2006/relationships/hyperlink" Target="https://registry.gdi-de.org/id/de.sn.sax4inspire.pf/70015796" TargetMode="External"/><Relationship Id="rId444" Type="http://schemas.openxmlformats.org/officeDocument/2006/relationships/hyperlink" Target="https://registry.gdi-de.org/id/de.st.lau.pf.anlagen-ied-euregistry/102693" TargetMode="External"/><Relationship Id="rId201" Type="http://schemas.openxmlformats.org/officeDocument/2006/relationships/hyperlink" Target="https://registry.gdi-de.org/id/de.ni.mu/03030273580" TargetMode="External"/><Relationship Id="rId322" Type="http://schemas.openxmlformats.org/officeDocument/2006/relationships/hyperlink" Target="https://registry.gdi-de.org/id/de.nw.inspire.pf.bube-eureg/arb-2017-162008-100-0248923" TargetMode="External"/><Relationship Id="rId443" Type="http://schemas.openxmlformats.org/officeDocument/2006/relationships/hyperlink" Target="https://registry.gdi-de.org/id/de.rp.inspire.pf.bube-eureg/5000031" TargetMode="External"/><Relationship Id="rId200" Type="http://schemas.openxmlformats.org/officeDocument/2006/relationships/hyperlink" Target="https://registry.gdi-de.org/id/de.sh//10038064" TargetMode="External"/><Relationship Id="rId321" Type="http://schemas.openxmlformats.org/officeDocument/2006/relationships/hyperlink" Target="http://paikkatiedot.fi/so/1002031/pf/ProductionFacility/0000011323.ProductionFacility" TargetMode="External"/><Relationship Id="rId442" Type="http://schemas.openxmlformats.org/officeDocument/2006/relationships/hyperlink" Target="https://registry.gdi-de.org/id/de.bw.lubw.inspire.pf//pf-450-34064722-00000000" TargetMode="External"/><Relationship Id="rId320" Type="http://schemas.openxmlformats.org/officeDocument/2006/relationships/hyperlink" Target="http://paikkatiedot.fi/so/1002031/pf/ProductionFacility/0000001862.ProductionFacility" TargetMode="External"/><Relationship Id="rId441" Type="http://schemas.openxmlformats.org/officeDocument/2006/relationships/hyperlink" Target="https://registry.gdi-de.org/id/de.sn.sax4inspire.pf/70015917" TargetMode="External"/><Relationship Id="rId316" Type="http://schemas.openxmlformats.org/officeDocument/2006/relationships/hyperlink" Target="http://paikkatiedot.fi/so/1002031/pf/ProductionFacility/0100239774.ProductionFacility" TargetMode="External"/><Relationship Id="rId437" Type="http://schemas.openxmlformats.org/officeDocument/2006/relationships/hyperlink" Target="https://registry.gdi-de.org/id/de.by.inspire.pf.ied/S00708" TargetMode="External"/><Relationship Id="rId315" Type="http://schemas.openxmlformats.org/officeDocument/2006/relationships/hyperlink" Target="https://registry.gdi-de.org/id/de.st.lau.pf.anlagen-ied-euregistry/100276" TargetMode="External"/><Relationship Id="rId436" Type="http://schemas.openxmlformats.org/officeDocument/2006/relationships/hyperlink" Target="https://registry.gdi-de.org/id/de.sl.inspire.pf//0105354-G" TargetMode="External"/><Relationship Id="rId314" Type="http://schemas.openxmlformats.org/officeDocument/2006/relationships/hyperlink" Target="https://registry.gdi-de.org/id/de.ni.mu/01244136460" TargetMode="External"/><Relationship Id="rId435" Type="http://schemas.openxmlformats.org/officeDocument/2006/relationships/hyperlink" Target="https://registry.gdi-de.org/id/de.by.inspire.pf.ied/S00045" TargetMode="External"/><Relationship Id="rId313" Type="http://schemas.openxmlformats.org/officeDocument/2006/relationships/hyperlink" Target="https://registry.gdi-de.org/id/de.by.inspire.pf.ied/S01047" TargetMode="External"/><Relationship Id="rId434" Type="http://schemas.openxmlformats.org/officeDocument/2006/relationships/hyperlink" Target="https://registry.gdi-de.org/id/de.sn.sax4inspire.pf/70015926" TargetMode="External"/><Relationship Id="rId319" Type="http://schemas.openxmlformats.org/officeDocument/2006/relationships/hyperlink" Target="http://paikkatiedot.fi/so/1002031/pf/ProductionFacility/0100198201.ProductionFacility" TargetMode="External"/><Relationship Id="rId318" Type="http://schemas.openxmlformats.org/officeDocument/2006/relationships/hyperlink" Target="http://paikkatiedot.fi/so/1002031/pf/ProductionFacility/0000001115.ProductionFacility" TargetMode="External"/><Relationship Id="rId439" Type="http://schemas.openxmlformats.org/officeDocument/2006/relationships/hyperlink" Target="https://registry.gdi-de.org/id/de.by.inspire.pf.ied/S00727" TargetMode="External"/><Relationship Id="rId317" Type="http://schemas.openxmlformats.org/officeDocument/2006/relationships/hyperlink" Target="http://paikkatiedot.fi/so/1002031/pf/ProductionFacility/0000001172.ProductionFacility" TargetMode="External"/><Relationship Id="rId438" Type="http://schemas.openxmlformats.org/officeDocument/2006/relationships/hyperlink" Target="https://registry.gdi-de.org/id/de.nw.inspire.pf.bube-eureg/arb-2017-711000-700-9073508" TargetMode="External"/><Relationship Id="rId312" Type="http://schemas.openxmlformats.org/officeDocument/2006/relationships/hyperlink" Target="https://registry.gdi-de.org/id/de.bb.inspire.pf.eureg/16018546" TargetMode="External"/><Relationship Id="rId433" Type="http://schemas.openxmlformats.org/officeDocument/2006/relationships/hyperlink" Target="https://registry.gdi-de.org/id/de.he.0945.de7.pf.eu_industrie/30000030" TargetMode="External"/><Relationship Id="rId311" Type="http://schemas.openxmlformats.org/officeDocument/2006/relationships/hyperlink" Target="https://registry.gdi-de.org/id/de.ni.mu/10285005160" TargetMode="External"/><Relationship Id="rId432" Type="http://schemas.openxmlformats.org/officeDocument/2006/relationships/hyperlink" Target="https://registry.gdi-de.org/id/de.th/5bf25e39-19d5-4254-adac-63f1b1cec499/86012942" TargetMode="External"/><Relationship Id="rId310" Type="http://schemas.openxmlformats.org/officeDocument/2006/relationships/hyperlink" Target="https://registry.gdi-de.org/id/de.nw.inspire.pf.bube-eureg/arb-2017-112000-100-9973329" TargetMode="External"/><Relationship Id="rId431" Type="http://schemas.openxmlformats.org/officeDocument/2006/relationships/hyperlink" Target="https://registry.gdi-de.org/id/de.nw.inspire.pf.bube-eureg/arb-2017-978040-900-0220187" TargetMode="External"/><Relationship Id="rId430" Type="http://schemas.openxmlformats.org/officeDocument/2006/relationships/hyperlink" Target="https://registry.gdi-de.org/id/de.bw.lubw.inspire.pf//pf-450-80920445-00000000"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2.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transportenvironment.org/state-of-european-transport/state-of-transport/energy" TargetMode="External"/><Relationship Id="rId2" Type="http://schemas.openxmlformats.org/officeDocument/2006/relationships/hyperlink" Target="https://eur-lex.europa.eu/legal-content/EN/TXT/?uri=OJ:L_202401735" TargetMode="External"/><Relationship Id="rId3" Type="http://schemas.openxmlformats.org/officeDocument/2006/relationships/hyperlink" Target="https://eur-lex.europa.eu/legal-content/EN/TXT/?uri=CELEX%253A52024DC0062" TargetMode="External"/><Relationship Id="rId4" Type="http://schemas.openxmlformats.org/officeDocument/2006/relationships/hyperlink" Target="https://www.efuel-alliance.eu/fileadmin/Downloads/20250902_Frontier_eFuel_Alliance_eNG_coalition_-_CO2_point_sources.pdf" TargetMode="External"/><Relationship Id="rId10" Type="http://schemas.openxmlformats.org/officeDocument/2006/relationships/drawing" Target="../drawings/drawing2.xml"/><Relationship Id="rId12" Type="http://schemas.openxmlformats.org/officeDocument/2006/relationships/table" Target="../tables/table2.xml"/><Relationship Id="rId9" Type="http://schemas.openxmlformats.org/officeDocument/2006/relationships/hyperlink" Target="https://www.efuel-alliance.eu/fileadmin/Downloads/20250902_Frontier_eFuel_Alliance_eNG_coalition_-_CO2_point_sources.pdf" TargetMode="External"/><Relationship Id="rId5" Type="http://schemas.openxmlformats.org/officeDocument/2006/relationships/hyperlink" Target="https://www.efuel-alliance.eu/fileadmin/Downloads/20250902_Frontier_eFuel_Alliance_eNG_coalition_-_CO2_point_sources.pdf" TargetMode="External"/><Relationship Id="rId6" Type="http://schemas.openxmlformats.org/officeDocument/2006/relationships/hyperlink" Target="https://www.efuel-alliance.eu/fileadmin/Downloads/20250902_Frontier_eFuel_Alliance_eNG_coalition_-_CO2_point_sources.pdf" TargetMode="External"/><Relationship Id="rId7" Type="http://schemas.openxmlformats.org/officeDocument/2006/relationships/hyperlink" Target="https://www.efuel-alliance.eu/fileadmin/Downloads/20250902_Frontier_eFuel_Alliance_eNG_coalition_-_CO2_point_sources.pdf" TargetMode="External"/><Relationship Id="rId8" Type="http://schemas.openxmlformats.org/officeDocument/2006/relationships/hyperlink" Target="https://www.efuel-alliance.eu/fileadmin/Downloads/20250902_Frontier_eFuel_Alliance_eNG_coalition_-_CO2_point_sources.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4" Type="http://schemas.openxmlformats.org/officeDocument/2006/relationships/table" Target="../tables/table5.xml"/><Relationship Id="rId5"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transportenvironment.org/uploads/files/DAC-final-report.pdf" TargetMode="External"/><Relationship Id="rId2" Type="http://schemas.openxmlformats.org/officeDocument/2006/relationships/hyperlink" Target="https://www.iea.org/reports/putting-co2-to-use" TargetMode="External"/><Relationship Id="rId3" Type="http://schemas.openxmlformats.org/officeDocument/2006/relationships/hyperlink" Target="http://co2value.eu/wp-content/uploads/2024/01/FINAL-LAYOUT_CVEs-EU-Roadmap-for-CCU-by-2050.pdf" TargetMode="External"/><Relationship Id="rId4" Type="http://schemas.openxmlformats.org/officeDocument/2006/relationships/drawing" Target="../drawings/drawing7.xml"/><Relationship Id="rId11" Type="http://schemas.openxmlformats.org/officeDocument/2006/relationships/table" Target="../tables/table10.xml"/><Relationship Id="rId10" Type="http://schemas.openxmlformats.org/officeDocument/2006/relationships/table" Target="../tables/table9.xml"/><Relationship Id="rId12" Type="http://schemas.openxmlformats.org/officeDocument/2006/relationships/table" Target="../tables/table11.xml"/><Relationship Id="rId9"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3.0"/>
    <col customWidth="1" min="2" max="2" width="63.63"/>
    <col customWidth="1" min="3" max="3" width="21.75"/>
  </cols>
  <sheetData>
    <row r="1" ht="25.5" customHeight="1">
      <c r="A1" s="1" t="s">
        <v>0</v>
      </c>
      <c r="D1" s="1"/>
      <c r="E1" s="1"/>
      <c r="F1" s="1"/>
      <c r="G1" s="1"/>
      <c r="H1" s="1"/>
      <c r="I1" s="1"/>
      <c r="J1" s="1"/>
      <c r="K1" s="1"/>
      <c r="L1" s="1"/>
      <c r="M1" s="1"/>
      <c r="N1" s="1"/>
      <c r="O1" s="1"/>
      <c r="P1" s="1"/>
      <c r="Q1" s="1"/>
      <c r="R1" s="1"/>
      <c r="S1" s="1"/>
      <c r="T1" s="1"/>
      <c r="U1" s="1"/>
      <c r="V1" s="1"/>
      <c r="W1" s="1"/>
      <c r="X1" s="1"/>
    </row>
    <row r="2" ht="25.5" customHeight="1">
      <c r="D2" s="1"/>
      <c r="E2" s="1"/>
      <c r="F2" s="1"/>
      <c r="G2" s="1"/>
      <c r="H2" s="1"/>
      <c r="I2" s="1"/>
      <c r="J2" s="1"/>
      <c r="K2" s="1"/>
      <c r="L2" s="1"/>
      <c r="M2" s="1"/>
      <c r="N2" s="1"/>
      <c r="O2" s="1"/>
      <c r="P2" s="1"/>
      <c r="Q2" s="1"/>
      <c r="R2" s="1"/>
      <c r="S2" s="1"/>
      <c r="T2" s="1"/>
      <c r="U2" s="1"/>
      <c r="V2" s="1"/>
      <c r="W2" s="1"/>
      <c r="X2" s="1"/>
    </row>
    <row r="3" ht="25.5" customHeight="1">
      <c r="D3" s="1"/>
      <c r="E3" s="1"/>
      <c r="F3" s="1"/>
      <c r="G3" s="1"/>
      <c r="H3" s="1"/>
      <c r="I3" s="1"/>
      <c r="J3" s="1"/>
      <c r="K3" s="1"/>
      <c r="L3" s="1"/>
      <c r="M3" s="1"/>
      <c r="N3" s="1"/>
      <c r="O3" s="1"/>
      <c r="P3" s="1"/>
      <c r="Q3" s="1"/>
      <c r="R3" s="1"/>
      <c r="S3" s="1"/>
      <c r="T3" s="1"/>
      <c r="U3" s="1"/>
      <c r="V3" s="1"/>
      <c r="W3" s="1"/>
      <c r="X3" s="1"/>
    </row>
    <row r="4" ht="25.5" customHeight="1">
      <c r="D4" s="1" t="s">
        <v>0</v>
      </c>
      <c r="E4" s="1"/>
      <c r="F4" s="1"/>
      <c r="G4" s="1"/>
      <c r="H4" s="1"/>
      <c r="I4" s="1"/>
      <c r="J4" s="1"/>
      <c r="K4" s="1"/>
      <c r="L4" s="1"/>
      <c r="M4" s="1"/>
      <c r="N4" s="1"/>
      <c r="O4" s="1"/>
      <c r="P4" s="1"/>
      <c r="Q4" s="1"/>
      <c r="R4" s="1"/>
      <c r="S4" s="1"/>
      <c r="T4" s="1"/>
      <c r="U4" s="1"/>
      <c r="V4" s="1"/>
      <c r="W4" s="1"/>
      <c r="X4" s="1"/>
    </row>
    <row r="5" ht="25.5" customHeight="1">
      <c r="D5" s="1"/>
      <c r="E5" s="1"/>
      <c r="F5" s="1"/>
      <c r="G5" s="1"/>
      <c r="H5" s="1"/>
      <c r="I5" s="1"/>
      <c r="J5" s="1"/>
      <c r="K5" s="1"/>
      <c r="L5" s="1"/>
      <c r="M5" s="1"/>
      <c r="N5" s="1"/>
      <c r="O5" s="1"/>
      <c r="P5" s="1"/>
      <c r="Q5" s="1"/>
      <c r="R5" s="1"/>
      <c r="S5" s="1"/>
      <c r="T5" s="1"/>
      <c r="U5" s="1"/>
      <c r="V5" s="1"/>
      <c r="W5" s="1"/>
      <c r="X5" s="1"/>
    </row>
    <row r="6" ht="25.5" customHeight="1">
      <c r="D6" s="1"/>
      <c r="E6" s="1"/>
      <c r="F6" s="1"/>
      <c r="G6" s="1"/>
      <c r="H6" s="1"/>
      <c r="I6" s="1"/>
      <c r="J6" s="1"/>
      <c r="K6" s="1"/>
      <c r="L6" s="1"/>
      <c r="M6" s="1"/>
      <c r="N6" s="1"/>
      <c r="O6" s="1"/>
      <c r="P6" s="1"/>
      <c r="Q6" s="1"/>
      <c r="R6" s="1"/>
      <c r="S6" s="1"/>
      <c r="T6" s="1"/>
      <c r="U6" s="1"/>
      <c r="V6" s="1"/>
      <c r="W6" s="1"/>
      <c r="X6" s="1"/>
    </row>
    <row r="7" ht="25.5" customHeight="1">
      <c r="D7" s="1"/>
      <c r="E7" s="1"/>
      <c r="F7" s="1"/>
      <c r="G7" s="1"/>
      <c r="H7" s="1"/>
      <c r="I7" s="1"/>
      <c r="J7" s="1"/>
      <c r="K7" s="1"/>
      <c r="L7" s="1"/>
      <c r="M7" s="1"/>
      <c r="N7" s="1"/>
      <c r="O7" s="1"/>
      <c r="P7" s="1"/>
      <c r="Q7" s="1"/>
      <c r="R7" s="1"/>
      <c r="S7" s="1"/>
      <c r="T7" s="1"/>
      <c r="U7" s="1"/>
      <c r="V7" s="1"/>
      <c r="W7" s="1"/>
      <c r="X7" s="1"/>
    </row>
    <row r="8" ht="25.5" customHeight="1">
      <c r="D8" s="1"/>
      <c r="E8" s="1"/>
      <c r="F8" s="1"/>
      <c r="G8" s="1"/>
      <c r="H8" s="1"/>
      <c r="I8" s="1"/>
      <c r="J8" s="1"/>
      <c r="K8" s="1"/>
      <c r="L8" s="1"/>
      <c r="M8" s="1"/>
      <c r="N8" s="1"/>
      <c r="O8" s="1"/>
      <c r="P8" s="1"/>
      <c r="Q8" s="1"/>
      <c r="R8" s="1"/>
      <c r="S8" s="1"/>
      <c r="T8" s="1"/>
      <c r="U8" s="1"/>
      <c r="V8" s="1"/>
      <c r="W8" s="1"/>
      <c r="X8" s="1"/>
    </row>
    <row r="9" ht="25.5" customHeight="1">
      <c r="D9" s="1"/>
      <c r="E9" s="1"/>
      <c r="F9" s="1" t="s">
        <v>0</v>
      </c>
      <c r="G9" s="1"/>
      <c r="H9" s="1"/>
      <c r="I9" s="1"/>
      <c r="J9" s="1"/>
      <c r="K9" s="1"/>
      <c r="L9" s="1"/>
      <c r="M9" s="1"/>
      <c r="N9" s="1"/>
      <c r="O9" s="1"/>
      <c r="P9" s="1"/>
      <c r="Q9" s="1"/>
      <c r="R9" s="1"/>
      <c r="S9" s="1"/>
      <c r="T9" s="1"/>
      <c r="U9" s="1"/>
      <c r="V9" s="1"/>
      <c r="W9" s="1"/>
      <c r="X9" s="1"/>
    </row>
    <row r="10">
      <c r="A10" s="1"/>
      <c r="B10" s="1"/>
      <c r="C10" s="1"/>
      <c r="D10" s="1"/>
      <c r="E10" s="1"/>
      <c r="F10" s="1" t="s">
        <v>0</v>
      </c>
      <c r="G10" s="1"/>
      <c r="H10" s="1"/>
      <c r="I10" s="1"/>
      <c r="J10" s="1"/>
      <c r="K10" s="1"/>
      <c r="L10" s="1"/>
      <c r="M10" s="1"/>
      <c r="N10" s="1"/>
      <c r="O10" s="1"/>
      <c r="P10" s="1"/>
      <c r="Q10" s="1"/>
      <c r="R10" s="1"/>
      <c r="S10" s="1"/>
      <c r="T10" s="1"/>
      <c r="U10" s="1"/>
      <c r="V10" s="1"/>
      <c r="W10" s="1"/>
      <c r="X10" s="1"/>
    </row>
    <row r="11">
      <c r="A11" s="2" t="s">
        <v>1</v>
      </c>
      <c r="C11" s="1"/>
      <c r="D11" s="1"/>
      <c r="E11" s="1"/>
      <c r="F11" s="1"/>
      <c r="G11" s="1"/>
      <c r="H11" s="1"/>
      <c r="I11" s="1"/>
      <c r="J11" s="1"/>
      <c r="K11" s="1"/>
      <c r="L11" s="1"/>
      <c r="M11" s="1"/>
      <c r="N11" s="1"/>
      <c r="O11" s="1"/>
      <c r="P11" s="1"/>
      <c r="Q11" s="1"/>
      <c r="R11" s="1"/>
      <c r="S11" s="1"/>
      <c r="T11" s="1"/>
      <c r="U11" s="1"/>
      <c r="V11" s="1"/>
      <c r="W11" s="1"/>
      <c r="X11" s="1"/>
    </row>
    <row r="12">
      <c r="A12" s="3" t="s">
        <v>2</v>
      </c>
      <c r="B12" s="4"/>
      <c r="C12" s="4"/>
      <c r="D12" s="4"/>
      <c r="E12" s="4"/>
      <c r="F12" s="4"/>
      <c r="G12" s="1"/>
      <c r="H12" s="1"/>
      <c r="I12" s="1"/>
      <c r="J12" s="1"/>
      <c r="K12" s="1"/>
      <c r="L12" s="1"/>
      <c r="M12" s="1"/>
      <c r="N12" s="1"/>
      <c r="O12" s="1"/>
      <c r="P12" s="1"/>
      <c r="Q12" s="1"/>
      <c r="R12" s="1"/>
      <c r="S12" s="1"/>
      <c r="T12" s="1"/>
      <c r="U12" s="1"/>
      <c r="V12" s="1"/>
      <c r="W12" s="1"/>
      <c r="X12" s="1"/>
    </row>
    <row r="13">
      <c r="A13" s="5" t="s">
        <v>3</v>
      </c>
      <c r="B13" s="1"/>
      <c r="C13" s="1"/>
      <c r="D13" s="1"/>
      <c r="E13" s="1"/>
      <c r="F13" s="1"/>
      <c r="G13" s="1"/>
      <c r="H13" s="1"/>
      <c r="I13" s="1"/>
      <c r="J13" s="1"/>
      <c r="K13" s="1"/>
      <c r="L13" s="1"/>
      <c r="M13" s="1"/>
      <c r="N13" s="1"/>
      <c r="O13" s="1"/>
      <c r="P13" s="1"/>
      <c r="Q13" s="1"/>
      <c r="R13" s="1"/>
      <c r="S13" s="1"/>
      <c r="T13" s="1"/>
      <c r="U13" s="1"/>
      <c r="V13" s="1"/>
      <c r="W13" s="1"/>
      <c r="X13" s="1"/>
    </row>
    <row r="14">
      <c r="A14" s="1"/>
      <c r="B14" s="1"/>
      <c r="C14" s="1"/>
      <c r="D14" s="1"/>
      <c r="E14" s="1"/>
      <c r="F14" s="1"/>
      <c r="G14" s="1"/>
      <c r="H14" s="1"/>
      <c r="I14" s="1"/>
      <c r="J14" s="1"/>
      <c r="K14" s="1"/>
      <c r="L14" s="1"/>
      <c r="M14" s="1"/>
      <c r="N14" s="1"/>
      <c r="O14" s="1"/>
      <c r="P14" s="1"/>
      <c r="Q14" s="1"/>
      <c r="R14" s="1"/>
      <c r="S14" s="1"/>
      <c r="T14" s="1"/>
      <c r="U14" s="1"/>
      <c r="V14" s="1"/>
      <c r="W14" s="1"/>
      <c r="X14" s="1"/>
    </row>
    <row r="15">
      <c r="A15" s="6" t="s">
        <v>4</v>
      </c>
      <c r="E15" s="1"/>
      <c r="F15" s="1"/>
      <c r="G15" s="1"/>
      <c r="H15" s="1"/>
      <c r="I15" s="1"/>
      <c r="J15" s="1"/>
      <c r="K15" s="1"/>
      <c r="L15" s="1"/>
      <c r="M15" s="1"/>
      <c r="N15" s="1"/>
      <c r="O15" s="1"/>
      <c r="P15" s="1"/>
      <c r="Q15" s="1"/>
      <c r="R15" s="1"/>
      <c r="S15" s="1"/>
      <c r="T15" s="1"/>
      <c r="U15" s="1"/>
      <c r="V15" s="1"/>
      <c r="W15" s="1"/>
      <c r="X15" s="1"/>
    </row>
    <row r="16">
      <c r="A16" s="1"/>
      <c r="B16" s="1"/>
      <c r="C16" s="1"/>
      <c r="D16" s="1"/>
      <c r="E16" s="1"/>
      <c r="F16" s="1"/>
      <c r="G16" s="1"/>
      <c r="H16" s="1"/>
      <c r="I16" s="1"/>
      <c r="J16" s="1"/>
      <c r="K16" s="1"/>
      <c r="L16" s="1"/>
      <c r="M16" s="1"/>
      <c r="N16" s="1"/>
      <c r="O16" s="1"/>
      <c r="P16" s="1"/>
      <c r="Q16" s="1"/>
      <c r="R16" s="1"/>
      <c r="S16" s="1"/>
      <c r="T16" s="1"/>
      <c r="U16" s="1"/>
      <c r="V16" s="1"/>
      <c r="W16" s="1"/>
      <c r="X16" s="1"/>
    </row>
    <row r="17">
      <c r="A17" s="7" t="s">
        <v>5</v>
      </c>
      <c r="B17" s="8" t="s">
        <v>6</v>
      </c>
      <c r="C17" s="7" t="s">
        <v>7</v>
      </c>
      <c r="D17" s="1"/>
      <c r="E17" s="1"/>
      <c r="F17" s="1"/>
      <c r="H17" s="1"/>
      <c r="I17" s="1"/>
      <c r="J17" s="1"/>
      <c r="K17" s="1"/>
      <c r="L17" s="1"/>
      <c r="M17" s="1"/>
      <c r="N17" s="1"/>
      <c r="O17" s="1"/>
      <c r="P17" s="1"/>
      <c r="Q17" s="1"/>
      <c r="R17" s="1"/>
      <c r="S17" s="1"/>
      <c r="T17" s="1"/>
      <c r="U17" s="1"/>
      <c r="V17" s="1"/>
      <c r="W17" s="1"/>
      <c r="X17" s="1"/>
    </row>
    <row r="18" ht="18.75" customHeight="1">
      <c r="A18" s="9" t="str">
        <f> HYPERLINK("https://docs.google.com/spreadsheets/d/1t4zs_z2c_x6txwRnuIqA7sGpnfmOIJv7t87q9N9EIHI/edit#gid=664366693", "cover")</f>
        <v>cover</v>
      </c>
      <c r="B18" s="10"/>
      <c r="C18" s="10"/>
      <c r="D18" s="1"/>
      <c r="E18" s="1"/>
      <c r="F18" s="1"/>
      <c r="H18" s="1"/>
      <c r="I18" s="1"/>
      <c r="J18" s="1"/>
      <c r="K18" s="1"/>
      <c r="L18" s="1"/>
      <c r="M18" s="1"/>
      <c r="N18" s="1"/>
      <c r="O18" s="1"/>
      <c r="P18" s="1"/>
      <c r="Q18" s="1"/>
      <c r="R18" s="1"/>
      <c r="S18" s="1"/>
      <c r="T18" s="1"/>
      <c r="U18" s="1"/>
      <c r="V18" s="1"/>
      <c r="W18" s="1"/>
      <c r="X18" s="1"/>
    </row>
    <row r="19" ht="18.75" customHeight="1">
      <c r="A19" s="9" t="str">
        <f> HYPERLINK("https://docs.google.com/spreadsheets/d/1t4zs_z2c_x6txwRnuIqA7sGpnfmOIJv7t87q9N9EIHI/edit#gid=833321505", "statements")</f>
        <v>statements</v>
      </c>
      <c r="B19" s="11" t="s">
        <v>8</v>
      </c>
      <c r="C19" s="12"/>
      <c r="D19" s="1"/>
      <c r="E19" s="1"/>
      <c r="F19" s="1"/>
      <c r="H19" s="1"/>
      <c r="I19" s="1"/>
      <c r="J19" s="1"/>
      <c r="K19" s="1"/>
      <c r="L19" s="1"/>
      <c r="M19" s="1"/>
      <c r="N19" s="1"/>
      <c r="O19" s="1"/>
      <c r="P19" s="1"/>
      <c r="Q19" s="1"/>
      <c r="R19" s="1"/>
      <c r="S19" s="1"/>
      <c r="T19" s="1"/>
      <c r="U19" s="1"/>
      <c r="V19" s="1"/>
      <c r="W19" s="1"/>
      <c r="X19" s="1"/>
    </row>
    <row r="20" ht="18.75" customHeight="1">
      <c r="A20" s="9" t="str">
        <f> HYPERLINK("https://docs.google.com/spreadsheets/d/1t4zs_z2c_x6txwRnuIqA7sGpnfmOIJv7t87q9N9EIHI/edit#gid=1196552873", "flourish_0")</f>
        <v>flourish_0</v>
      </c>
      <c r="B20" s="13" t="s">
        <v>9</v>
      </c>
      <c r="C20" s="13" t="s">
        <v>10</v>
      </c>
      <c r="D20" s="1"/>
      <c r="E20" s="1"/>
      <c r="F20" s="1"/>
      <c r="H20" s="1"/>
      <c r="I20" s="1"/>
      <c r="J20" s="1"/>
      <c r="K20" s="1"/>
      <c r="L20" s="1"/>
      <c r="M20" s="1"/>
      <c r="N20" s="1"/>
      <c r="O20" s="1"/>
      <c r="P20" s="1"/>
      <c r="Q20" s="1"/>
      <c r="R20" s="1"/>
      <c r="S20" s="1"/>
      <c r="T20" s="1"/>
      <c r="U20" s="1"/>
      <c r="V20" s="1"/>
      <c r="W20" s="1"/>
      <c r="X20" s="1"/>
    </row>
    <row r="21" ht="18.75" customHeight="1">
      <c r="A21" s="9" t="str">
        <f> HYPERLINK("https://docs.google.com/spreadsheets/d/1t4zs_z2c_x6txwRnuIqA7sGpnfmOIJv7t87q9N9EIHI/edit#gid=315790074", "flourish_1")</f>
        <v>flourish_1</v>
      </c>
      <c r="B21" s="13" t="s">
        <v>11</v>
      </c>
      <c r="C21" s="13" t="s">
        <v>12</v>
      </c>
      <c r="D21" s="1"/>
      <c r="E21" s="1"/>
      <c r="F21" s="1"/>
      <c r="H21" s="1"/>
      <c r="I21" s="1"/>
      <c r="J21" s="1"/>
      <c r="K21" s="1"/>
      <c r="L21" s="1"/>
      <c r="M21" s="1"/>
      <c r="N21" s="1"/>
      <c r="O21" s="1"/>
      <c r="P21" s="1"/>
      <c r="Q21" s="1"/>
      <c r="R21" s="1"/>
      <c r="S21" s="1"/>
      <c r="T21" s="1"/>
      <c r="U21" s="1"/>
      <c r="V21" s="1"/>
      <c r="W21" s="1"/>
      <c r="X21" s="1"/>
    </row>
    <row r="22" ht="18.75" customHeight="1">
      <c r="A22" s="9" t="str">
        <f> HYPERLINK("https://docs.google.com/spreadsheets/d/1t4zs_z2c_x6txwRnuIqA7sGpnfmOIJv7t87q9N9EIHI/edit#gid=1738977928", "data_1")</f>
        <v>data_1</v>
      </c>
      <c r="B22" s="14"/>
      <c r="C22" s="13" t="s">
        <v>12</v>
      </c>
      <c r="D22" s="1"/>
      <c r="E22" s="1"/>
      <c r="F22" s="1"/>
      <c r="H22" s="1"/>
      <c r="I22" s="1"/>
      <c r="J22" s="1"/>
      <c r="K22" s="1"/>
      <c r="L22" s="1"/>
      <c r="M22" s="1"/>
      <c r="N22" s="1"/>
      <c r="O22" s="1"/>
      <c r="P22" s="1"/>
      <c r="Q22" s="1"/>
      <c r="R22" s="1"/>
      <c r="S22" s="1"/>
      <c r="T22" s="1"/>
      <c r="U22" s="1"/>
      <c r="V22" s="1"/>
      <c r="W22" s="1"/>
      <c r="X22" s="1"/>
    </row>
    <row r="23" ht="18.75" customHeight="1">
      <c r="A23" s="9" t="str">
        <f> HYPERLINK("https://docs.google.com/spreadsheets/d/1t4zs_z2c_x6txwRnuIqA7sGpnfmOIJv7t87q9N9EIHI/edit#gid=2042281057", "flourish_2")</f>
        <v>flourish_2</v>
      </c>
      <c r="B23" s="13" t="s">
        <v>13</v>
      </c>
      <c r="C23" s="13" t="s">
        <v>14</v>
      </c>
      <c r="D23" s="1"/>
      <c r="E23" s="1"/>
      <c r="F23" s="1"/>
      <c r="H23" s="1"/>
      <c r="I23" s="1"/>
      <c r="J23" s="1"/>
      <c r="K23" s="1"/>
      <c r="L23" s="1"/>
      <c r="M23" s="1"/>
      <c r="N23" s="1"/>
      <c r="O23" s="1"/>
      <c r="P23" s="1"/>
      <c r="Q23" s="1"/>
      <c r="R23" s="1"/>
      <c r="S23" s="1"/>
      <c r="T23" s="1"/>
      <c r="U23" s="1"/>
      <c r="V23" s="1"/>
      <c r="W23" s="1"/>
      <c r="X23" s="1"/>
    </row>
    <row r="24" ht="18.75" customHeight="1">
      <c r="A24" s="9" t="str">
        <f> HYPERLINK("https://docs.google.com/spreadsheets/d/1t4zs_z2c_x6txwRnuIqA7sGpnfmOIJv7t87q9N9EIHI/edit#gid=740202772", "data_2")</f>
        <v>data_2</v>
      </c>
      <c r="B24" s="15"/>
      <c r="C24" s="13" t="s">
        <v>14</v>
      </c>
      <c r="D24" s="1"/>
      <c r="E24" s="1"/>
      <c r="F24" s="1"/>
      <c r="H24" s="1"/>
      <c r="I24" s="1"/>
      <c r="J24" s="1"/>
      <c r="K24" s="1"/>
      <c r="L24" s="1"/>
      <c r="M24" s="1"/>
      <c r="N24" s="1"/>
      <c r="O24" s="1"/>
      <c r="P24" s="1"/>
      <c r="Q24" s="1"/>
      <c r="R24" s="1"/>
      <c r="S24" s="1"/>
      <c r="T24" s="1"/>
      <c r="U24" s="1"/>
      <c r="V24" s="1"/>
      <c r="W24" s="1"/>
      <c r="X24" s="1"/>
    </row>
    <row r="25" ht="18.75" customHeight="1">
      <c r="A25" s="9" t="str">
        <f> HYPERLINK("https://docs.google.com/spreadsheets/d/1t4zs_z2c_x6txwRnuIqA7sGpnfmOIJv7t87q9N9EIHI/edit#gid=1575810049", "flourish_3")</f>
        <v>flourish_3</v>
      </c>
      <c r="B25" s="11" t="s">
        <v>15</v>
      </c>
      <c r="C25" s="11" t="s">
        <v>12</v>
      </c>
      <c r="D25" s="1"/>
      <c r="E25" s="1"/>
      <c r="F25" s="1"/>
      <c r="H25" s="1"/>
      <c r="I25" s="1"/>
      <c r="J25" s="1"/>
      <c r="K25" s="1"/>
      <c r="L25" s="1"/>
      <c r="M25" s="1"/>
      <c r="N25" s="1"/>
      <c r="O25" s="1"/>
      <c r="P25" s="1"/>
      <c r="Q25" s="1"/>
      <c r="R25" s="1"/>
      <c r="S25" s="1"/>
      <c r="T25" s="1"/>
      <c r="U25" s="1"/>
      <c r="V25" s="1"/>
      <c r="W25" s="1"/>
      <c r="X25" s="1"/>
    </row>
    <row r="26" ht="18.75" customHeight="1">
      <c r="A26" s="9" t="str">
        <f> HYPERLINK("https://docs.google.com/spreadsheets/d/1t4zs_z2c_x6txwRnuIqA7sGpnfmOIJv7t87q9N9EIHI/edit#gid=2084854899", "flourish_4_a")</f>
        <v>flourish_4_a</v>
      </c>
      <c r="B26" s="11" t="s">
        <v>16</v>
      </c>
      <c r="C26" s="11" t="s">
        <v>17</v>
      </c>
      <c r="D26" s="1"/>
      <c r="E26" s="1"/>
      <c r="F26" s="1"/>
      <c r="H26" s="1"/>
      <c r="I26" s="1"/>
      <c r="J26" s="1"/>
      <c r="K26" s="1"/>
      <c r="L26" s="1"/>
      <c r="M26" s="1"/>
      <c r="N26" s="1"/>
      <c r="O26" s="1"/>
      <c r="P26" s="1"/>
      <c r="Q26" s="1"/>
      <c r="R26" s="1"/>
      <c r="S26" s="1"/>
      <c r="T26" s="1"/>
      <c r="U26" s="1"/>
      <c r="V26" s="1"/>
      <c r="W26" s="1"/>
      <c r="X26" s="1"/>
    </row>
    <row r="27" ht="18.75" customHeight="1">
      <c r="A27" s="9" t="str">
        <f> HYPERLINK("https://docs.google.com/spreadsheets/d/1t4zs_z2c_x6txwRnuIqA7sGpnfmOIJv7t87q9N9EIHI/edit#gid=151821289", "flourish_4_b")</f>
        <v>flourish_4_b</v>
      </c>
      <c r="B27" s="16" t="s">
        <v>18</v>
      </c>
      <c r="C27" s="16" t="s">
        <v>12</v>
      </c>
      <c r="D27" s="1"/>
      <c r="E27" s="1"/>
      <c r="F27" s="1"/>
      <c r="H27" s="1"/>
      <c r="I27" s="1"/>
      <c r="J27" s="1"/>
      <c r="K27" s="1"/>
      <c r="L27" s="1"/>
      <c r="M27" s="1"/>
      <c r="N27" s="1"/>
      <c r="O27" s="1"/>
      <c r="P27" s="1"/>
      <c r="Q27" s="1"/>
      <c r="R27" s="1"/>
      <c r="S27" s="1"/>
      <c r="T27" s="1"/>
      <c r="U27" s="1"/>
      <c r="V27" s="1"/>
      <c r="W27" s="1"/>
      <c r="X27" s="1"/>
    </row>
    <row r="28" ht="18.75" customHeight="1">
      <c r="A28" s="9" t="str">
        <f> HYPERLINK("https://docs.google.com/spreadsheets/d/1t4zs_z2c_x6txwRnuIqA7sGpnfmOIJv7t87q9N9EIHI/edit#gid=2099662801", "flourish_5")</f>
        <v>flourish_5</v>
      </c>
      <c r="B28" s="16" t="s">
        <v>19</v>
      </c>
      <c r="C28" s="16" t="s">
        <v>10</v>
      </c>
      <c r="D28" s="1"/>
      <c r="E28" s="1"/>
      <c r="F28" s="1"/>
      <c r="H28" s="1"/>
      <c r="I28" s="1"/>
      <c r="J28" s="1"/>
      <c r="K28" s="1"/>
      <c r="L28" s="1"/>
      <c r="M28" s="1"/>
      <c r="N28" s="1"/>
      <c r="O28" s="1"/>
      <c r="P28" s="1"/>
      <c r="Q28" s="1"/>
      <c r="R28" s="1"/>
      <c r="S28" s="1"/>
      <c r="T28" s="1"/>
      <c r="U28" s="1"/>
      <c r="V28" s="1"/>
      <c r="W28" s="1"/>
      <c r="X28" s="1"/>
    </row>
    <row r="29" ht="18.75" customHeight="1">
      <c r="A29" s="9" t="str">
        <f> HYPERLINK("https://docs.google.com/spreadsheets/d/1t4zs_z2c_x6txwRnuIqA7sGpnfmOIJv7t87q9N9EIHI/edit#gid=1592900835", "flourish_6")</f>
        <v>flourish_6</v>
      </c>
      <c r="B29" s="16" t="s">
        <v>20</v>
      </c>
      <c r="C29" s="16" t="s">
        <v>12</v>
      </c>
      <c r="D29" s="1"/>
      <c r="E29" s="1"/>
      <c r="F29" s="1"/>
      <c r="H29" s="1"/>
      <c r="I29" s="1"/>
      <c r="J29" s="1"/>
      <c r="K29" s="1"/>
      <c r="L29" s="1"/>
      <c r="M29" s="1"/>
      <c r="N29" s="1"/>
      <c r="O29" s="1"/>
      <c r="P29" s="1"/>
      <c r="Q29" s="1"/>
      <c r="R29" s="1"/>
      <c r="S29" s="1"/>
      <c r="T29" s="1"/>
      <c r="U29" s="1"/>
      <c r="V29" s="1"/>
      <c r="W29" s="1"/>
      <c r="X29" s="1"/>
    </row>
    <row r="30" ht="18.75" customHeight="1">
      <c r="A30" s="9" t="str">
        <f> HYPERLINK("https://docs.google.com/spreadsheets/d/1t4zs_z2c_x6txwRnuIqA7sGpnfmOIJv7t87q9N9EIHI/edit#gid=1292476923", "data_6")</f>
        <v>data_6</v>
      </c>
      <c r="B30" s="17"/>
      <c r="C30" s="16" t="s">
        <v>12</v>
      </c>
      <c r="D30" s="1"/>
      <c r="E30" s="1"/>
      <c r="F30" s="1"/>
      <c r="H30" s="1"/>
      <c r="I30" s="1"/>
      <c r="J30" s="1"/>
      <c r="K30" s="1"/>
      <c r="L30" s="1"/>
      <c r="M30" s="1"/>
      <c r="N30" s="1"/>
      <c r="O30" s="1"/>
      <c r="P30" s="1"/>
      <c r="Q30" s="1"/>
      <c r="R30" s="1"/>
      <c r="S30" s="1"/>
      <c r="T30" s="1"/>
      <c r="U30" s="1"/>
      <c r="V30" s="1"/>
      <c r="W30" s="1"/>
      <c r="X30" s="1"/>
    </row>
    <row r="31" ht="18.75" customHeight="1">
      <c r="A31" s="9" t="str">
        <f> HYPERLINK("https://docs.google.com/spreadsheets/d/1t4zs_z2c_x6txwRnuIqA7sGpnfmOIJv7t87q9N9EIHI/edit#gid=1989407380", "flourish_7")</f>
        <v>flourish_7</v>
      </c>
      <c r="B31" s="16" t="s">
        <v>21</v>
      </c>
      <c r="C31" s="16" t="s">
        <v>22</v>
      </c>
      <c r="D31" s="1"/>
      <c r="E31" s="1"/>
      <c r="F31" s="1"/>
      <c r="H31" s="1"/>
      <c r="I31" s="1"/>
      <c r="J31" s="1"/>
      <c r="K31" s="1"/>
      <c r="L31" s="1"/>
      <c r="M31" s="1"/>
      <c r="N31" s="1"/>
      <c r="O31" s="1"/>
      <c r="P31" s="1"/>
      <c r="Q31" s="1"/>
      <c r="R31" s="1"/>
      <c r="S31" s="1"/>
      <c r="T31" s="1"/>
      <c r="U31" s="1"/>
      <c r="V31" s="1"/>
      <c r="W31" s="1"/>
      <c r="X31" s="1"/>
    </row>
    <row r="32" ht="18.75" customHeight="1">
      <c r="A32" s="9" t="str">
        <f> HYPERLINK("https://docs.google.com/spreadsheets/d/1t4zs_z2c_x6txwRnuIqA7sGpnfmOIJv7t87q9N9EIHI/edit#gid=1428041552", "flourish_8")</f>
        <v>flourish_8</v>
      </c>
      <c r="B32" s="16" t="s">
        <v>23</v>
      </c>
      <c r="C32" s="16" t="s">
        <v>10</v>
      </c>
      <c r="D32" s="1"/>
      <c r="E32" s="1"/>
      <c r="F32" s="1"/>
      <c r="H32" s="1"/>
      <c r="I32" s="1"/>
      <c r="J32" s="1"/>
      <c r="K32" s="1"/>
      <c r="L32" s="1"/>
      <c r="M32" s="1"/>
      <c r="N32" s="1"/>
      <c r="O32" s="1"/>
      <c r="P32" s="1"/>
      <c r="Q32" s="1"/>
      <c r="R32" s="1"/>
      <c r="S32" s="1"/>
      <c r="T32" s="1"/>
      <c r="U32" s="1"/>
      <c r="V32" s="1"/>
      <c r="W32" s="1"/>
      <c r="X32" s="1"/>
    </row>
    <row r="33" ht="18.75" customHeight="1">
      <c r="A33" s="9" t="str">
        <f> HYPERLINK("https://docs.google.com/spreadsheets/d/1t4zs_z2c_x6txwRnuIqA7sGpnfmOIJv7t87q9N9EIHI/edit#gid=1426785774", "data_8")</f>
        <v>data_8</v>
      </c>
      <c r="B33" s="16"/>
      <c r="C33" s="16" t="s">
        <v>10</v>
      </c>
      <c r="D33" s="1"/>
      <c r="E33" s="1"/>
      <c r="F33" s="1"/>
      <c r="H33" s="1"/>
      <c r="I33" s="1"/>
      <c r="J33" s="1"/>
      <c r="K33" s="1"/>
      <c r="L33" s="1"/>
      <c r="M33" s="1"/>
      <c r="N33" s="1"/>
      <c r="O33" s="1"/>
      <c r="P33" s="1"/>
      <c r="Q33" s="1"/>
      <c r="R33" s="1"/>
      <c r="S33" s="1"/>
      <c r="T33" s="1"/>
      <c r="U33" s="1"/>
      <c r="V33" s="1"/>
      <c r="W33" s="1"/>
      <c r="X33" s="1"/>
    </row>
    <row r="34" ht="18.75" customHeight="1">
      <c r="A34" s="9" t="str">
        <f> HYPERLINK("https://docs.google.com/spreadsheets/d/1t4zs_z2c_x6txwRnuIqA7sGpnfmOIJv7t87q9N9EIHI/edit#gid=433650930", "data_aviation")</f>
        <v>data_aviation</v>
      </c>
      <c r="B34" s="16" t="s">
        <v>24</v>
      </c>
      <c r="C34" s="16" t="s">
        <v>10</v>
      </c>
      <c r="D34" s="1"/>
      <c r="E34" s="1"/>
      <c r="F34" s="1"/>
      <c r="H34" s="1"/>
      <c r="I34" s="1"/>
      <c r="J34" s="1"/>
      <c r="K34" s="1"/>
      <c r="L34" s="1"/>
      <c r="M34" s="1"/>
      <c r="N34" s="1"/>
      <c r="O34" s="1"/>
      <c r="P34" s="1"/>
      <c r="Q34" s="1"/>
      <c r="R34" s="1"/>
      <c r="S34" s="1"/>
      <c r="T34" s="1"/>
      <c r="U34" s="1"/>
      <c r="V34" s="1"/>
      <c r="W34" s="1"/>
      <c r="X34" s="1"/>
    </row>
    <row r="35" ht="18.75" customHeight="1">
      <c r="A35" s="9" t="str">
        <f> HYPERLINK("https://docs.google.com/spreadsheets/d/1t4zs_z2c_x6txwRnuIqA7sGpnfmOIJv7t87q9N9EIHI/edit#gid=1280090394", "data_all_emissions")</f>
        <v>data_all_emissions</v>
      </c>
      <c r="B35" s="16" t="s">
        <v>25</v>
      </c>
      <c r="C35" s="16" t="s">
        <v>12</v>
      </c>
      <c r="D35" s="1"/>
      <c r="E35" s="1"/>
      <c r="F35" s="1"/>
      <c r="H35" s="1"/>
      <c r="I35" s="1"/>
      <c r="J35" s="1"/>
      <c r="K35" s="1"/>
      <c r="L35" s="1"/>
      <c r="M35" s="1"/>
      <c r="N35" s="1"/>
      <c r="O35" s="1"/>
      <c r="P35" s="1"/>
      <c r="Q35" s="1"/>
      <c r="R35" s="1"/>
      <c r="S35" s="1"/>
      <c r="T35" s="1"/>
      <c r="U35" s="1"/>
      <c r="V35" s="1"/>
      <c r="W35" s="1"/>
      <c r="X35" s="1"/>
    </row>
    <row r="36" ht="18.75" customHeight="1">
      <c r="A36" s="9" t="str">
        <f> HYPERLINK("https://docs.google.com/spreadsheets/d/1t4zs_z2c_x6txwRnuIqA7sGpnfmOIJv7t87q9N9EIHI/edit#gid=701134738", "data_ethanol")</f>
        <v>data_ethanol</v>
      </c>
      <c r="B36" s="16" t="s">
        <v>26</v>
      </c>
      <c r="C36" s="16" t="s">
        <v>12</v>
      </c>
      <c r="D36" s="1"/>
      <c r="E36" s="1"/>
      <c r="F36" s="1"/>
      <c r="H36" s="1"/>
      <c r="I36" s="1"/>
      <c r="J36" s="1"/>
      <c r="K36" s="1"/>
      <c r="L36" s="1"/>
      <c r="M36" s="1"/>
      <c r="N36" s="1"/>
      <c r="O36" s="1"/>
      <c r="P36" s="1"/>
      <c r="Q36" s="1"/>
      <c r="R36" s="1"/>
      <c r="S36" s="1"/>
      <c r="T36" s="1"/>
      <c r="U36" s="1"/>
      <c r="V36" s="1"/>
      <c r="W36" s="1"/>
      <c r="X36" s="1"/>
    </row>
    <row r="37" ht="18.75" customHeight="1">
      <c r="A37" s="9" t="str">
        <f> HYPERLINK("https://docs.google.com/spreadsheets/d/1t4zs_z2c_x6txwRnuIqA7sGpnfmOIJv7t87q9N9EIHI/edit#gid=382748673", "data_biomethane")</f>
        <v>data_biomethane</v>
      </c>
      <c r="B37" s="16" t="s">
        <v>27</v>
      </c>
      <c r="C37" s="16" t="s">
        <v>12</v>
      </c>
      <c r="D37" s="1"/>
      <c r="E37" s="1"/>
      <c r="F37" s="1"/>
      <c r="H37" s="1"/>
      <c r="I37" s="1"/>
      <c r="J37" s="1"/>
      <c r="K37" s="1"/>
      <c r="L37" s="1"/>
      <c r="M37" s="1"/>
      <c r="N37" s="1"/>
      <c r="O37" s="1"/>
      <c r="P37" s="1"/>
      <c r="Q37" s="1"/>
      <c r="R37" s="1"/>
      <c r="S37" s="1"/>
      <c r="T37" s="1"/>
      <c r="U37" s="1"/>
      <c r="V37" s="1"/>
      <c r="W37" s="1"/>
      <c r="X37" s="1"/>
    </row>
    <row r="38" ht="18.75" customHeight="1">
      <c r="A38" s="9" t="str">
        <f> HYPERLINK("https://docs.google.com/spreadsheets/d/1t4zs_z2c_x6txwRnuIqA7sGpnfmOIJv7t87q9N9EIHI/edit#gid=1822066791", "data_e_methanol")</f>
        <v>data_e_methanol</v>
      </c>
      <c r="B38" s="16" t="s">
        <v>28</v>
      </c>
      <c r="C38" s="16" t="s">
        <v>12</v>
      </c>
      <c r="D38" s="1"/>
      <c r="E38" s="1"/>
      <c r="F38" s="1"/>
      <c r="H38" s="1"/>
      <c r="I38" s="1"/>
      <c r="J38" s="1"/>
      <c r="K38" s="1"/>
      <c r="L38" s="1"/>
      <c r="M38" s="1"/>
      <c r="N38" s="1"/>
      <c r="O38" s="1"/>
      <c r="P38" s="1"/>
      <c r="Q38" s="1"/>
      <c r="R38" s="1"/>
      <c r="S38" s="1"/>
      <c r="T38" s="1"/>
      <c r="U38" s="1"/>
      <c r="V38" s="1"/>
      <c r="W38" s="1"/>
      <c r="X38" s="1"/>
    </row>
    <row r="39" ht="18.75" customHeight="1">
      <c r="A39" s="9" t="str">
        <f> HYPERLINK("https://docs.google.com/spreadsheets/d/1t4zs_z2c_x6txwRnuIqA7sGpnfmOIJv7t87q9N9EIHI/edit#gid=1125636015", "data_e_kerosene")</f>
        <v>data_e_kerosene</v>
      </c>
      <c r="B39" s="16" t="s">
        <v>29</v>
      </c>
      <c r="C39" s="16" t="s">
        <v>12</v>
      </c>
      <c r="D39" s="1"/>
      <c r="J39" s="1"/>
      <c r="K39" s="1"/>
      <c r="L39" s="1"/>
      <c r="M39" s="1"/>
      <c r="N39" s="1"/>
      <c r="O39" s="1"/>
      <c r="P39" s="1"/>
      <c r="Q39" s="1"/>
      <c r="R39" s="1"/>
      <c r="S39" s="1"/>
      <c r="T39" s="1"/>
      <c r="U39" s="1"/>
      <c r="V39" s="1"/>
      <c r="W39" s="1"/>
      <c r="X39" s="1"/>
    </row>
    <row r="40" ht="18.75" customHeight="1">
      <c r="A40" s="18" t="str">
        <f> HYPERLINK("https://docs.google.com/spreadsheets/d/1t4zs_z2c_x6txwRnuIqA7sGpnfmOIJv7t87q9N9EIHI/edit#gid=180182353", "config")</f>
        <v>config</v>
      </c>
      <c r="B40" s="19" t="s">
        <v>30</v>
      </c>
      <c r="C40" s="19" t="s">
        <v>10</v>
      </c>
      <c r="D40" s="1"/>
      <c r="J40" s="1"/>
      <c r="K40" s="1"/>
      <c r="L40" s="1"/>
      <c r="M40" s="1"/>
      <c r="N40" s="1"/>
      <c r="O40" s="1"/>
      <c r="P40" s="1"/>
      <c r="Q40" s="1"/>
      <c r="R40" s="1"/>
      <c r="S40" s="1"/>
      <c r="T40" s="1"/>
      <c r="U40" s="1"/>
      <c r="V40" s="1"/>
      <c r="W40" s="1"/>
      <c r="X40" s="1"/>
    </row>
    <row r="41">
      <c r="B41" s="20"/>
      <c r="D41" s="1"/>
      <c r="J41" s="1"/>
      <c r="K41" s="1"/>
      <c r="L41" s="1"/>
      <c r="M41" s="1"/>
      <c r="N41" s="1"/>
      <c r="O41" s="1"/>
      <c r="P41" s="1"/>
      <c r="Q41" s="1"/>
      <c r="R41" s="1"/>
      <c r="S41" s="1"/>
      <c r="T41" s="1"/>
      <c r="U41" s="1"/>
      <c r="V41" s="1"/>
      <c r="W41" s="1"/>
      <c r="X41" s="1"/>
    </row>
    <row r="42">
      <c r="B42" s="20"/>
      <c r="D42" s="1"/>
      <c r="J42" s="1"/>
      <c r="K42" s="1"/>
      <c r="L42" s="1"/>
      <c r="M42" s="1"/>
      <c r="N42" s="1"/>
      <c r="O42" s="1"/>
      <c r="P42" s="1"/>
      <c r="Q42" s="1"/>
      <c r="R42" s="1"/>
      <c r="S42" s="1"/>
      <c r="T42" s="1"/>
      <c r="U42" s="1"/>
      <c r="V42" s="1"/>
      <c r="W42" s="1"/>
      <c r="X42" s="1"/>
    </row>
    <row r="43">
      <c r="A43" s="21" t="s">
        <v>31</v>
      </c>
      <c r="C43" s="1"/>
      <c r="D43" s="1"/>
      <c r="J43" s="1"/>
      <c r="K43" s="1"/>
      <c r="L43" s="1"/>
      <c r="M43" s="1"/>
      <c r="N43" s="1"/>
      <c r="O43" s="1"/>
      <c r="P43" s="1"/>
      <c r="Q43" s="1"/>
      <c r="R43" s="1"/>
      <c r="S43" s="1"/>
      <c r="T43" s="1"/>
      <c r="U43" s="1"/>
      <c r="V43" s="1"/>
      <c r="W43" s="1"/>
      <c r="X43" s="1"/>
    </row>
    <row r="44">
      <c r="A44" s="1"/>
      <c r="B44" s="1"/>
      <c r="C44" s="1"/>
      <c r="D44" s="1"/>
      <c r="J44" s="1"/>
      <c r="K44" s="1"/>
      <c r="L44" s="1"/>
      <c r="M44" s="1"/>
      <c r="N44" s="1"/>
      <c r="O44" s="1"/>
      <c r="P44" s="1"/>
      <c r="Q44" s="1"/>
      <c r="R44" s="1"/>
      <c r="S44" s="1"/>
      <c r="T44" s="1"/>
      <c r="U44" s="1"/>
      <c r="V44" s="1"/>
      <c r="W44" s="1"/>
      <c r="X44" s="1"/>
    </row>
    <row r="45">
      <c r="A45" s="6" t="s">
        <v>32</v>
      </c>
      <c r="C45" s="1"/>
      <c r="D45" s="1"/>
      <c r="J45" s="1"/>
      <c r="K45" s="1"/>
      <c r="L45" s="1"/>
      <c r="M45" s="1"/>
      <c r="N45" s="1"/>
      <c r="O45" s="1"/>
      <c r="P45" s="1"/>
      <c r="Q45" s="1"/>
      <c r="R45" s="1"/>
      <c r="S45" s="1"/>
      <c r="T45" s="1"/>
      <c r="U45" s="1"/>
      <c r="V45" s="1"/>
      <c r="W45" s="1"/>
      <c r="X45" s="1"/>
    </row>
    <row r="46">
      <c r="A46" s="1"/>
      <c r="B46" s="1"/>
      <c r="C46" s="1"/>
      <c r="D46" s="1"/>
      <c r="J46" s="1"/>
      <c r="K46" s="1"/>
      <c r="L46" s="1"/>
      <c r="M46" s="1"/>
      <c r="N46" s="1"/>
      <c r="O46" s="1"/>
      <c r="P46" s="1"/>
      <c r="Q46" s="1"/>
      <c r="R46" s="1"/>
      <c r="S46" s="1"/>
      <c r="T46" s="1"/>
      <c r="U46" s="1"/>
      <c r="V46" s="1"/>
      <c r="W46" s="1"/>
      <c r="X46" s="1"/>
    </row>
    <row r="47">
      <c r="A47" s="6" t="s">
        <v>33</v>
      </c>
      <c r="D47" s="1"/>
      <c r="J47" s="1"/>
      <c r="K47" s="1"/>
      <c r="L47" s="1"/>
      <c r="M47" s="1"/>
      <c r="N47" s="1"/>
      <c r="O47" s="1"/>
      <c r="P47" s="1"/>
      <c r="Q47" s="1"/>
      <c r="R47" s="1"/>
      <c r="S47" s="1"/>
      <c r="T47" s="1"/>
      <c r="U47" s="1"/>
      <c r="V47" s="1"/>
      <c r="W47" s="1"/>
      <c r="X47" s="1"/>
    </row>
    <row r="48">
      <c r="A48" s="6" t="s">
        <v>34</v>
      </c>
      <c r="C48" s="1"/>
      <c r="D48" s="1"/>
      <c r="J48" s="1"/>
      <c r="K48" s="1"/>
      <c r="L48" s="1"/>
      <c r="M48" s="1"/>
      <c r="N48" s="1"/>
      <c r="O48" s="1"/>
      <c r="P48" s="1"/>
      <c r="Q48" s="1"/>
      <c r="R48" s="1"/>
      <c r="S48" s="1"/>
      <c r="T48" s="1"/>
      <c r="U48" s="1"/>
      <c r="V48" s="1"/>
      <c r="W48" s="1"/>
      <c r="X48" s="1"/>
    </row>
    <row r="49">
      <c r="A49" s="1"/>
      <c r="B49" s="1"/>
      <c r="C49" s="1"/>
      <c r="D49" s="1"/>
      <c r="J49" s="1"/>
      <c r="K49" s="1"/>
      <c r="L49" s="1"/>
      <c r="M49" s="1"/>
      <c r="N49" s="1"/>
      <c r="O49" s="1"/>
      <c r="P49" s="1"/>
      <c r="Q49" s="1"/>
      <c r="R49" s="1"/>
      <c r="S49" s="1"/>
      <c r="T49" s="1"/>
      <c r="U49" s="1"/>
      <c r="V49" s="1"/>
      <c r="W49" s="1"/>
      <c r="X49" s="1"/>
    </row>
    <row r="50">
      <c r="A50" s="6" t="s">
        <v>35</v>
      </c>
      <c r="D50" s="1"/>
      <c r="J50" s="1"/>
      <c r="K50" s="1"/>
      <c r="L50" s="1"/>
      <c r="M50" s="1"/>
      <c r="N50" s="1"/>
      <c r="O50" s="1"/>
      <c r="P50" s="1"/>
      <c r="Q50" s="1"/>
      <c r="R50" s="1"/>
      <c r="S50" s="1"/>
      <c r="T50" s="1"/>
      <c r="U50" s="1"/>
      <c r="V50" s="1"/>
      <c r="W50" s="1"/>
      <c r="X50" s="1"/>
    </row>
    <row r="51">
      <c r="A51" s="1"/>
      <c r="B51" s="1"/>
      <c r="C51" s="1"/>
      <c r="D51" s="1"/>
      <c r="J51" s="1"/>
      <c r="K51" s="1"/>
      <c r="L51" s="1"/>
      <c r="M51" s="1"/>
      <c r="N51" s="1"/>
      <c r="O51" s="1"/>
      <c r="P51" s="1"/>
      <c r="Q51" s="1"/>
      <c r="R51" s="1"/>
      <c r="S51" s="1"/>
      <c r="T51" s="1"/>
      <c r="U51" s="1"/>
      <c r="V51" s="1"/>
      <c r="W51" s="1"/>
      <c r="X51" s="1"/>
    </row>
    <row r="52">
      <c r="A52" s="22" t="s">
        <v>36</v>
      </c>
      <c r="C52" s="1"/>
      <c r="D52" s="1"/>
      <c r="J52" s="1"/>
      <c r="K52" s="1"/>
      <c r="L52" s="1"/>
      <c r="M52" s="1"/>
      <c r="N52" s="1"/>
      <c r="O52" s="1"/>
      <c r="P52" s="1"/>
      <c r="Q52" s="1"/>
      <c r="R52" s="1"/>
      <c r="S52" s="1"/>
      <c r="T52" s="1"/>
      <c r="U52" s="1"/>
      <c r="V52" s="1"/>
      <c r="W52" s="1"/>
      <c r="X52" s="1"/>
    </row>
    <row r="53">
      <c r="A53" s="6"/>
      <c r="B53" s="1"/>
      <c r="C53" s="1"/>
      <c r="D53" s="1"/>
      <c r="J53" s="1"/>
      <c r="K53" s="1"/>
      <c r="L53" s="1"/>
      <c r="M53" s="1"/>
      <c r="N53" s="1"/>
      <c r="O53" s="1"/>
      <c r="P53" s="1"/>
      <c r="Q53" s="1"/>
      <c r="R53" s="1"/>
      <c r="S53" s="1"/>
      <c r="T53" s="1"/>
      <c r="U53" s="1"/>
      <c r="V53" s="1"/>
      <c r="W53" s="1"/>
      <c r="X53" s="1"/>
    </row>
    <row r="54">
      <c r="A54" s="23" t="s">
        <v>37</v>
      </c>
      <c r="B54" s="1"/>
      <c r="C54" s="1"/>
      <c r="D54" s="1"/>
      <c r="E54" s="1"/>
      <c r="F54" s="1"/>
      <c r="G54" s="1"/>
      <c r="H54" s="1"/>
      <c r="I54" s="1"/>
      <c r="J54" s="1"/>
      <c r="K54" s="1"/>
      <c r="L54" s="1"/>
      <c r="M54" s="1"/>
      <c r="N54" s="1"/>
      <c r="O54" s="1"/>
      <c r="P54" s="1"/>
      <c r="Q54" s="1"/>
      <c r="R54" s="1"/>
      <c r="S54" s="1"/>
      <c r="T54" s="1"/>
      <c r="U54" s="1"/>
      <c r="V54" s="1"/>
      <c r="W54" s="1"/>
      <c r="X54" s="1"/>
    </row>
    <row r="55">
      <c r="A55" s="6" t="s">
        <v>38</v>
      </c>
      <c r="B55" s="1"/>
      <c r="C55" s="1"/>
      <c r="D55" s="1"/>
      <c r="E55" s="1"/>
      <c r="F55" s="1"/>
      <c r="G55" s="1"/>
      <c r="H55" s="1"/>
      <c r="I55" s="1"/>
      <c r="J55" s="1"/>
      <c r="K55" s="1"/>
      <c r="L55" s="1"/>
      <c r="M55" s="1"/>
      <c r="N55" s="1"/>
      <c r="O55" s="1"/>
      <c r="P55" s="1"/>
      <c r="Q55" s="1"/>
      <c r="R55" s="1"/>
      <c r="S55" s="1"/>
      <c r="T55" s="1"/>
      <c r="U55" s="1"/>
      <c r="V55" s="1"/>
      <c r="W55" s="1"/>
      <c r="X55" s="1"/>
    </row>
    <row r="56">
      <c r="A56" s="23" t="s">
        <v>39</v>
      </c>
      <c r="B56" s="1"/>
      <c r="C56" s="1"/>
      <c r="D56" s="1"/>
      <c r="E56" s="1"/>
      <c r="F56" s="1"/>
      <c r="G56" s="1"/>
      <c r="H56" s="1"/>
      <c r="I56" s="1"/>
      <c r="J56" s="1"/>
      <c r="K56" s="1"/>
      <c r="L56" s="1"/>
      <c r="M56" s="1"/>
      <c r="N56" s="1"/>
      <c r="O56" s="1"/>
      <c r="P56" s="1"/>
      <c r="Q56" s="1"/>
      <c r="R56" s="1"/>
      <c r="S56" s="1"/>
      <c r="T56" s="1"/>
      <c r="U56" s="1"/>
      <c r="V56" s="1"/>
      <c r="W56" s="1"/>
      <c r="X56" s="1"/>
    </row>
    <row r="57">
      <c r="A57" s="1"/>
      <c r="B57" s="1"/>
      <c r="C57" s="1"/>
      <c r="D57" s="1"/>
      <c r="E57" s="1"/>
      <c r="F57" s="1"/>
      <c r="G57" s="1"/>
      <c r="H57" s="1"/>
      <c r="I57" s="1"/>
      <c r="J57" s="1"/>
      <c r="K57" s="1"/>
      <c r="L57" s="1"/>
      <c r="M57" s="1"/>
      <c r="N57" s="1"/>
      <c r="O57" s="1"/>
      <c r="P57" s="1"/>
      <c r="Q57" s="1"/>
      <c r="R57" s="1"/>
      <c r="S57" s="1"/>
      <c r="T57" s="1"/>
      <c r="U57" s="1"/>
      <c r="V57" s="1"/>
      <c r="W57" s="1"/>
      <c r="X57" s="1"/>
    </row>
    <row r="58">
      <c r="A58" s="1"/>
      <c r="B58" s="1"/>
      <c r="C58" s="1"/>
      <c r="D58" s="1"/>
      <c r="E58" s="1"/>
      <c r="F58" s="1"/>
      <c r="G58" s="1"/>
      <c r="H58" s="1"/>
      <c r="I58" s="1"/>
      <c r="J58" s="1"/>
      <c r="K58" s="1"/>
      <c r="L58" s="1"/>
      <c r="M58" s="1"/>
      <c r="N58" s="1"/>
      <c r="O58" s="1"/>
      <c r="P58" s="1"/>
      <c r="Q58" s="1"/>
      <c r="R58" s="1"/>
      <c r="S58" s="1"/>
      <c r="T58" s="1"/>
      <c r="U58" s="1"/>
      <c r="V58" s="1"/>
      <c r="W58" s="1"/>
      <c r="X58" s="1"/>
    </row>
    <row r="59">
      <c r="A59" s="1"/>
      <c r="B59" s="1"/>
      <c r="C59" s="1"/>
      <c r="D59" s="1"/>
      <c r="E59" s="1"/>
      <c r="F59" s="1"/>
      <c r="G59" s="1"/>
      <c r="H59" s="1"/>
      <c r="I59" s="1"/>
      <c r="J59" s="1"/>
      <c r="K59" s="1"/>
      <c r="L59" s="1"/>
      <c r="M59" s="1"/>
      <c r="N59" s="1"/>
      <c r="O59" s="1"/>
      <c r="P59" s="1"/>
      <c r="Q59" s="1"/>
      <c r="R59" s="1"/>
      <c r="S59" s="1"/>
      <c r="T59" s="1"/>
      <c r="U59" s="1"/>
      <c r="V59" s="1"/>
      <c r="W59" s="1"/>
      <c r="X59" s="1"/>
    </row>
    <row r="60">
      <c r="A60" s="1"/>
      <c r="B60" s="1"/>
      <c r="C60" s="1"/>
      <c r="D60" s="1"/>
      <c r="E60" s="1"/>
      <c r="F60" s="1"/>
      <c r="G60" s="1"/>
      <c r="H60" s="1"/>
      <c r="I60" s="1"/>
      <c r="J60" s="1"/>
      <c r="K60" s="1"/>
      <c r="L60" s="1"/>
      <c r="M60" s="1"/>
      <c r="N60" s="1"/>
      <c r="O60" s="1"/>
      <c r="P60" s="1"/>
      <c r="Q60" s="1"/>
      <c r="R60" s="1"/>
      <c r="S60" s="1"/>
      <c r="T60" s="1"/>
      <c r="U60" s="1"/>
      <c r="V60" s="1"/>
      <c r="W60" s="1"/>
      <c r="X60" s="1"/>
    </row>
    <row r="61">
      <c r="A61" s="1"/>
      <c r="B61" s="1"/>
      <c r="C61" s="1"/>
      <c r="D61" s="1"/>
      <c r="E61" s="1"/>
      <c r="F61" s="1"/>
      <c r="G61" s="1"/>
      <c r="H61" s="1"/>
      <c r="I61" s="1"/>
      <c r="J61" s="1"/>
      <c r="K61" s="1"/>
      <c r="L61" s="1"/>
      <c r="M61" s="1"/>
      <c r="N61" s="1"/>
      <c r="O61" s="1"/>
      <c r="P61" s="1"/>
      <c r="Q61" s="1"/>
      <c r="R61" s="1"/>
      <c r="S61" s="1"/>
      <c r="T61" s="1"/>
      <c r="U61" s="1"/>
      <c r="V61" s="1"/>
      <c r="W61" s="1"/>
      <c r="X61" s="1"/>
    </row>
    <row r="62">
      <c r="A62" s="1"/>
      <c r="B62" s="1"/>
      <c r="C62" s="1"/>
      <c r="D62" s="1"/>
      <c r="E62" s="1"/>
      <c r="F62" s="1"/>
      <c r="G62" s="1"/>
      <c r="H62" s="1"/>
      <c r="I62" s="1"/>
      <c r="J62" s="1"/>
      <c r="K62" s="1"/>
      <c r="L62" s="1"/>
      <c r="M62" s="1"/>
      <c r="N62" s="1"/>
      <c r="O62" s="1"/>
      <c r="P62" s="1"/>
      <c r="Q62" s="1"/>
      <c r="R62" s="1"/>
      <c r="S62" s="1"/>
      <c r="T62" s="1"/>
      <c r="U62" s="1"/>
      <c r="V62" s="1"/>
      <c r="W62" s="1"/>
      <c r="X62" s="1"/>
    </row>
    <row r="63">
      <c r="A63" s="1"/>
      <c r="B63" s="1"/>
      <c r="C63" s="1"/>
      <c r="D63" s="1"/>
      <c r="E63" s="1"/>
      <c r="F63" s="1"/>
      <c r="G63" s="1"/>
      <c r="H63" s="1"/>
      <c r="I63" s="1"/>
      <c r="J63" s="1"/>
      <c r="K63" s="1"/>
      <c r="L63" s="1"/>
      <c r="M63" s="1"/>
      <c r="N63" s="1"/>
      <c r="O63" s="1"/>
      <c r="P63" s="1"/>
      <c r="Q63" s="1"/>
      <c r="R63" s="1"/>
      <c r="S63" s="1"/>
      <c r="T63" s="1"/>
      <c r="U63" s="1"/>
      <c r="V63" s="1"/>
      <c r="W63" s="1"/>
      <c r="X63" s="1"/>
    </row>
    <row r="64">
      <c r="A64" s="1"/>
      <c r="B64" s="1"/>
      <c r="C64" s="1"/>
      <c r="D64" s="1"/>
      <c r="E64" s="1"/>
      <c r="F64" s="1"/>
      <c r="G64" s="1"/>
      <c r="H64" s="1"/>
      <c r="I64" s="1"/>
      <c r="J64" s="1"/>
      <c r="K64" s="1"/>
      <c r="L64" s="1"/>
      <c r="M64" s="1"/>
      <c r="N64" s="1"/>
      <c r="O64" s="1"/>
      <c r="P64" s="1"/>
      <c r="Q64" s="1"/>
      <c r="R64" s="1"/>
      <c r="S64" s="1"/>
      <c r="T64" s="1"/>
      <c r="U64" s="1"/>
      <c r="V64" s="1"/>
      <c r="W64" s="1"/>
      <c r="X64" s="1"/>
    </row>
    <row r="65">
      <c r="A65" s="1"/>
      <c r="B65" s="1"/>
      <c r="C65" s="1"/>
      <c r="D65" s="1"/>
      <c r="E65" s="1"/>
      <c r="F65" s="1"/>
      <c r="G65" s="1"/>
      <c r="H65" s="1"/>
      <c r="I65" s="1"/>
      <c r="J65" s="1"/>
      <c r="K65" s="1"/>
      <c r="L65" s="1"/>
      <c r="M65" s="1"/>
      <c r="N65" s="1"/>
      <c r="O65" s="1"/>
      <c r="P65" s="1"/>
      <c r="Q65" s="1"/>
      <c r="R65" s="1"/>
      <c r="S65" s="1"/>
      <c r="T65" s="1"/>
      <c r="U65" s="1"/>
      <c r="V65" s="1"/>
      <c r="W65" s="1"/>
      <c r="X65" s="1"/>
    </row>
    <row r="66">
      <c r="A66" s="1"/>
      <c r="B66" s="1"/>
      <c r="C66" s="1"/>
      <c r="D66" s="1"/>
      <c r="E66" s="1"/>
      <c r="F66" s="1"/>
      <c r="G66" s="1"/>
      <c r="H66" s="1"/>
      <c r="I66" s="1"/>
      <c r="J66" s="1"/>
      <c r="K66" s="1"/>
      <c r="L66" s="1"/>
      <c r="M66" s="1"/>
      <c r="N66" s="1"/>
      <c r="O66" s="1"/>
      <c r="P66" s="1"/>
      <c r="Q66" s="1"/>
      <c r="R66" s="1"/>
      <c r="S66" s="1"/>
      <c r="T66" s="1"/>
      <c r="U66" s="1"/>
      <c r="V66" s="1"/>
      <c r="W66" s="1"/>
      <c r="X66" s="1"/>
    </row>
    <row r="67">
      <c r="A67" s="1"/>
      <c r="B67" s="1"/>
      <c r="C67" s="1"/>
      <c r="D67" s="1"/>
      <c r="E67" s="1"/>
      <c r="F67" s="1"/>
      <c r="G67" s="1"/>
      <c r="H67" s="1"/>
      <c r="I67" s="1"/>
      <c r="J67" s="1"/>
      <c r="K67" s="1"/>
      <c r="L67" s="1"/>
      <c r="M67" s="1"/>
      <c r="N67" s="1"/>
      <c r="O67" s="1"/>
      <c r="P67" s="1"/>
      <c r="Q67" s="1"/>
      <c r="R67" s="1"/>
      <c r="S67" s="1"/>
      <c r="T67" s="1"/>
      <c r="U67" s="1"/>
      <c r="V67" s="1"/>
      <c r="W67" s="1"/>
      <c r="X67" s="1"/>
    </row>
    <row r="68">
      <c r="A68" s="1"/>
      <c r="B68" s="1"/>
      <c r="C68" s="1"/>
      <c r="D68" s="1"/>
      <c r="E68" s="1"/>
      <c r="F68" s="1"/>
      <c r="G68" s="1"/>
      <c r="H68" s="1"/>
      <c r="I68" s="1"/>
      <c r="J68" s="1"/>
      <c r="K68" s="1"/>
      <c r="L68" s="1"/>
      <c r="M68" s="1"/>
      <c r="N68" s="1"/>
      <c r="O68" s="1"/>
      <c r="P68" s="1"/>
      <c r="Q68" s="1"/>
      <c r="R68" s="1"/>
      <c r="S68" s="1"/>
      <c r="T68" s="1"/>
      <c r="U68" s="1"/>
      <c r="V68" s="1"/>
      <c r="W68" s="1"/>
      <c r="X68" s="1"/>
    </row>
    <row r="69">
      <c r="A69" s="1"/>
      <c r="B69" s="1"/>
      <c r="C69" s="1"/>
      <c r="D69" s="1"/>
      <c r="E69" s="1"/>
      <c r="F69" s="1"/>
      <c r="G69" s="1"/>
      <c r="H69" s="1"/>
      <c r="I69" s="1"/>
      <c r="J69" s="1"/>
      <c r="K69" s="1"/>
      <c r="L69" s="1"/>
      <c r="M69" s="1"/>
      <c r="N69" s="1"/>
      <c r="O69" s="1"/>
      <c r="P69" s="1"/>
      <c r="Q69" s="1"/>
      <c r="R69" s="1"/>
      <c r="S69" s="1"/>
      <c r="T69" s="1"/>
      <c r="U69" s="1"/>
      <c r="V69" s="1"/>
      <c r="W69" s="1"/>
      <c r="X69" s="1"/>
    </row>
    <row r="70">
      <c r="A70" s="1"/>
      <c r="B70" s="1"/>
      <c r="C70" s="1"/>
      <c r="D70" s="1"/>
      <c r="E70" s="1"/>
      <c r="F70" s="1"/>
      <c r="G70" s="1"/>
      <c r="H70" s="1"/>
      <c r="I70" s="1"/>
      <c r="J70" s="1"/>
      <c r="K70" s="1"/>
      <c r="L70" s="1"/>
      <c r="M70" s="1"/>
      <c r="N70" s="1"/>
      <c r="O70" s="1"/>
      <c r="P70" s="1"/>
      <c r="Q70" s="1"/>
      <c r="R70" s="1"/>
      <c r="S70" s="1"/>
      <c r="T70" s="1"/>
      <c r="U70" s="1"/>
      <c r="V70" s="1"/>
      <c r="W70" s="1"/>
      <c r="X70" s="1"/>
    </row>
    <row r="71">
      <c r="A71" s="1"/>
      <c r="B71" s="1"/>
      <c r="C71" s="1"/>
      <c r="D71" s="1"/>
      <c r="E71" s="1"/>
      <c r="F71" s="1"/>
      <c r="G71" s="1"/>
      <c r="H71" s="1"/>
      <c r="I71" s="1"/>
      <c r="J71" s="1"/>
      <c r="K71" s="1"/>
      <c r="L71" s="1"/>
      <c r="M71" s="1"/>
      <c r="N71" s="1"/>
      <c r="O71" s="1"/>
      <c r="P71" s="1"/>
      <c r="Q71" s="1"/>
      <c r="R71" s="1"/>
      <c r="S71" s="1"/>
      <c r="T71" s="1"/>
      <c r="U71" s="1"/>
      <c r="V71" s="1"/>
      <c r="W71" s="1"/>
      <c r="X71" s="1"/>
    </row>
    <row r="72">
      <c r="A72" s="1"/>
      <c r="B72" s="1"/>
      <c r="C72" s="1"/>
      <c r="D72" s="1"/>
      <c r="E72" s="1"/>
      <c r="F72" s="1"/>
      <c r="G72" s="1"/>
      <c r="H72" s="1"/>
      <c r="I72" s="1"/>
      <c r="J72" s="1"/>
      <c r="K72" s="1"/>
      <c r="L72" s="1"/>
      <c r="M72" s="1"/>
      <c r="N72" s="1"/>
      <c r="O72" s="1"/>
      <c r="P72" s="1"/>
      <c r="Q72" s="1"/>
      <c r="R72" s="1"/>
      <c r="S72" s="1"/>
      <c r="T72" s="1"/>
      <c r="U72" s="1"/>
      <c r="V72" s="1"/>
      <c r="W72" s="1"/>
      <c r="X72" s="1"/>
    </row>
    <row r="73">
      <c r="A73" s="1"/>
      <c r="B73" s="1"/>
      <c r="C73" s="1"/>
      <c r="D73" s="1"/>
      <c r="E73" s="1"/>
      <c r="F73" s="1"/>
      <c r="G73" s="1"/>
      <c r="H73" s="1"/>
      <c r="I73" s="1"/>
      <c r="J73" s="1"/>
      <c r="K73" s="1"/>
      <c r="L73" s="1"/>
      <c r="M73" s="1"/>
      <c r="N73" s="1"/>
      <c r="O73" s="1"/>
      <c r="P73" s="1"/>
      <c r="Q73" s="1"/>
      <c r="R73" s="1"/>
      <c r="S73" s="1"/>
      <c r="T73" s="1"/>
      <c r="U73" s="1"/>
      <c r="V73" s="1"/>
      <c r="W73" s="1"/>
      <c r="X73" s="1"/>
    </row>
    <row r="74">
      <c r="A74" s="1"/>
      <c r="B74" s="1"/>
      <c r="C74" s="1"/>
      <c r="D74" s="1"/>
      <c r="E74" s="1"/>
      <c r="F74" s="1"/>
      <c r="G74" s="1"/>
      <c r="H74" s="1"/>
      <c r="I74" s="1"/>
      <c r="J74" s="1"/>
      <c r="K74" s="1"/>
      <c r="L74" s="1"/>
      <c r="M74" s="1"/>
      <c r="N74" s="1"/>
      <c r="O74" s="1"/>
      <c r="P74" s="1"/>
      <c r="Q74" s="1"/>
      <c r="R74" s="1"/>
      <c r="S74" s="1"/>
      <c r="T74" s="1"/>
      <c r="U74" s="1"/>
      <c r="V74" s="1"/>
      <c r="W74" s="1"/>
      <c r="X74" s="1"/>
    </row>
    <row r="75">
      <c r="A75" s="1"/>
      <c r="B75" s="1"/>
      <c r="C75" s="1"/>
      <c r="D75" s="1"/>
      <c r="E75" s="1"/>
      <c r="F75" s="1"/>
      <c r="G75" s="1"/>
      <c r="H75" s="1"/>
      <c r="I75" s="1"/>
      <c r="J75" s="1"/>
      <c r="K75" s="1"/>
      <c r="L75" s="1"/>
      <c r="M75" s="1"/>
      <c r="N75" s="1"/>
      <c r="O75" s="1"/>
      <c r="P75" s="1"/>
      <c r="Q75" s="1"/>
      <c r="R75" s="1"/>
      <c r="S75" s="1"/>
      <c r="T75" s="1"/>
      <c r="U75" s="1"/>
      <c r="V75" s="1"/>
      <c r="W75" s="1"/>
      <c r="X75" s="1"/>
    </row>
    <row r="76">
      <c r="A76" s="1"/>
      <c r="B76" s="1"/>
      <c r="C76" s="1"/>
      <c r="D76" s="1"/>
      <c r="E76" s="1"/>
      <c r="F76" s="1"/>
      <c r="G76" s="1"/>
      <c r="H76" s="1"/>
      <c r="I76" s="1"/>
      <c r="J76" s="1"/>
      <c r="K76" s="1"/>
      <c r="L76" s="1"/>
      <c r="M76" s="1"/>
      <c r="N76" s="1"/>
      <c r="O76" s="1"/>
      <c r="P76" s="1"/>
      <c r="Q76" s="1"/>
      <c r="R76" s="1"/>
      <c r="S76" s="1"/>
      <c r="T76" s="1"/>
      <c r="U76" s="1"/>
      <c r="V76" s="1"/>
      <c r="W76" s="1"/>
      <c r="X76" s="1"/>
    </row>
    <row r="77">
      <c r="A77" s="1"/>
      <c r="B77" s="1"/>
      <c r="C77" s="1"/>
      <c r="D77" s="1"/>
      <c r="E77" s="1"/>
      <c r="F77" s="1"/>
      <c r="G77" s="1"/>
      <c r="H77" s="1"/>
      <c r="I77" s="1"/>
      <c r="J77" s="1"/>
      <c r="K77" s="1"/>
      <c r="L77" s="1"/>
      <c r="M77" s="1"/>
      <c r="N77" s="1"/>
      <c r="O77" s="1"/>
      <c r="P77" s="1"/>
      <c r="Q77" s="1"/>
      <c r="R77" s="1"/>
      <c r="S77" s="1"/>
      <c r="T77" s="1"/>
      <c r="U77" s="1"/>
      <c r="V77" s="1"/>
      <c r="W77" s="1"/>
      <c r="X77" s="1"/>
    </row>
    <row r="78">
      <c r="A78" s="1"/>
      <c r="B78" s="1"/>
      <c r="C78" s="1"/>
      <c r="D78" s="1"/>
      <c r="E78" s="1"/>
      <c r="F78" s="1"/>
      <c r="G78" s="1"/>
      <c r="H78" s="1"/>
      <c r="I78" s="1"/>
      <c r="J78" s="1"/>
      <c r="K78" s="1"/>
      <c r="L78" s="1"/>
      <c r="M78" s="1"/>
      <c r="N78" s="1"/>
      <c r="O78" s="1"/>
      <c r="P78" s="1"/>
      <c r="Q78" s="1"/>
      <c r="R78" s="1"/>
      <c r="S78" s="1"/>
      <c r="T78" s="1"/>
      <c r="U78" s="1"/>
      <c r="V78" s="1"/>
      <c r="W78" s="1"/>
      <c r="X78" s="1"/>
    </row>
    <row r="79">
      <c r="A79" s="1"/>
      <c r="B79" s="1"/>
      <c r="C79" s="1"/>
      <c r="D79" s="1"/>
      <c r="E79" s="1"/>
      <c r="F79" s="1"/>
      <c r="G79" s="1"/>
      <c r="H79" s="1"/>
      <c r="I79" s="1"/>
      <c r="J79" s="1"/>
      <c r="K79" s="1"/>
      <c r="L79" s="1"/>
      <c r="M79" s="1"/>
      <c r="N79" s="1"/>
      <c r="O79" s="1"/>
      <c r="P79" s="1"/>
      <c r="Q79" s="1"/>
      <c r="R79" s="1"/>
      <c r="S79" s="1"/>
      <c r="T79" s="1"/>
      <c r="U79" s="1"/>
      <c r="V79" s="1"/>
      <c r="W79" s="1"/>
      <c r="X79" s="1"/>
    </row>
    <row r="80">
      <c r="A80" s="1"/>
      <c r="B80" s="1"/>
      <c r="C80" s="1"/>
      <c r="D80" s="1"/>
      <c r="E80" s="1"/>
      <c r="F80" s="1"/>
      <c r="G80" s="1"/>
      <c r="H80" s="1"/>
      <c r="I80" s="1"/>
      <c r="J80" s="1"/>
      <c r="K80" s="1"/>
      <c r="L80" s="1"/>
      <c r="M80" s="1"/>
      <c r="N80" s="1"/>
      <c r="O80" s="1"/>
      <c r="P80" s="1"/>
      <c r="Q80" s="1"/>
      <c r="R80" s="1"/>
      <c r="S80" s="1"/>
      <c r="T80" s="1"/>
      <c r="U80" s="1"/>
      <c r="V80" s="1"/>
      <c r="W80" s="1"/>
      <c r="X80" s="1"/>
    </row>
    <row r="81">
      <c r="A81" s="1"/>
      <c r="B81" s="1"/>
      <c r="C81" s="1"/>
      <c r="D81" s="1"/>
      <c r="E81" s="1"/>
      <c r="F81" s="1"/>
      <c r="G81" s="1"/>
      <c r="H81" s="1"/>
      <c r="I81" s="1"/>
      <c r="J81" s="1"/>
      <c r="K81" s="1"/>
      <c r="L81" s="1"/>
      <c r="M81" s="1"/>
      <c r="N81" s="1"/>
      <c r="O81" s="1"/>
      <c r="P81" s="1"/>
      <c r="Q81" s="1"/>
      <c r="R81" s="1"/>
      <c r="S81" s="1"/>
      <c r="T81" s="1"/>
      <c r="U81" s="1"/>
      <c r="V81" s="1"/>
      <c r="W81" s="1"/>
      <c r="X81" s="1"/>
    </row>
    <row r="82">
      <c r="A82" s="1"/>
      <c r="B82" s="1"/>
      <c r="C82" s="1"/>
      <c r="D82" s="1"/>
      <c r="E82" s="1"/>
      <c r="F82" s="1"/>
      <c r="G82" s="1"/>
      <c r="H82" s="1"/>
      <c r="I82" s="1"/>
      <c r="J82" s="1"/>
      <c r="K82" s="1"/>
      <c r="L82" s="1"/>
      <c r="M82" s="1"/>
      <c r="N82" s="1"/>
      <c r="O82" s="1"/>
      <c r="P82" s="1"/>
      <c r="Q82" s="1"/>
      <c r="R82" s="1"/>
      <c r="S82" s="1"/>
      <c r="T82" s="1"/>
      <c r="U82" s="1"/>
      <c r="V82" s="1"/>
      <c r="W82" s="1"/>
      <c r="X82" s="1"/>
    </row>
    <row r="83">
      <c r="A83" s="1"/>
      <c r="B83" s="1"/>
      <c r="C83" s="1"/>
      <c r="D83" s="1"/>
      <c r="E83" s="1"/>
      <c r="F83" s="1"/>
      <c r="G83" s="1"/>
      <c r="H83" s="1"/>
      <c r="I83" s="1"/>
      <c r="J83" s="1"/>
      <c r="K83" s="1"/>
      <c r="L83" s="1"/>
      <c r="M83" s="1"/>
      <c r="N83" s="1"/>
      <c r="O83" s="1"/>
      <c r="P83" s="1"/>
      <c r="Q83" s="1"/>
      <c r="R83" s="1"/>
      <c r="S83" s="1"/>
      <c r="T83" s="1"/>
      <c r="U83" s="1"/>
      <c r="V83" s="1"/>
      <c r="W83" s="1"/>
      <c r="X83" s="1"/>
    </row>
    <row r="84">
      <c r="A84" s="1"/>
      <c r="B84" s="1"/>
      <c r="C84" s="1"/>
      <c r="D84" s="1"/>
      <c r="E84" s="1"/>
      <c r="F84" s="1"/>
      <c r="G84" s="1"/>
      <c r="H84" s="1"/>
      <c r="I84" s="1"/>
      <c r="J84" s="1"/>
      <c r="K84" s="1"/>
      <c r="L84" s="1"/>
      <c r="M84" s="1"/>
      <c r="N84" s="1"/>
      <c r="O84" s="1"/>
      <c r="P84" s="1"/>
      <c r="Q84" s="1"/>
      <c r="R84" s="1"/>
      <c r="S84" s="1"/>
      <c r="T84" s="1"/>
      <c r="U84" s="1"/>
      <c r="V84" s="1"/>
      <c r="W84" s="1"/>
      <c r="X84" s="1"/>
    </row>
    <row r="85">
      <c r="A85" s="1"/>
      <c r="B85" s="1"/>
      <c r="C85" s="1"/>
      <c r="D85" s="1"/>
      <c r="E85" s="1"/>
      <c r="F85" s="1"/>
      <c r="G85" s="1"/>
      <c r="H85" s="1"/>
      <c r="I85" s="1"/>
      <c r="J85" s="1"/>
      <c r="K85" s="1"/>
      <c r="L85" s="1"/>
      <c r="M85" s="1"/>
      <c r="N85" s="1"/>
      <c r="O85" s="1"/>
      <c r="P85" s="1"/>
      <c r="Q85" s="1"/>
      <c r="R85" s="1"/>
      <c r="S85" s="1"/>
      <c r="T85" s="1"/>
      <c r="U85" s="1"/>
      <c r="V85" s="1"/>
      <c r="W85" s="1"/>
      <c r="X85" s="1"/>
    </row>
    <row r="86">
      <c r="A86" s="1"/>
      <c r="B86" s="1"/>
      <c r="C86" s="1"/>
      <c r="D86" s="1"/>
      <c r="E86" s="1"/>
      <c r="F86" s="1"/>
      <c r="G86" s="1"/>
      <c r="H86" s="1"/>
      <c r="I86" s="1"/>
      <c r="J86" s="1"/>
      <c r="K86" s="1"/>
      <c r="L86" s="1"/>
      <c r="M86" s="1"/>
      <c r="N86" s="1"/>
      <c r="O86" s="1"/>
      <c r="P86" s="1"/>
      <c r="Q86" s="1"/>
      <c r="R86" s="1"/>
      <c r="S86" s="1"/>
      <c r="T86" s="1"/>
      <c r="U86" s="1"/>
      <c r="V86" s="1"/>
      <c r="W86" s="1"/>
      <c r="X86" s="1"/>
    </row>
    <row r="87">
      <c r="A87" s="1"/>
      <c r="B87" s="1"/>
      <c r="C87" s="1"/>
      <c r="D87" s="1"/>
      <c r="E87" s="1"/>
      <c r="F87" s="1"/>
      <c r="G87" s="1"/>
      <c r="H87" s="1"/>
      <c r="I87" s="1"/>
      <c r="J87" s="1"/>
      <c r="K87" s="1"/>
      <c r="L87" s="1"/>
      <c r="M87" s="1"/>
      <c r="N87" s="1"/>
      <c r="O87" s="1"/>
      <c r="P87" s="1"/>
      <c r="Q87" s="1"/>
      <c r="R87" s="1"/>
      <c r="S87" s="1"/>
      <c r="T87" s="1"/>
      <c r="U87" s="1"/>
      <c r="V87" s="1"/>
      <c r="W87" s="1"/>
      <c r="X87" s="1"/>
    </row>
    <row r="88">
      <c r="A88" s="1"/>
      <c r="B88" s="1"/>
      <c r="C88" s="1"/>
      <c r="D88" s="1"/>
      <c r="E88" s="1"/>
      <c r="F88" s="1"/>
      <c r="G88" s="1"/>
      <c r="H88" s="1"/>
      <c r="I88" s="1"/>
      <c r="J88" s="1"/>
      <c r="K88" s="1"/>
      <c r="L88" s="1"/>
      <c r="M88" s="1"/>
      <c r="N88" s="1"/>
      <c r="O88" s="1"/>
      <c r="P88" s="1"/>
      <c r="Q88" s="1"/>
      <c r="R88" s="1"/>
      <c r="S88" s="1"/>
      <c r="T88" s="1"/>
      <c r="U88" s="1"/>
      <c r="V88" s="1"/>
      <c r="W88" s="1"/>
      <c r="X88" s="1"/>
    </row>
    <row r="89">
      <c r="A89" s="1"/>
      <c r="B89" s="1"/>
      <c r="C89" s="1"/>
      <c r="D89" s="1"/>
      <c r="E89" s="1"/>
      <c r="F89" s="1"/>
      <c r="G89" s="1"/>
      <c r="H89" s="1"/>
      <c r="I89" s="1"/>
      <c r="J89" s="1"/>
      <c r="K89" s="1"/>
      <c r="L89" s="1"/>
      <c r="M89" s="1"/>
      <c r="N89" s="1"/>
      <c r="O89" s="1"/>
      <c r="P89" s="1"/>
      <c r="Q89" s="1"/>
      <c r="R89" s="1"/>
      <c r="S89" s="1"/>
      <c r="T89" s="1"/>
      <c r="U89" s="1"/>
      <c r="V89" s="1"/>
      <c r="W89" s="1"/>
      <c r="X89" s="1"/>
    </row>
    <row r="90">
      <c r="A90" s="1"/>
      <c r="B90" s="1"/>
      <c r="C90" s="1"/>
      <c r="D90" s="1"/>
      <c r="E90" s="1"/>
      <c r="F90" s="1"/>
      <c r="G90" s="1"/>
      <c r="H90" s="1"/>
      <c r="I90" s="1"/>
      <c r="J90" s="1"/>
      <c r="K90" s="1"/>
      <c r="L90" s="1"/>
      <c r="M90" s="1"/>
      <c r="N90" s="1"/>
      <c r="O90" s="1"/>
      <c r="P90" s="1"/>
      <c r="Q90" s="1"/>
      <c r="R90" s="1"/>
      <c r="S90" s="1"/>
      <c r="T90" s="1"/>
      <c r="U90" s="1"/>
      <c r="V90" s="1"/>
      <c r="W90" s="1"/>
      <c r="X90" s="1"/>
    </row>
    <row r="91">
      <c r="A91" s="1"/>
      <c r="B91" s="1"/>
      <c r="C91" s="1"/>
      <c r="D91" s="1"/>
      <c r="E91" s="1"/>
      <c r="F91" s="1"/>
      <c r="G91" s="1"/>
      <c r="H91" s="1"/>
      <c r="I91" s="1"/>
      <c r="J91" s="1"/>
      <c r="K91" s="1"/>
      <c r="L91" s="1"/>
      <c r="M91" s="1"/>
      <c r="N91" s="1"/>
      <c r="O91" s="1"/>
      <c r="P91" s="1"/>
      <c r="Q91" s="1"/>
      <c r="R91" s="1"/>
      <c r="S91" s="1"/>
      <c r="T91" s="1"/>
      <c r="U91" s="1"/>
      <c r="V91" s="1"/>
      <c r="W91" s="1"/>
      <c r="X91" s="1"/>
    </row>
    <row r="92">
      <c r="A92" s="1"/>
      <c r="B92" s="1"/>
      <c r="C92" s="1"/>
      <c r="D92" s="1"/>
      <c r="E92" s="1"/>
      <c r="F92" s="1"/>
      <c r="G92" s="1"/>
      <c r="H92" s="1"/>
      <c r="I92" s="1"/>
      <c r="J92" s="1"/>
      <c r="K92" s="1"/>
      <c r="L92" s="1"/>
      <c r="M92" s="1"/>
      <c r="N92" s="1"/>
      <c r="O92" s="1"/>
      <c r="P92" s="1"/>
      <c r="Q92" s="1"/>
      <c r="R92" s="1"/>
      <c r="S92" s="1"/>
      <c r="T92" s="1"/>
      <c r="U92" s="1"/>
      <c r="V92" s="1"/>
      <c r="W92" s="1"/>
      <c r="X92" s="1"/>
    </row>
    <row r="93">
      <c r="A93" s="1"/>
      <c r="B93" s="1"/>
      <c r="C93" s="1"/>
      <c r="D93" s="1"/>
      <c r="E93" s="1"/>
      <c r="F93" s="1"/>
      <c r="G93" s="1"/>
      <c r="H93" s="1"/>
      <c r="I93" s="1"/>
      <c r="J93" s="1"/>
      <c r="K93" s="1"/>
      <c r="L93" s="1"/>
      <c r="M93" s="1"/>
      <c r="N93" s="1"/>
      <c r="O93" s="1"/>
      <c r="P93" s="1"/>
      <c r="Q93" s="1"/>
      <c r="R93" s="1"/>
      <c r="S93" s="1"/>
      <c r="T93" s="1"/>
      <c r="U93" s="1"/>
      <c r="V93" s="1"/>
      <c r="W93" s="1"/>
      <c r="X93" s="1"/>
    </row>
    <row r="94">
      <c r="A94" s="1"/>
      <c r="B94" s="1"/>
      <c r="C94" s="1"/>
      <c r="D94" s="1"/>
      <c r="E94" s="1"/>
      <c r="F94" s="1"/>
      <c r="G94" s="1"/>
      <c r="H94" s="1"/>
      <c r="I94" s="1"/>
      <c r="J94" s="1"/>
      <c r="K94" s="1"/>
      <c r="L94" s="1"/>
      <c r="M94" s="1"/>
      <c r="N94" s="1"/>
      <c r="O94" s="1"/>
      <c r="P94" s="1"/>
      <c r="Q94" s="1"/>
      <c r="R94" s="1"/>
      <c r="S94" s="1"/>
      <c r="T94" s="1"/>
      <c r="U94" s="1"/>
      <c r="V94" s="1"/>
      <c r="W94" s="1"/>
      <c r="X94" s="1"/>
    </row>
    <row r="95">
      <c r="A95" s="1"/>
      <c r="B95" s="1"/>
      <c r="C95" s="1"/>
      <c r="D95" s="1"/>
      <c r="E95" s="1"/>
      <c r="F95" s="1"/>
      <c r="G95" s="1"/>
      <c r="H95" s="1"/>
      <c r="I95" s="1"/>
      <c r="J95" s="1"/>
      <c r="K95" s="1"/>
      <c r="L95" s="1"/>
      <c r="M95" s="1"/>
      <c r="N95" s="1"/>
      <c r="O95" s="1"/>
      <c r="P95" s="1"/>
      <c r="Q95" s="1"/>
      <c r="R95" s="1"/>
      <c r="S95" s="1"/>
      <c r="T95" s="1"/>
      <c r="U95" s="1"/>
      <c r="V95" s="1"/>
      <c r="W95" s="1"/>
      <c r="X95" s="1"/>
    </row>
    <row r="96">
      <c r="A96" s="1"/>
      <c r="B96" s="1"/>
      <c r="C96" s="1"/>
      <c r="D96" s="1"/>
      <c r="E96" s="1"/>
      <c r="F96" s="1"/>
      <c r="G96" s="1"/>
      <c r="H96" s="1"/>
      <c r="I96" s="1"/>
      <c r="J96" s="1"/>
      <c r="K96" s="1"/>
      <c r="L96" s="1"/>
      <c r="M96" s="1"/>
      <c r="N96" s="1"/>
      <c r="O96" s="1"/>
      <c r="P96" s="1"/>
      <c r="Q96" s="1"/>
      <c r="R96" s="1"/>
      <c r="S96" s="1"/>
      <c r="T96" s="1"/>
      <c r="U96" s="1"/>
      <c r="V96" s="1"/>
      <c r="W96" s="1"/>
      <c r="X96" s="1"/>
    </row>
    <row r="97">
      <c r="A97" s="1"/>
      <c r="B97" s="1"/>
      <c r="C97" s="1"/>
      <c r="D97" s="1"/>
      <c r="E97" s="1"/>
      <c r="F97" s="1"/>
      <c r="G97" s="1"/>
      <c r="H97" s="1"/>
      <c r="I97" s="1"/>
      <c r="J97" s="1"/>
      <c r="K97" s="1"/>
      <c r="L97" s="1"/>
      <c r="M97" s="1"/>
      <c r="N97" s="1"/>
      <c r="O97" s="1"/>
      <c r="P97" s="1"/>
      <c r="Q97" s="1"/>
      <c r="R97" s="1"/>
      <c r="S97" s="1"/>
      <c r="T97" s="1"/>
      <c r="U97" s="1"/>
      <c r="V97" s="1"/>
      <c r="W97" s="1"/>
      <c r="X97" s="1"/>
    </row>
    <row r="98">
      <c r="A98" s="1"/>
      <c r="B98" s="1"/>
      <c r="C98" s="1"/>
      <c r="D98" s="1"/>
      <c r="E98" s="1"/>
      <c r="F98" s="1"/>
      <c r="G98" s="1"/>
      <c r="H98" s="1"/>
      <c r="I98" s="1"/>
      <c r="J98" s="1"/>
      <c r="K98" s="1"/>
      <c r="L98" s="1"/>
      <c r="M98" s="1"/>
      <c r="N98" s="1"/>
      <c r="O98" s="1"/>
      <c r="P98" s="1"/>
      <c r="Q98" s="1"/>
      <c r="R98" s="1"/>
      <c r="S98" s="1"/>
      <c r="T98" s="1"/>
      <c r="U98" s="1"/>
      <c r="V98" s="1"/>
      <c r="W98" s="1"/>
      <c r="X98" s="1"/>
    </row>
    <row r="99">
      <c r="A99" s="1"/>
      <c r="B99" s="1"/>
      <c r="C99" s="1"/>
      <c r="D99" s="1"/>
      <c r="E99" s="1"/>
      <c r="F99" s="1"/>
      <c r="G99" s="1"/>
      <c r="H99" s="1"/>
      <c r="I99" s="1"/>
      <c r="J99" s="1"/>
      <c r="K99" s="1"/>
      <c r="L99" s="1"/>
      <c r="M99" s="1"/>
      <c r="N99" s="1"/>
      <c r="O99" s="1"/>
      <c r="P99" s="1"/>
      <c r="Q99" s="1"/>
      <c r="R99" s="1"/>
      <c r="S99" s="1"/>
      <c r="T99" s="1"/>
      <c r="U99" s="1"/>
      <c r="V99" s="1"/>
      <c r="W99" s="1"/>
      <c r="X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sheetData>
  <mergeCells count="9">
    <mergeCell ref="A50:C50"/>
    <mergeCell ref="A52:B52"/>
    <mergeCell ref="A1:C9"/>
    <mergeCell ref="A11:B11"/>
    <mergeCell ref="A15:D15"/>
    <mergeCell ref="A43:B43"/>
    <mergeCell ref="A45:B45"/>
    <mergeCell ref="A47:C47"/>
    <mergeCell ref="A48:B48"/>
  </mergeCells>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5" t="s">
        <v>395</v>
      </c>
      <c r="B1" s="25" t="s">
        <v>396</v>
      </c>
      <c r="C1" s="25" t="s">
        <v>6</v>
      </c>
      <c r="D1" s="25" t="s">
        <v>397</v>
      </c>
      <c r="E1" s="25" t="s">
        <v>398</v>
      </c>
      <c r="F1" s="25" t="s">
        <v>99</v>
      </c>
    </row>
    <row r="2">
      <c r="A2" s="35" t="s">
        <v>399</v>
      </c>
      <c r="B2" s="35" t="s">
        <v>400</v>
      </c>
      <c r="C2" s="35" t="s">
        <v>401</v>
      </c>
      <c r="D2" s="35" t="s">
        <v>401</v>
      </c>
      <c r="E2" s="35" t="s">
        <v>401</v>
      </c>
      <c r="F2" s="35" t="s">
        <v>402</v>
      </c>
    </row>
    <row r="3">
      <c r="A3" s="35" t="s">
        <v>403</v>
      </c>
      <c r="B3" s="35" t="s">
        <v>404</v>
      </c>
      <c r="C3" s="35" t="s">
        <v>405</v>
      </c>
      <c r="D3" s="35" t="s">
        <v>401</v>
      </c>
      <c r="E3" s="35" t="s">
        <v>401</v>
      </c>
      <c r="F3" s="35" t="s">
        <v>402</v>
      </c>
    </row>
    <row r="4">
      <c r="A4" s="35" t="s">
        <v>406</v>
      </c>
      <c r="B4" s="35" t="s">
        <v>407</v>
      </c>
      <c r="C4" s="35" t="s">
        <v>408</v>
      </c>
      <c r="D4" s="35" t="s">
        <v>401</v>
      </c>
      <c r="E4" s="35" t="s">
        <v>401</v>
      </c>
      <c r="F4" s="35" t="s">
        <v>402</v>
      </c>
    </row>
    <row r="5">
      <c r="A5" s="35" t="s">
        <v>409</v>
      </c>
      <c r="B5" s="35" t="s">
        <v>410</v>
      </c>
      <c r="C5" s="35" t="s">
        <v>411</v>
      </c>
      <c r="D5" s="35" t="s">
        <v>412</v>
      </c>
      <c r="E5" s="35" t="s">
        <v>412</v>
      </c>
      <c r="F5" s="35" t="s">
        <v>402</v>
      </c>
    </row>
    <row r="6">
      <c r="A6" s="35" t="s">
        <v>413</v>
      </c>
      <c r="B6" s="35" t="s">
        <v>410</v>
      </c>
      <c r="C6" s="35" t="s">
        <v>414</v>
      </c>
      <c r="D6" s="35" t="s">
        <v>401</v>
      </c>
      <c r="E6" s="35" t="s">
        <v>401</v>
      </c>
      <c r="F6" s="35" t="s">
        <v>402</v>
      </c>
    </row>
    <row r="7">
      <c r="A7" s="35" t="s">
        <v>415</v>
      </c>
      <c r="B7" s="35" t="s">
        <v>272</v>
      </c>
      <c r="C7" s="35" t="s">
        <v>411</v>
      </c>
      <c r="D7" s="35" t="s">
        <v>412</v>
      </c>
      <c r="E7" s="35" t="s">
        <v>412</v>
      </c>
      <c r="F7" s="35" t="s">
        <v>402</v>
      </c>
    </row>
    <row r="8">
      <c r="A8" s="35" t="s">
        <v>416</v>
      </c>
      <c r="B8" s="35" t="s">
        <v>272</v>
      </c>
      <c r="C8" s="35" t="s">
        <v>414</v>
      </c>
      <c r="D8" s="35" t="s">
        <v>412</v>
      </c>
      <c r="E8" s="35" t="s">
        <v>412</v>
      </c>
      <c r="F8" s="35" t="s">
        <v>402</v>
      </c>
    </row>
    <row r="9">
      <c r="A9" s="35" t="s">
        <v>417</v>
      </c>
      <c r="B9" s="35" t="s">
        <v>272</v>
      </c>
      <c r="C9" s="35" t="s">
        <v>418</v>
      </c>
      <c r="D9" s="35" t="s">
        <v>419</v>
      </c>
      <c r="E9" s="35" t="s">
        <v>401</v>
      </c>
      <c r="F9" s="35" t="s">
        <v>402</v>
      </c>
    </row>
    <row r="10">
      <c r="A10" s="35" t="s">
        <v>420</v>
      </c>
      <c r="B10" s="35" t="s">
        <v>421</v>
      </c>
      <c r="C10" s="35" t="s">
        <v>422</v>
      </c>
      <c r="D10" s="35" t="s">
        <v>419</v>
      </c>
      <c r="E10" s="35" t="s">
        <v>401</v>
      </c>
      <c r="F10" s="35" t="s">
        <v>402</v>
      </c>
    </row>
    <row r="11">
      <c r="A11" s="35" t="s">
        <v>423</v>
      </c>
      <c r="B11" s="35" t="s">
        <v>424</v>
      </c>
      <c r="C11" s="35" t="s">
        <v>401</v>
      </c>
      <c r="D11" s="35" t="s">
        <v>401</v>
      </c>
      <c r="E11" s="35" t="s">
        <v>401</v>
      </c>
      <c r="F11" s="35" t="s">
        <v>402</v>
      </c>
    </row>
    <row r="12">
      <c r="A12" s="35" t="s">
        <v>425</v>
      </c>
      <c r="B12" s="35" t="s">
        <v>426</v>
      </c>
      <c r="C12" s="35" t="s">
        <v>401</v>
      </c>
      <c r="D12" s="35" t="s">
        <v>401</v>
      </c>
      <c r="E12" s="35" t="s">
        <v>401</v>
      </c>
      <c r="F12" s="35" t="s">
        <v>402</v>
      </c>
    </row>
    <row r="13">
      <c r="A13" s="35" t="s">
        <v>427</v>
      </c>
      <c r="B13" s="35" t="s">
        <v>401</v>
      </c>
      <c r="C13" s="35" t="s">
        <v>401</v>
      </c>
      <c r="D13" s="35" t="s">
        <v>401</v>
      </c>
      <c r="E13" s="35" t="s">
        <v>401</v>
      </c>
      <c r="F13" s="35" t="s">
        <v>402</v>
      </c>
    </row>
    <row r="14">
      <c r="A14" s="35" t="s">
        <v>428</v>
      </c>
      <c r="B14" s="35" t="s">
        <v>401</v>
      </c>
      <c r="C14" s="35" t="s">
        <v>401</v>
      </c>
      <c r="D14" s="35" t="s">
        <v>401</v>
      </c>
      <c r="E14" s="35" t="s">
        <v>401</v>
      </c>
      <c r="F14" s="35" t="s">
        <v>402</v>
      </c>
    </row>
    <row r="15">
      <c r="A15" s="35" t="s">
        <v>429</v>
      </c>
      <c r="B15" s="35" t="s">
        <v>401</v>
      </c>
      <c r="C15" s="35" t="s">
        <v>401</v>
      </c>
      <c r="D15" s="35" t="s">
        <v>401</v>
      </c>
      <c r="E15" s="35" t="s">
        <v>401</v>
      </c>
      <c r="F15" s="35" t="s">
        <v>402</v>
      </c>
    </row>
    <row r="16">
      <c r="A16" s="35" t="s">
        <v>430</v>
      </c>
      <c r="B16" s="35" t="s">
        <v>401</v>
      </c>
      <c r="C16" s="35" t="s">
        <v>401</v>
      </c>
      <c r="D16" s="35" t="s">
        <v>401</v>
      </c>
      <c r="E16" s="35" t="s">
        <v>401</v>
      </c>
      <c r="F16" s="35" t="s">
        <v>402</v>
      </c>
    </row>
    <row r="17">
      <c r="A17" s="35" t="s">
        <v>431</v>
      </c>
      <c r="B17" s="35" t="s">
        <v>401</v>
      </c>
      <c r="C17" s="35" t="s">
        <v>401</v>
      </c>
      <c r="D17" s="35" t="s">
        <v>401</v>
      </c>
      <c r="E17" s="35" t="s">
        <v>401</v>
      </c>
      <c r="F17" s="35" t="s">
        <v>402</v>
      </c>
    </row>
    <row r="18">
      <c r="A18" s="35" t="s">
        <v>432</v>
      </c>
      <c r="B18" s="35" t="s">
        <v>401</v>
      </c>
      <c r="C18" s="35" t="s">
        <v>401</v>
      </c>
      <c r="D18" s="35" t="s">
        <v>401</v>
      </c>
      <c r="E18" s="35" t="s">
        <v>401</v>
      </c>
      <c r="F18" s="35" t="s">
        <v>402</v>
      </c>
    </row>
    <row r="19">
      <c r="A19" s="35" t="s">
        <v>433</v>
      </c>
      <c r="B19" s="35" t="s">
        <v>401</v>
      </c>
      <c r="C19" s="35" t="s">
        <v>401</v>
      </c>
      <c r="D19" s="35" t="s">
        <v>401</v>
      </c>
      <c r="E19" s="35" t="s">
        <v>401</v>
      </c>
      <c r="F19" s="35" t="s">
        <v>402</v>
      </c>
    </row>
    <row r="20">
      <c r="A20" s="35" t="s">
        <v>434</v>
      </c>
      <c r="B20" s="35" t="s">
        <v>401</v>
      </c>
      <c r="C20" s="35" t="s">
        <v>401</v>
      </c>
      <c r="D20" s="35" t="s">
        <v>401</v>
      </c>
      <c r="E20" s="35" t="s">
        <v>401</v>
      </c>
      <c r="F20" s="35" t="s">
        <v>402</v>
      </c>
    </row>
    <row r="21">
      <c r="A21" s="35" t="s">
        <v>435</v>
      </c>
      <c r="B21" s="35" t="s">
        <v>401</v>
      </c>
      <c r="C21" s="35" t="s">
        <v>401</v>
      </c>
      <c r="D21" s="35" t="s">
        <v>401</v>
      </c>
      <c r="E21" s="35" t="s">
        <v>401</v>
      </c>
      <c r="F21" s="35" t="s">
        <v>402</v>
      </c>
    </row>
    <row r="22">
      <c r="A22" s="35" t="s">
        <v>436</v>
      </c>
      <c r="B22" s="35" t="s">
        <v>401</v>
      </c>
      <c r="C22" s="35" t="s">
        <v>401</v>
      </c>
      <c r="D22" s="35" t="s">
        <v>401</v>
      </c>
      <c r="E22" s="35" t="s">
        <v>401</v>
      </c>
      <c r="F22" s="35" t="s">
        <v>402</v>
      </c>
    </row>
    <row r="23">
      <c r="A23" s="35" t="s">
        <v>437</v>
      </c>
      <c r="B23" s="35" t="s">
        <v>401</v>
      </c>
      <c r="C23" s="35" t="s">
        <v>401</v>
      </c>
      <c r="D23" s="35" t="s">
        <v>419</v>
      </c>
      <c r="E23" s="35" t="s">
        <v>401</v>
      </c>
      <c r="F23" s="35" t="s">
        <v>402</v>
      </c>
    </row>
    <row r="24">
      <c r="A24" s="35" t="s">
        <v>438</v>
      </c>
      <c r="B24" s="35" t="s">
        <v>401</v>
      </c>
      <c r="C24" s="35" t="s">
        <v>401</v>
      </c>
      <c r="D24" s="35" t="s">
        <v>401</v>
      </c>
      <c r="E24" s="35" t="s">
        <v>401</v>
      </c>
      <c r="F24" s="35" t="s">
        <v>402</v>
      </c>
    </row>
    <row r="25">
      <c r="A25" s="35" t="s">
        <v>439</v>
      </c>
      <c r="B25" s="35" t="s">
        <v>401</v>
      </c>
      <c r="C25" s="35" t="s">
        <v>401</v>
      </c>
      <c r="D25" s="35" t="s">
        <v>401</v>
      </c>
      <c r="E25" s="35" t="s">
        <v>401</v>
      </c>
      <c r="F25" s="35" t="s">
        <v>402</v>
      </c>
    </row>
    <row r="26">
      <c r="A26" s="35" t="s">
        <v>440</v>
      </c>
      <c r="B26" s="35" t="s">
        <v>401</v>
      </c>
      <c r="C26" s="35" t="s">
        <v>401</v>
      </c>
      <c r="D26" s="35" t="s">
        <v>401</v>
      </c>
      <c r="E26" s="35" t="s">
        <v>401</v>
      </c>
      <c r="F26" s="35" t="s">
        <v>402</v>
      </c>
    </row>
    <row r="27">
      <c r="A27" s="35" t="s">
        <v>441</v>
      </c>
      <c r="B27" s="35" t="s">
        <v>401</v>
      </c>
      <c r="C27" s="35" t="s">
        <v>401</v>
      </c>
      <c r="D27" s="35" t="s">
        <v>401</v>
      </c>
      <c r="E27" s="35" t="s">
        <v>401</v>
      </c>
      <c r="F27" s="35" t="s">
        <v>402</v>
      </c>
    </row>
    <row r="28">
      <c r="A28" s="35" t="s">
        <v>442</v>
      </c>
      <c r="B28" s="35" t="s">
        <v>401</v>
      </c>
      <c r="C28" s="35" t="s">
        <v>401</v>
      </c>
      <c r="D28" s="35" t="s">
        <v>401</v>
      </c>
      <c r="E28" s="35" t="s">
        <v>401</v>
      </c>
      <c r="F28" s="35" t="s">
        <v>402</v>
      </c>
    </row>
    <row r="29">
      <c r="A29" s="35" t="s">
        <v>443</v>
      </c>
      <c r="B29" s="35" t="s">
        <v>401</v>
      </c>
      <c r="C29" s="35" t="s">
        <v>401</v>
      </c>
      <c r="D29" s="35" t="s">
        <v>401</v>
      </c>
      <c r="E29" s="35" t="s">
        <v>401</v>
      </c>
      <c r="F29" s="35" t="s">
        <v>402</v>
      </c>
    </row>
    <row r="30">
      <c r="A30" s="35" t="s">
        <v>444</v>
      </c>
      <c r="B30" s="35" t="s">
        <v>401</v>
      </c>
      <c r="C30" s="35" t="s">
        <v>401</v>
      </c>
      <c r="D30" s="35" t="s">
        <v>401</v>
      </c>
      <c r="E30" s="35" t="s">
        <v>401</v>
      </c>
      <c r="F30" s="35" t="s">
        <v>402</v>
      </c>
    </row>
    <row r="31">
      <c r="A31" s="35" t="s">
        <v>445</v>
      </c>
      <c r="B31" s="35" t="s">
        <v>401</v>
      </c>
      <c r="C31" s="35" t="s">
        <v>401</v>
      </c>
      <c r="D31" s="35" t="s">
        <v>401</v>
      </c>
      <c r="E31" s="35" t="s">
        <v>401</v>
      </c>
      <c r="F31" s="35" t="s">
        <v>402</v>
      </c>
    </row>
    <row r="32">
      <c r="A32" s="35" t="s">
        <v>446</v>
      </c>
      <c r="B32" s="35" t="s">
        <v>401</v>
      </c>
      <c r="C32" s="35" t="s">
        <v>401</v>
      </c>
      <c r="D32" s="35" t="s">
        <v>401</v>
      </c>
      <c r="E32" s="35" t="s">
        <v>401</v>
      </c>
      <c r="F32" s="35" t="s">
        <v>402</v>
      </c>
    </row>
    <row r="33">
      <c r="A33" s="35" t="s">
        <v>447</v>
      </c>
      <c r="B33" s="35" t="s">
        <v>401</v>
      </c>
      <c r="C33" s="35" t="s">
        <v>401</v>
      </c>
      <c r="D33" s="35" t="s">
        <v>401</v>
      </c>
      <c r="E33" s="35" t="s">
        <v>401</v>
      </c>
      <c r="F33" s="35" t="s">
        <v>402</v>
      </c>
    </row>
    <row r="34">
      <c r="A34" s="35" t="s">
        <v>448</v>
      </c>
      <c r="B34" s="35" t="s">
        <v>401</v>
      </c>
      <c r="C34" s="35" t="s">
        <v>401</v>
      </c>
      <c r="D34" s="35" t="s">
        <v>401</v>
      </c>
      <c r="E34" s="35" t="s">
        <v>401</v>
      </c>
      <c r="F34" s="35" t="s">
        <v>402</v>
      </c>
    </row>
    <row r="35">
      <c r="A35" s="35" t="s">
        <v>449</v>
      </c>
      <c r="B35" s="35" t="s">
        <v>401</v>
      </c>
      <c r="C35" s="35" t="s">
        <v>401</v>
      </c>
      <c r="D35" s="35" t="s">
        <v>401</v>
      </c>
      <c r="E35" s="35" t="s">
        <v>401</v>
      </c>
      <c r="F35" s="35" t="s">
        <v>402</v>
      </c>
    </row>
    <row r="36">
      <c r="A36" s="35" t="s">
        <v>450</v>
      </c>
      <c r="B36" s="35" t="s">
        <v>401</v>
      </c>
      <c r="C36" s="35" t="s">
        <v>401</v>
      </c>
      <c r="D36" s="35" t="s">
        <v>401</v>
      </c>
      <c r="E36" s="35" t="s">
        <v>401</v>
      </c>
      <c r="F36" s="35" t="s">
        <v>402</v>
      </c>
    </row>
    <row r="37">
      <c r="A37" s="35" t="s">
        <v>451</v>
      </c>
      <c r="B37" s="35" t="s">
        <v>401</v>
      </c>
      <c r="C37" s="35" t="s">
        <v>401</v>
      </c>
      <c r="D37" s="35" t="s">
        <v>401</v>
      </c>
      <c r="E37" s="35" t="s">
        <v>401</v>
      </c>
      <c r="F37" s="35" t="s">
        <v>402</v>
      </c>
    </row>
    <row r="38">
      <c r="A38" s="35" t="s">
        <v>452</v>
      </c>
      <c r="B38" s="35" t="s">
        <v>269</v>
      </c>
      <c r="C38" s="35" t="s">
        <v>401</v>
      </c>
      <c r="D38" s="35" t="s">
        <v>401</v>
      </c>
      <c r="E38" s="35" t="s">
        <v>401</v>
      </c>
      <c r="F38" s="35" t="s">
        <v>402</v>
      </c>
    </row>
    <row r="39">
      <c r="A39" s="35" t="s">
        <v>453</v>
      </c>
      <c r="B39" s="35" t="s">
        <v>269</v>
      </c>
      <c r="C39" s="35" t="s">
        <v>414</v>
      </c>
      <c r="D39" s="35" t="s">
        <v>401</v>
      </c>
      <c r="E39" s="35" t="s">
        <v>401</v>
      </c>
      <c r="F39" s="35" t="s">
        <v>402</v>
      </c>
    </row>
    <row r="40">
      <c r="A40" s="35" t="s">
        <v>454</v>
      </c>
      <c r="B40" s="35" t="s">
        <v>455</v>
      </c>
      <c r="C40" s="35" t="s">
        <v>401</v>
      </c>
      <c r="D40" s="35" t="s">
        <v>419</v>
      </c>
      <c r="E40" s="35" t="s">
        <v>401</v>
      </c>
      <c r="F40" s="35" t="s">
        <v>402</v>
      </c>
    </row>
    <row r="41">
      <c r="A41" s="35" t="s">
        <v>456</v>
      </c>
      <c r="B41" s="35" t="s">
        <v>455</v>
      </c>
      <c r="C41" s="35" t="s">
        <v>401</v>
      </c>
      <c r="D41" s="35" t="s">
        <v>419</v>
      </c>
      <c r="E41" s="35" t="s">
        <v>401</v>
      </c>
      <c r="F41" s="35" t="s">
        <v>402</v>
      </c>
    </row>
    <row r="42">
      <c r="A42" s="35" t="s">
        <v>457</v>
      </c>
      <c r="B42" s="35" t="s">
        <v>455</v>
      </c>
      <c r="C42" s="35" t="s">
        <v>401</v>
      </c>
      <c r="D42" s="35" t="s">
        <v>419</v>
      </c>
      <c r="E42" s="35" t="s">
        <v>401</v>
      </c>
      <c r="F42" s="35" t="s">
        <v>402</v>
      </c>
    </row>
    <row r="43">
      <c r="A43" s="35" t="s">
        <v>458</v>
      </c>
      <c r="B43" s="35" t="s">
        <v>455</v>
      </c>
      <c r="C43" s="35" t="s">
        <v>401</v>
      </c>
      <c r="D43" s="35" t="s">
        <v>419</v>
      </c>
      <c r="E43" s="35" t="s">
        <v>401</v>
      </c>
      <c r="F43" s="35" t="s">
        <v>402</v>
      </c>
    </row>
    <row r="44">
      <c r="A44" s="35" t="s">
        <v>459</v>
      </c>
      <c r="B44" s="35" t="s">
        <v>401</v>
      </c>
      <c r="C44" s="35" t="s">
        <v>401</v>
      </c>
      <c r="D44" s="35" t="s">
        <v>401</v>
      </c>
      <c r="E44" s="35" t="s">
        <v>401</v>
      </c>
      <c r="F44" s="35" t="s">
        <v>402</v>
      </c>
    </row>
    <row r="45">
      <c r="A45" s="35" t="s">
        <v>460</v>
      </c>
      <c r="B45" s="35" t="s">
        <v>401</v>
      </c>
      <c r="C45" s="35" t="s">
        <v>401</v>
      </c>
      <c r="D45" s="35" t="s">
        <v>401</v>
      </c>
      <c r="E45" s="35" t="s">
        <v>401</v>
      </c>
      <c r="F45" s="35" t="s">
        <v>402</v>
      </c>
    </row>
    <row r="46">
      <c r="A46" s="35" t="s">
        <v>461</v>
      </c>
      <c r="B46" s="35" t="s">
        <v>401</v>
      </c>
      <c r="C46" s="35" t="s">
        <v>401</v>
      </c>
      <c r="D46" s="35" t="s">
        <v>401</v>
      </c>
      <c r="E46" s="35" t="s">
        <v>401</v>
      </c>
      <c r="F46" s="35" t="s">
        <v>402</v>
      </c>
    </row>
    <row r="47">
      <c r="A47" s="35" t="s">
        <v>462</v>
      </c>
      <c r="B47" s="35" t="s">
        <v>401</v>
      </c>
      <c r="C47" s="35" t="s">
        <v>401</v>
      </c>
      <c r="D47" s="35" t="s">
        <v>401</v>
      </c>
      <c r="E47" s="35" t="s">
        <v>401</v>
      </c>
      <c r="F47" s="35" t="s">
        <v>402</v>
      </c>
    </row>
    <row r="48">
      <c r="A48" s="35" t="s">
        <v>463</v>
      </c>
      <c r="B48" s="35" t="s">
        <v>401</v>
      </c>
      <c r="C48" s="35" t="s">
        <v>401</v>
      </c>
      <c r="D48" s="35" t="s">
        <v>401</v>
      </c>
      <c r="E48" s="35" t="s">
        <v>401</v>
      </c>
      <c r="F48" s="35" t="s">
        <v>402</v>
      </c>
    </row>
    <row r="49">
      <c r="A49" s="35" t="s">
        <v>464</v>
      </c>
      <c r="B49" s="35" t="s">
        <v>401</v>
      </c>
      <c r="C49" s="35" t="s">
        <v>401</v>
      </c>
      <c r="D49" s="35" t="s">
        <v>401</v>
      </c>
      <c r="E49" s="35" t="s">
        <v>401</v>
      </c>
      <c r="F49" s="35" t="s">
        <v>402</v>
      </c>
    </row>
    <row r="50">
      <c r="A50" s="35" t="s">
        <v>465</v>
      </c>
      <c r="B50" s="35" t="s">
        <v>401</v>
      </c>
      <c r="C50" s="35" t="s">
        <v>401</v>
      </c>
      <c r="D50" s="35" t="s">
        <v>401</v>
      </c>
      <c r="E50" s="35" t="s">
        <v>412</v>
      </c>
      <c r="F50" s="35" t="s">
        <v>402</v>
      </c>
    </row>
    <row r="51">
      <c r="A51" s="35" t="s">
        <v>466</v>
      </c>
      <c r="B51" s="35" t="s">
        <v>401</v>
      </c>
      <c r="C51" s="35" t="s">
        <v>401</v>
      </c>
      <c r="D51" s="35" t="s">
        <v>401</v>
      </c>
      <c r="E51" s="35" t="s">
        <v>401</v>
      </c>
      <c r="F51" s="35" t="s">
        <v>402</v>
      </c>
    </row>
    <row r="52">
      <c r="A52" s="35" t="s">
        <v>467</v>
      </c>
      <c r="B52" s="35" t="s">
        <v>401</v>
      </c>
      <c r="C52" s="35" t="s">
        <v>401</v>
      </c>
      <c r="D52" s="35" t="s">
        <v>401</v>
      </c>
      <c r="E52" s="35" t="s">
        <v>401</v>
      </c>
      <c r="F52" s="35" t="s">
        <v>402</v>
      </c>
    </row>
    <row r="53">
      <c r="A53" s="35" t="s">
        <v>468</v>
      </c>
      <c r="B53" s="35" t="s">
        <v>401</v>
      </c>
      <c r="C53" s="35" t="s">
        <v>401</v>
      </c>
      <c r="D53" s="35" t="s">
        <v>401</v>
      </c>
      <c r="E53" s="35" t="s">
        <v>401</v>
      </c>
      <c r="F53" s="35" t="s">
        <v>402</v>
      </c>
    </row>
    <row r="54">
      <c r="A54" s="35" t="s">
        <v>469</v>
      </c>
      <c r="B54" s="35" t="s">
        <v>401</v>
      </c>
      <c r="C54" s="35" t="s">
        <v>401</v>
      </c>
      <c r="D54" s="35" t="s">
        <v>401</v>
      </c>
      <c r="E54" s="35" t="s">
        <v>401</v>
      </c>
      <c r="F54" s="35" t="s">
        <v>402</v>
      </c>
    </row>
    <row r="55">
      <c r="A55" s="35" t="s">
        <v>470</v>
      </c>
      <c r="B55" s="35" t="s">
        <v>401</v>
      </c>
      <c r="C55" s="35" t="s">
        <v>401</v>
      </c>
      <c r="D55" s="35" t="s">
        <v>401</v>
      </c>
      <c r="E55" s="35" t="s">
        <v>401</v>
      </c>
      <c r="F55" s="35" t="s">
        <v>402</v>
      </c>
    </row>
    <row r="56">
      <c r="A56" s="35" t="s">
        <v>471</v>
      </c>
      <c r="B56" s="35" t="s">
        <v>401</v>
      </c>
      <c r="C56" s="35" t="s">
        <v>401</v>
      </c>
      <c r="D56" s="35" t="s">
        <v>401</v>
      </c>
      <c r="E56" s="35" t="s">
        <v>401</v>
      </c>
      <c r="F56" s="35" t="s">
        <v>402</v>
      </c>
    </row>
    <row r="57">
      <c r="A57" s="35" t="s">
        <v>472</v>
      </c>
      <c r="B57" s="35" t="s">
        <v>412</v>
      </c>
      <c r="C57" s="35" t="s">
        <v>412</v>
      </c>
      <c r="D57" s="35" t="s">
        <v>412</v>
      </c>
      <c r="E57" s="35" t="s">
        <v>412</v>
      </c>
      <c r="F57" s="35" t="s">
        <v>402</v>
      </c>
    </row>
    <row r="58">
      <c r="A58" s="35" t="s">
        <v>473</v>
      </c>
      <c r="B58" s="35" t="s">
        <v>412</v>
      </c>
      <c r="C58" s="35" t="s">
        <v>412</v>
      </c>
      <c r="D58" s="35" t="s">
        <v>412</v>
      </c>
      <c r="E58" s="35" t="s">
        <v>412</v>
      </c>
      <c r="F58" s="35" t="s">
        <v>402</v>
      </c>
    </row>
    <row r="59">
      <c r="A59" s="35" t="s">
        <v>474</v>
      </c>
      <c r="B59" s="35" t="s">
        <v>475</v>
      </c>
      <c r="C59" s="35" t="s">
        <v>401</v>
      </c>
      <c r="D59" s="35" t="s">
        <v>401</v>
      </c>
      <c r="E59" s="35" t="s">
        <v>401</v>
      </c>
      <c r="F59" s="35" t="s">
        <v>402</v>
      </c>
    </row>
    <row r="60">
      <c r="A60" s="35" t="s">
        <v>476</v>
      </c>
      <c r="B60" s="35" t="s">
        <v>404</v>
      </c>
      <c r="C60" s="35" t="s">
        <v>412</v>
      </c>
      <c r="D60" s="35" t="s">
        <v>412</v>
      </c>
      <c r="E60" s="35" t="s">
        <v>412</v>
      </c>
      <c r="F60" s="35" t="s">
        <v>402</v>
      </c>
    </row>
    <row r="61">
      <c r="A61" s="35" t="s">
        <v>477</v>
      </c>
      <c r="B61" s="35" t="s">
        <v>404</v>
      </c>
      <c r="C61" s="35" t="s">
        <v>401</v>
      </c>
      <c r="D61" s="35" t="s">
        <v>401</v>
      </c>
      <c r="E61" s="35" t="s">
        <v>401</v>
      </c>
      <c r="F61" s="35" t="s">
        <v>402</v>
      </c>
    </row>
    <row r="62">
      <c r="A62" s="35" t="s">
        <v>478</v>
      </c>
      <c r="B62" s="35" t="s">
        <v>269</v>
      </c>
      <c r="C62" s="35" t="s">
        <v>401</v>
      </c>
      <c r="D62" s="35" t="s">
        <v>401</v>
      </c>
      <c r="E62" s="35" t="s">
        <v>401</v>
      </c>
      <c r="F62" s="35" t="s">
        <v>479</v>
      </c>
    </row>
    <row r="63">
      <c r="A63" s="35" t="s">
        <v>480</v>
      </c>
      <c r="B63" s="35" t="s">
        <v>269</v>
      </c>
      <c r="C63" s="35" t="s">
        <v>401</v>
      </c>
      <c r="D63" s="35" t="s">
        <v>401</v>
      </c>
      <c r="E63" s="35" t="s">
        <v>401</v>
      </c>
      <c r="F63" s="35" t="s">
        <v>479</v>
      </c>
    </row>
    <row r="64">
      <c r="A64" s="35" t="s">
        <v>481</v>
      </c>
      <c r="B64" s="35" t="s">
        <v>271</v>
      </c>
      <c r="C64" s="35" t="s">
        <v>401</v>
      </c>
      <c r="D64" s="35" t="s">
        <v>401</v>
      </c>
      <c r="E64" s="35" t="s">
        <v>401</v>
      </c>
      <c r="F64" s="35" t="s">
        <v>479</v>
      </c>
    </row>
    <row r="65">
      <c r="A65" s="35" t="s">
        <v>482</v>
      </c>
      <c r="B65" s="35" t="s">
        <v>271</v>
      </c>
      <c r="C65" s="35" t="s">
        <v>412</v>
      </c>
      <c r="D65" s="35" t="s">
        <v>412</v>
      </c>
      <c r="E65" s="35" t="s">
        <v>412</v>
      </c>
      <c r="F65" s="35" t="s">
        <v>479</v>
      </c>
    </row>
    <row r="66">
      <c r="A66" s="35" t="s">
        <v>483</v>
      </c>
      <c r="B66" s="35" t="s">
        <v>271</v>
      </c>
      <c r="C66" s="35" t="s">
        <v>412</v>
      </c>
      <c r="D66" s="35" t="s">
        <v>412</v>
      </c>
      <c r="E66" s="35" t="s">
        <v>412</v>
      </c>
      <c r="F66" s="35" t="s">
        <v>479</v>
      </c>
    </row>
    <row r="67">
      <c r="A67" s="35" t="s">
        <v>484</v>
      </c>
      <c r="B67" s="35" t="s">
        <v>272</v>
      </c>
      <c r="C67" s="35" t="s">
        <v>412</v>
      </c>
      <c r="D67" s="35" t="s">
        <v>412</v>
      </c>
      <c r="E67" s="35" t="s">
        <v>412</v>
      </c>
      <c r="F67" s="35" t="s">
        <v>479</v>
      </c>
    </row>
    <row r="68">
      <c r="A68" s="35" t="s">
        <v>485</v>
      </c>
      <c r="B68" s="35" t="s">
        <v>272</v>
      </c>
      <c r="C68" s="35" t="s">
        <v>412</v>
      </c>
      <c r="D68" s="35" t="s">
        <v>412</v>
      </c>
      <c r="E68" s="35" t="s">
        <v>412</v>
      </c>
      <c r="F68" s="35" t="s">
        <v>479</v>
      </c>
    </row>
    <row r="69">
      <c r="A69" s="35" t="s">
        <v>486</v>
      </c>
      <c r="B69" s="35" t="s">
        <v>412</v>
      </c>
      <c r="C69" s="35" t="s">
        <v>412</v>
      </c>
      <c r="D69" s="35" t="s">
        <v>412</v>
      </c>
      <c r="E69" s="35" t="s">
        <v>412</v>
      </c>
      <c r="F69" s="35" t="s">
        <v>479</v>
      </c>
    </row>
    <row r="70">
      <c r="A70" s="35" t="s">
        <v>487</v>
      </c>
      <c r="B70" s="35" t="s">
        <v>412</v>
      </c>
      <c r="C70" s="35" t="s">
        <v>412</v>
      </c>
      <c r="D70" s="35" t="s">
        <v>412</v>
      </c>
      <c r="E70" s="35" t="s">
        <v>412</v>
      </c>
      <c r="F70" s="35" t="s">
        <v>479</v>
      </c>
    </row>
    <row r="71">
      <c r="A71" s="35" t="s">
        <v>488</v>
      </c>
      <c r="B71" s="35" t="s">
        <v>489</v>
      </c>
      <c r="C71" s="35" t="s">
        <v>412</v>
      </c>
      <c r="D71" s="35" t="s">
        <v>412</v>
      </c>
      <c r="E71" s="35" t="s">
        <v>412</v>
      </c>
      <c r="F71" s="35" t="s">
        <v>479</v>
      </c>
    </row>
    <row r="72">
      <c r="A72" s="35" t="s">
        <v>490</v>
      </c>
      <c r="B72" s="35" t="s">
        <v>489</v>
      </c>
      <c r="C72" s="35" t="s">
        <v>412</v>
      </c>
      <c r="D72" s="35" t="s">
        <v>412</v>
      </c>
      <c r="E72" s="35" t="s">
        <v>412</v>
      </c>
      <c r="F72" s="35" t="s">
        <v>479</v>
      </c>
    </row>
    <row r="73">
      <c r="A73" s="35" t="s">
        <v>491</v>
      </c>
      <c r="B73" s="35" t="s">
        <v>412</v>
      </c>
      <c r="C73" s="35" t="s">
        <v>412</v>
      </c>
      <c r="D73" s="35" t="s">
        <v>412</v>
      </c>
      <c r="E73" s="35" t="s">
        <v>412</v>
      </c>
      <c r="F73" s="35" t="s">
        <v>479</v>
      </c>
    </row>
    <row r="74">
      <c r="A74" s="35" t="s">
        <v>492</v>
      </c>
      <c r="B74" s="35" t="s">
        <v>412</v>
      </c>
      <c r="C74" s="35" t="s">
        <v>412</v>
      </c>
      <c r="D74" s="35" t="s">
        <v>412</v>
      </c>
      <c r="E74" s="35" t="s">
        <v>412</v>
      </c>
      <c r="F74" s="35" t="s">
        <v>479</v>
      </c>
    </row>
    <row r="75">
      <c r="A75" s="35" t="s">
        <v>493</v>
      </c>
      <c r="B75" s="35" t="s">
        <v>412</v>
      </c>
      <c r="C75" s="35" t="s">
        <v>412</v>
      </c>
      <c r="D75" s="35" t="s">
        <v>412</v>
      </c>
      <c r="E75" s="35" t="s">
        <v>412</v>
      </c>
      <c r="F75" s="35" t="s">
        <v>479</v>
      </c>
    </row>
    <row r="76">
      <c r="A76" s="35" t="s">
        <v>494</v>
      </c>
      <c r="B76" s="35" t="s">
        <v>489</v>
      </c>
      <c r="C76" s="35" t="s">
        <v>412</v>
      </c>
      <c r="D76" s="35" t="s">
        <v>412</v>
      </c>
      <c r="E76" s="35" t="s">
        <v>412</v>
      </c>
      <c r="F76" s="35" t="s">
        <v>479</v>
      </c>
    </row>
    <row r="77">
      <c r="A77" s="35" t="s">
        <v>495</v>
      </c>
      <c r="B77" s="35" t="s">
        <v>489</v>
      </c>
      <c r="C77" s="35" t="s">
        <v>412</v>
      </c>
      <c r="D77" s="35" t="s">
        <v>412</v>
      </c>
      <c r="E77" s="35" t="s">
        <v>412</v>
      </c>
      <c r="F77" s="35" t="s">
        <v>479</v>
      </c>
    </row>
    <row r="78">
      <c r="A78" s="35" t="s">
        <v>496</v>
      </c>
      <c r="B78" s="35" t="s">
        <v>412</v>
      </c>
      <c r="C78" s="35" t="s">
        <v>412</v>
      </c>
      <c r="D78" s="35" t="s">
        <v>412</v>
      </c>
      <c r="E78" s="35" t="s">
        <v>412</v>
      </c>
      <c r="F78" s="35" t="s">
        <v>479</v>
      </c>
    </row>
    <row r="79">
      <c r="A79" s="35" t="s">
        <v>497</v>
      </c>
      <c r="B79" s="35" t="s">
        <v>412</v>
      </c>
      <c r="C79" s="35" t="s">
        <v>412</v>
      </c>
      <c r="D79" s="35" t="s">
        <v>412</v>
      </c>
      <c r="E79" s="35" t="s">
        <v>412</v>
      </c>
      <c r="F79" s="35" t="s">
        <v>479</v>
      </c>
    </row>
    <row r="80">
      <c r="A80" s="35" t="s">
        <v>498</v>
      </c>
      <c r="B80" s="35" t="s">
        <v>489</v>
      </c>
      <c r="C80" s="35" t="s">
        <v>412</v>
      </c>
      <c r="D80" s="35" t="s">
        <v>412</v>
      </c>
      <c r="E80" s="35" t="s">
        <v>412</v>
      </c>
      <c r="F80" s="35" t="s">
        <v>479</v>
      </c>
    </row>
    <row r="81">
      <c r="A81" s="35" t="s">
        <v>499</v>
      </c>
      <c r="B81" s="35" t="s">
        <v>489</v>
      </c>
      <c r="C81" s="35" t="s">
        <v>412</v>
      </c>
      <c r="D81" s="35" t="s">
        <v>412</v>
      </c>
      <c r="E81" s="35" t="s">
        <v>412</v>
      </c>
      <c r="F81" s="35" t="s">
        <v>479</v>
      </c>
    </row>
    <row r="82">
      <c r="A82" s="35" t="s">
        <v>500</v>
      </c>
      <c r="B82" s="35" t="s">
        <v>489</v>
      </c>
      <c r="C82" s="35" t="s">
        <v>412</v>
      </c>
      <c r="D82" s="35" t="s">
        <v>412</v>
      </c>
      <c r="E82" s="35" t="s">
        <v>412</v>
      </c>
      <c r="F82" s="35" t="s">
        <v>479</v>
      </c>
    </row>
    <row r="83">
      <c r="A83" s="35" t="s">
        <v>501</v>
      </c>
      <c r="B83" s="35" t="s">
        <v>489</v>
      </c>
      <c r="C83" s="35" t="s">
        <v>412</v>
      </c>
      <c r="D83" s="35" t="s">
        <v>412</v>
      </c>
      <c r="E83" s="35" t="s">
        <v>412</v>
      </c>
      <c r="F83" s="35" t="s">
        <v>479</v>
      </c>
    </row>
    <row r="84">
      <c r="A84" s="35" t="s">
        <v>502</v>
      </c>
      <c r="B84" s="35" t="s">
        <v>412</v>
      </c>
      <c r="C84" s="35" t="s">
        <v>412</v>
      </c>
      <c r="D84" s="35" t="s">
        <v>412</v>
      </c>
      <c r="E84" s="35" t="s">
        <v>412</v>
      </c>
      <c r="F84" s="35" t="s">
        <v>479</v>
      </c>
    </row>
    <row r="85">
      <c r="A85" s="35" t="s">
        <v>503</v>
      </c>
      <c r="B85" s="35" t="s">
        <v>412</v>
      </c>
      <c r="C85" s="35" t="s">
        <v>412</v>
      </c>
      <c r="D85" s="35" t="s">
        <v>412</v>
      </c>
      <c r="E85" s="35" t="s">
        <v>412</v>
      </c>
      <c r="F85" s="35" t="s">
        <v>479</v>
      </c>
    </row>
    <row r="86">
      <c r="A86" s="35" t="s">
        <v>504</v>
      </c>
      <c r="B86" s="35" t="s">
        <v>412</v>
      </c>
      <c r="C86" s="35" t="s">
        <v>412</v>
      </c>
      <c r="D86" s="35" t="s">
        <v>412</v>
      </c>
      <c r="E86" s="35" t="s">
        <v>412</v>
      </c>
      <c r="F86" s="35" t="s">
        <v>479</v>
      </c>
    </row>
    <row r="87">
      <c r="A87" s="35" t="s">
        <v>505</v>
      </c>
      <c r="B87" s="35" t="s">
        <v>412</v>
      </c>
      <c r="C87" s="35" t="s">
        <v>412</v>
      </c>
      <c r="D87" s="35" t="s">
        <v>412</v>
      </c>
      <c r="E87" s="35" t="s">
        <v>412</v>
      </c>
      <c r="F87" s="35" t="s">
        <v>479</v>
      </c>
    </row>
    <row r="88">
      <c r="A88" s="35" t="s">
        <v>506</v>
      </c>
      <c r="B88" s="35" t="s">
        <v>412</v>
      </c>
      <c r="C88" s="35" t="s">
        <v>412</v>
      </c>
      <c r="D88" s="35" t="s">
        <v>412</v>
      </c>
      <c r="E88" s="35" t="s">
        <v>412</v>
      </c>
      <c r="F88" s="35" t="s">
        <v>479</v>
      </c>
    </row>
    <row r="89">
      <c r="A89" s="35" t="s">
        <v>507</v>
      </c>
      <c r="B89" s="35" t="s">
        <v>412</v>
      </c>
      <c r="C89" s="35" t="s">
        <v>412</v>
      </c>
      <c r="D89" s="35" t="s">
        <v>412</v>
      </c>
      <c r="E89" s="35" t="s">
        <v>412</v>
      </c>
      <c r="F89" s="35" t="s">
        <v>479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75"/>
  </cols>
  <sheetData>
    <row r="1">
      <c r="A1" s="75" t="s">
        <v>99</v>
      </c>
      <c r="B1" s="75" t="s">
        <v>508</v>
      </c>
    </row>
    <row r="2">
      <c r="A2" s="83" t="s">
        <v>509</v>
      </c>
      <c r="B2" s="113">
        <f>data_1_sustainable_biogenic_supply</f>
        <v>92.180856</v>
      </c>
    </row>
    <row r="3">
      <c r="A3" s="83" t="s">
        <v>510</v>
      </c>
      <c r="B3" s="113">
        <f>data_1_sustainable_biogenic_supply_50km_away_from_pipelines-data_1_sustainable_biogenic_supply</f>
        <v>-20.080198</v>
      </c>
    </row>
    <row r="4">
      <c r="A4" s="83" t="s">
        <v>511</v>
      </c>
      <c r="B4" s="113">
        <f>data_1_sustainable_biogenic_supply_100km_away_from_pipelines-data_1_sustainable_biogenic_supply_50km_away_from_pipelines</f>
        <v>-9.615991</v>
      </c>
    </row>
    <row r="5">
      <c r="A5" s="62"/>
      <c r="B5" s="62"/>
    </row>
    <row r="6">
      <c r="A6" s="62"/>
      <c r="B6" s="62"/>
    </row>
    <row r="7">
      <c r="A7" s="62"/>
      <c r="B7" s="62"/>
    </row>
    <row r="8">
      <c r="A8" s="62"/>
      <c r="B8" s="62"/>
    </row>
    <row r="9">
      <c r="A9" s="62"/>
      <c r="B9" s="62"/>
    </row>
    <row r="10">
      <c r="A10" s="62"/>
      <c r="B10" s="62"/>
    </row>
    <row r="11">
      <c r="A11" s="62"/>
      <c r="B11" s="62"/>
    </row>
    <row r="12">
      <c r="A12" s="62"/>
      <c r="B12" s="62"/>
    </row>
    <row r="13">
      <c r="A13" s="62"/>
      <c r="B13" s="62"/>
    </row>
    <row r="14">
      <c r="A14" s="62"/>
      <c r="B14" s="62"/>
    </row>
    <row r="15">
      <c r="A15" s="62"/>
      <c r="B15" s="62"/>
    </row>
    <row r="16">
      <c r="A16" s="62"/>
      <c r="B16" s="62"/>
    </row>
    <row r="17">
      <c r="A17" s="62"/>
      <c r="B17" s="62"/>
    </row>
    <row r="18">
      <c r="A18" s="62"/>
      <c r="B18" s="62"/>
    </row>
    <row r="19">
      <c r="A19" s="62"/>
      <c r="B19" s="62"/>
    </row>
    <row r="20">
      <c r="A20" s="62"/>
      <c r="B20" s="62"/>
    </row>
    <row r="21">
      <c r="A21" s="62"/>
      <c r="B21" s="62"/>
    </row>
    <row r="22">
      <c r="A22" s="62"/>
      <c r="B22" s="62"/>
    </row>
    <row r="23">
      <c r="A23" s="62"/>
      <c r="B23" s="62"/>
    </row>
    <row r="24">
      <c r="A24" s="62"/>
      <c r="B24" s="62"/>
    </row>
    <row r="25">
      <c r="A25" s="62"/>
      <c r="B25" s="62"/>
    </row>
    <row r="26">
      <c r="A26" s="62"/>
      <c r="B26" s="62"/>
    </row>
    <row r="27">
      <c r="A27" s="62"/>
      <c r="B27" s="62"/>
    </row>
    <row r="28">
      <c r="A28" s="62"/>
      <c r="B28" s="62"/>
    </row>
    <row r="29">
      <c r="A29" s="62"/>
      <c r="B29" s="62"/>
    </row>
    <row r="30">
      <c r="A30" s="62"/>
      <c r="B30" s="62"/>
    </row>
    <row r="31">
      <c r="A31" s="62"/>
      <c r="B31" s="62"/>
    </row>
    <row r="32">
      <c r="A32" s="62"/>
      <c r="B32" s="62"/>
    </row>
    <row r="33">
      <c r="A33" s="62"/>
      <c r="B33" s="62"/>
    </row>
    <row r="34">
      <c r="A34" s="62"/>
      <c r="B34" s="62"/>
    </row>
    <row r="35">
      <c r="A35" s="62"/>
      <c r="B35" s="62"/>
    </row>
    <row r="36">
      <c r="A36" s="62"/>
      <c r="B36" s="62"/>
    </row>
    <row r="37">
      <c r="A37" s="62"/>
      <c r="B37" s="62"/>
    </row>
    <row r="38">
      <c r="A38" s="62"/>
      <c r="B38" s="62"/>
    </row>
    <row r="39">
      <c r="A39" s="62"/>
      <c r="B39" s="62"/>
    </row>
    <row r="40">
      <c r="A40" s="62"/>
      <c r="B40" s="62"/>
    </row>
    <row r="41">
      <c r="A41" s="62"/>
      <c r="B41" s="62"/>
    </row>
    <row r="42">
      <c r="A42" s="62"/>
      <c r="B42" s="62"/>
    </row>
    <row r="43">
      <c r="A43" s="62"/>
      <c r="B43" s="62"/>
    </row>
    <row r="44">
      <c r="A44" s="62"/>
      <c r="B44" s="62"/>
    </row>
    <row r="45">
      <c r="A45" s="62"/>
      <c r="B45" s="62"/>
    </row>
    <row r="46">
      <c r="A46" s="62"/>
      <c r="B46" s="62"/>
    </row>
    <row r="47">
      <c r="A47" s="62"/>
      <c r="B47" s="62"/>
    </row>
    <row r="48">
      <c r="A48" s="62"/>
      <c r="B48" s="62"/>
    </row>
    <row r="49">
      <c r="A49" s="62"/>
      <c r="B49" s="62"/>
    </row>
    <row r="50">
      <c r="A50" s="62"/>
      <c r="B50" s="62"/>
    </row>
    <row r="51">
      <c r="A51" s="62"/>
      <c r="B51" s="62"/>
    </row>
    <row r="52">
      <c r="A52" s="62"/>
      <c r="B52" s="62"/>
    </row>
    <row r="53">
      <c r="A53" s="62"/>
      <c r="B53" s="62"/>
    </row>
    <row r="54">
      <c r="A54" s="62"/>
      <c r="B54" s="62"/>
    </row>
    <row r="55">
      <c r="A55" s="62"/>
      <c r="B55" s="62"/>
    </row>
    <row r="56">
      <c r="A56" s="62"/>
      <c r="B56" s="62"/>
    </row>
    <row r="57">
      <c r="A57" s="62"/>
      <c r="B57" s="62"/>
    </row>
    <row r="58">
      <c r="A58" s="62"/>
      <c r="B58" s="62"/>
    </row>
    <row r="59">
      <c r="A59" s="62"/>
      <c r="B59" s="62"/>
    </row>
    <row r="60">
      <c r="A60" s="62"/>
      <c r="B60" s="62"/>
    </row>
    <row r="61">
      <c r="A61" s="62"/>
      <c r="B61" s="62"/>
    </row>
    <row r="62">
      <c r="A62" s="62"/>
      <c r="B62" s="62"/>
    </row>
    <row r="63">
      <c r="A63" s="62"/>
      <c r="B63" s="62"/>
    </row>
    <row r="64">
      <c r="A64" s="62"/>
      <c r="B64" s="62"/>
    </row>
    <row r="65">
      <c r="A65" s="62"/>
      <c r="B65" s="62"/>
    </row>
    <row r="66">
      <c r="A66" s="62"/>
      <c r="B66" s="62"/>
    </row>
    <row r="67">
      <c r="A67" s="62"/>
      <c r="B67" s="62"/>
    </row>
    <row r="68">
      <c r="A68" s="62"/>
      <c r="B68" s="62"/>
    </row>
    <row r="69">
      <c r="A69" s="62"/>
      <c r="B69" s="62"/>
    </row>
    <row r="70">
      <c r="A70" s="62"/>
      <c r="B70" s="62"/>
    </row>
    <row r="71">
      <c r="A71" s="62"/>
      <c r="B71" s="62"/>
    </row>
    <row r="72">
      <c r="A72" s="62"/>
      <c r="B72" s="62"/>
    </row>
    <row r="73">
      <c r="A73" s="62"/>
      <c r="B73" s="62"/>
    </row>
    <row r="74">
      <c r="A74" s="62"/>
      <c r="B74" s="62"/>
    </row>
    <row r="75">
      <c r="A75" s="62"/>
      <c r="B75" s="62"/>
    </row>
    <row r="76">
      <c r="A76" s="62"/>
      <c r="B76" s="62"/>
    </row>
    <row r="77">
      <c r="A77" s="62"/>
      <c r="B77" s="62"/>
    </row>
    <row r="78">
      <c r="A78" s="62"/>
      <c r="B78" s="62"/>
    </row>
    <row r="79">
      <c r="A79" s="62"/>
      <c r="B79" s="62"/>
    </row>
    <row r="80">
      <c r="A80" s="62"/>
      <c r="B80" s="62"/>
    </row>
    <row r="81">
      <c r="A81" s="62"/>
      <c r="B81" s="62"/>
    </row>
    <row r="82">
      <c r="A82" s="62"/>
      <c r="B82" s="62"/>
    </row>
    <row r="83">
      <c r="A83" s="62"/>
      <c r="B83" s="62"/>
    </row>
    <row r="84">
      <c r="A84" s="62"/>
      <c r="B84" s="62"/>
    </row>
    <row r="85">
      <c r="A85" s="62"/>
      <c r="B85" s="62"/>
    </row>
    <row r="86">
      <c r="A86" s="62"/>
      <c r="B86" s="62"/>
    </row>
    <row r="87">
      <c r="A87" s="62"/>
      <c r="B87" s="62"/>
    </row>
    <row r="88">
      <c r="A88" s="62"/>
      <c r="B88" s="62"/>
    </row>
    <row r="89">
      <c r="A89" s="62"/>
      <c r="B89" s="62"/>
    </row>
    <row r="90">
      <c r="A90" s="62"/>
      <c r="B90" s="62"/>
    </row>
    <row r="91">
      <c r="A91" s="62"/>
      <c r="B91" s="62"/>
    </row>
    <row r="92">
      <c r="A92" s="62"/>
      <c r="B92" s="62"/>
    </row>
    <row r="93">
      <c r="A93" s="62"/>
      <c r="B93" s="62"/>
    </row>
    <row r="94">
      <c r="A94" s="62"/>
      <c r="B94" s="62"/>
    </row>
    <row r="95">
      <c r="A95" s="62"/>
      <c r="B95" s="62"/>
    </row>
    <row r="96">
      <c r="A96" s="62"/>
      <c r="B96" s="62"/>
    </row>
    <row r="97">
      <c r="A97" s="62"/>
      <c r="B97" s="62"/>
    </row>
    <row r="98">
      <c r="A98" s="62"/>
      <c r="B98" s="62"/>
    </row>
    <row r="99">
      <c r="A99" s="62"/>
      <c r="B99" s="62"/>
    </row>
    <row r="100">
      <c r="A100" s="62"/>
      <c r="B100" s="62"/>
    </row>
    <row r="101">
      <c r="A101" s="62"/>
      <c r="B101" s="62"/>
    </row>
    <row r="102">
      <c r="A102" s="62"/>
      <c r="B102" s="62"/>
    </row>
    <row r="103">
      <c r="A103" s="62"/>
      <c r="B103" s="62"/>
    </row>
    <row r="104">
      <c r="A104" s="62"/>
      <c r="B104" s="62"/>
    </row>
    <row r="105">
      <c r="A105" s="62"/>
      <c r="B105" s="62"/>
    </row>
    <row r="106">
      <c r="A106" s="62"/>
      <c r="B106" s="62"/>
    </row>
    <row r="107">
      <c r="A107" s="62"/>
      <c r="B107" s="62"/>
    </row>
    <row r="108">
      <c r="A108" s="62"/>
      <c r="B108" s="62"/>
    </row>
    <row r="109">
      <c r="A109" s="62"/>
      <c r="B109" s="62"/>
    </row>
    <row r="110">
      <c r="A110" s="62"/>
      <c r="B110" s="62"/>
    </row>
    <row r="111">
      <c r="A111" s="62"/>
      <c r="B111" s="62"/>
    </row>
    <row r="112">
      <c r="A112" s="62"/>
      <c r="B112" s="62"/>
    </row>
    <row r="113">
      <c r="A113" s="62"/>
      <c r="B113" s="62"/>
    </row>
    <row r="114">
      <c r="A114" s="62"/>
      <c r="B114" s="62"/>
    </row>
    <row r="115">
      <c r="A115" s="62"/>
      <c r="B115" s="62"/>
    </row>
    <row r="116">
      <c r="A116" s="62"/>
      <c r="B116" s="62"/>
    </row>
    <row r="117">
      <c r="A117" s="62"/>
      <c r="B117" s="62"/>
    </row>
    <row r="118">
      <c r="A118" s="62"/>
      <c r="B118" s="62"/>
    </row>
    <row r="119">
      <c r="A119" s="62"/>
      <c r="B119" s="62"/>
    </row>
    <row r="120">
      <c r="A120" s="62"/>
      <c r="B120" s="62"/>
    </row>
    <row r="121">
      <c r="A121" s="62"/>
      <c r="B121" s="62"/>
    </row>
    <row r="122">
      <c r="A122" s="62"/>
      <c r="B122" s="62"/>
    </row>
    <row r="123">
      <c r="A123" s="62"/>
      <c r="B123" s="62"/>
    </row>
    <row r="124">
      <c r="A124" s="62"/>
      <c r="B124" s="62"/>
    </row>
    <row r="125">
      <c r="A125" s="62"/>
      <c r="B125" s="62"/>
    </row>
    <row r="126">
      <c r="A126" s="62"/>
      <c r="B126" s="62"/>
    </row>
    <row r="127">
      <c r="A127" s="62"/>
      <c r="B127" s="62"/>
    </row>
    <row r="128">
      <c r="A128" s="62"/>
      <c r="B128" s="62"/>
    </row>
    <row r="129">
      <c r="A129" s="62"/>
      <c r="B129" s="62"/>
    </row>
    <row r="130">
      <c r="A130" s="62"/>
      <c r="B130" s="62"/>
    </row>
    <row r="131">
      <c r="A131" s="62"/>
      <c r="B131" s="62"/>
    </row>
    <row r="132">
      <c r="A132" s="62"/>
      <c r="B132" s="62"/>
    </row>
    <row r="133">
      <c r="A133" s="62"/>
      <c r="B133" s="62"/>
    </row>
    <row r="134">
      <c r="A134" s="62"/>
      <c r="B134" s="62"/>
    </row>
    <row r="135">
      <c r="A135" s="62"/>
      <c r="B135" s="62"/>
    </row>
    <row r="136">
      <c r="A136" s="62"/>
      <c r="B136" s="62"/>
    </row>
    <row r="137">
      <c r="A137" s="62"/>
      <c r="B137" s="62"/>
    </row>
    <row r="138">
      <c r="A138" s="62"/>
      <c r="B138" s="62"/>
    </row>
    <row r="139">
      <c r="A139" s="62"/>
      <c r="B139" s="62"/>
    </row>
    <row r="140">
      <c r="A140" s="62"/>
      <c r="B140" s="62"/>
    </row>
    <row r="141">
      <c r="A141" s="62"/>
      <c r="B141" s="62"/>
    </row>
    <row r="142">
      <c r="A142" s="62"/>
      <c r="B142" s="62"/>
    </row>
    <row r="143">
      <c r="A143" s="62"/>
      <c r="B143" s="62"/>
    </row>
    <row r="144">
      <c r="A144" s="62"/>
      <c r="B144" s="62"/>
    </row>
    <row r="145">
      <c r="A145" s="62"/>
      <c r="B145" s="62"/>
    </row>
    <row r="146">
      <c r="A146" s="62"/>
      <c r="B146" s="62"/>
    </row>
    <row r="147">
      <c r="A147" s="62"/>
      <c r="B147" s="62"/>
    </row>
    <row r="148">
      <c r="A148" s="62"/>
      <c r="B148" s="62"/>
    </row>
    <row r="149">
      <c r="A149" s="62"/>
      <c r="B149" s="62"/>
    </row>
    <row r="150">
      <c r="A150" s="62"/>
      <c r="B150" s="62"/>
    </row>
    <row r="151">
      <c r="A151" s="62"/>
      <c r="B151" s="62"/>
    </row>
    <row r="152">
      <c r="A152" s="62"/>
      <c r="B152" s="62"/>
    </row>
    <row r="153">
      <c r="A153" s="62"/>
      <c r="B153" s="62"/>
    </row>
    <row r="154">
      <c r="A154" s="62"/>
      <c r="B154" s="62"/>
    </row>
    <row r="155">
      <c r="A155" s="62"/>
      <c r="B155" s="62"/>
    </row>
    <row r="156">
      <c r="A156" s="62"/>
      <c r="B156" s="62"/>
    </row>
    <row r="157">
      <c r="A157" s="62"/>
      <c r="B157" s="62"/>
    </row>
    <row r="158">
      <c r="A158" s="62"/>
      <c r="B158" s="62"/>
    </row>
    <row r="159">
      <c r="A159" s="62"/>
      <c r="B159" s="62"/>
    </row>
    <row r="160">
      <c r="A160" s="62"/>
      <c r="B160" s="62"/>
    </row>
    <row r="161">
      <c r="A161" s="62"/>
      <c r="B161" s="62"/>
    </row>
    <row r="162">
      <c r="A162" s="62"/>
      <c r="B162" s="62"/>
    </row>
    <row r="163">
      <c r="A163" s="62"/>
      <c r="B163" s="62"/>
    </row>
    <row r="164">
      <c r="A164" s="62"/>
      <c r="B164" s="62"/>
    </row>
    <row r="165">
      <c r="A165" s="62"/>
      <c r="B165" s="62"/>
    </row>
    <row r="166">
      <c r="A166" s="62"/>
      <c r="B166" s="62"/>
    </row>
    <row r="167">
      <c r="A167" s="62"/>
      <c r="B167" s="62"/>
    </row>
    <row r="168">
      <c r="A168" s="62"/>
      <c r="B168" s="62"/>
    </row>
    <row r="169">
      <c r="A169" s="62"/>
      <c r="B169" s="62"/>
    </row>
    <row r="170">
      <c r="A170" s="62"/>
      <c r="B170" s="62"/>
    </row>
    <row r="171">
      <c r="A171" s="62"/>
      <c r="B171" s="62"/>
    </row>
    <row r="172">
      <c r="A172" s="62"/>
      <c r="B172" s="62"/>
    </row>
    <row r="173">
      <c r="A173" s="62"/>
      <c r="B173" s="62"/>
    </row>
    <row r="174">
      <c r="A174" s="62"/>
      <c r="B174" s="62"/>
    </row>
    <row r="175">
      <c r="A175" s="62"/>
      <c r="B175" s="62"/>
    </row>
    <row r="176">
      <c r="A176" s="62"/>
      <c r="B176" s="62"/>
    </row>
    <row r="177">
      <c r="A177" s="62"/>
      <c r="B177" s="62"/>
    </row>
    <row r="178">
      <c r="A178" s="62"/>
      <c r="B178" s="62"/>
    </row>
    <row r="179">
      <c r="A179" s="62"/>
      <c r="B179" s="62"/>
    </row>
    <row r="180">
      <c r="A180" s="62"/>
      <c r="B180" s="62"/>
    </row>
    <row r="181">
      <c r="A181" s="62"/>
      <c r="B181" s="62"/>
    </row>
    <row r="182">
      <c r="A182" s="62"/>
      <c r="B182" s="62"/>
    </row>
    <row r="183">
      <c r="A183" s="62"/>
      <c r="B183" s="62"/>
    </row>
    <row r="184">
      <c r="A184" s="62"/>
      <c r="B184" s="62"/>
    </row>
    <row r="185">
      <c r="A185" s="62"/>
      <c r="B185" s="62"/>
    </row>
    <row r="186">
      <c r="A186" s="62"/>
      <c r="B186" s="62"/>
    </row>
    <row r="187">
      <c r="A187" s="62"/>
      <c r="B187" s="62"/>
    </row>
    <row r="188">
      <c r="A188" s="62"/>
      <c r="B188" s="62"/>
    </row>
    <row r="189">
      <c r="A189" s="62"/>
      <c r="B189" s="62"/>
    </row>
    <row r="190">
      <c r="A190" s="62"/>
      <c r="B190" s="62"/>
    </row>
    <row r="191">
      <c r="A191" s="62"/>
      <c r="B191" s="62"/>
    </row>
    <row r="192">
      <c r="A192" s="62"/>
      <c r="B192" s="62"/>
    </row>
    <row r="193">
      <c r="A193" s="62"/>
      <c r="B193" s="62"/>
    </row>
    <row r="194">
      <c r="A194" s="62"/>
      <c r="B194" s="62"/>
    </row>
    <row r="195">
      <c r="A195" s="62"/>
      <c r="B195" s="62"/>
    </row>
    <row r="196">
      <c r="A196" s="62"/>
      <c r="B196" s="62"/>
    </row>
    <row r="197">
      <c r="A197" s="62"/>
      <c r="B197" s="62"/>
    </row>
    <row r="198">
      <c r="A198" s="62"/>
      <c r="B198" s="62"/>
    </row>
    <row r="199">
      <c r="A199" s="62"/>
      <c r="B199" s="62"/>
    </row>
    <row r="200">
      <c r="A200" s="62"/>
      <c r="B200" s="62"/>
    </row>
    <row r="201">
      <c r="A201" s="62"/>
      <c r="B201" s="62"/>
    </row>
    <row r="202">
      <c r="A202" s="62"/>
      <c r="B202" s="62"/>
    </row>
    <row r="203">
      <c r="A203" s="62"/>
      <c r="B203" s="62"/>
    </row>
    <row r="204">
      <c r="A204" s="62"/>
      <c r="B204" s="62"/>
    </row>
    <row r="205">
      <c r="A205" s="62"/>
      <c r="B205" s="62"/>
    </row>
    <row r="206">
      <c r="A206" s="62"/>
      <c r="B206" s="62"/>
    </row>
    <row r="207">
      <c r="A207" s="62"/>
      <c r="B207" s="62"/>
    </row>
    <row r="208">
      <c r="A208" s="62"/>
      <c r="B208" s="62"/>
    </row>
    <row r="209">
      <c r="A209" s="62"/>
      <c r="B209" s="62"/>
    </row>
    <row r="210">
      <c r="A210" s="62"/>
      <c r="B210" s="62"/>
    </row>
    <row r="211">
      <c r="A211" s="62"/>
      <c r="B211" s="62"/>
    </row>
    <row r="212">
      <c r="A212" s="62"/>
      <c r="B212" s="62"/>
    </row>
    <row r="213">
      <c r="A213" s="62"/>
      <c r="B213" s="62"/>
    </row>
    <row r="214">
      <c r="A214" s="62"/>
      <c r="B214" s="62"/>
    </row>
    <row r="215">
      <c r="A215" s="62"/>
      <c r="B215" s="62"/>
    </row>
    <row r="216">
      <c r="A216" s="62"/>
      <c r="B216" s="62"/>
    </row>
    <row r="217">
      <c r="A217" s="62"/>
      <c r="B217" s="62"/>
    </row>
    <row r="218">
      <c r="A218" s="62"/>
      <c r="B218" s="62"/>
    </row>
    <row r="219">
      <c r="A219" s="62"/>
      <c r="B219" s="62"/>
    </row>
    <row r="220">
      <c r="A220" s="62"/>
      <c r="B220" s="62"/>
    </row>
    <row r="221">
      <c r="A221" s="62"/>
      <c r="B221" s="62"/>
    </row>
    <row r="222">
      <c r="A222" s="62"/>
      <c r="B222" s="62"/>
    </row>
    <row r="223">
      <c r="A223" s="62"/>
      <c r="B223" s="62"/>
    </row>
    <row r="224">
      <c r="A224" s="62"/>
      <c r="B224" s="62"/>
    </row>
    <row r="225">
      <c r="A225" s="62"/>
      <c r="B225" s="62"/>
    </row>
    <row r="226">
      <c r="A226" s="62"/>
      <c r="B226" s="62"/>
    </row>
    <row r="227">
      <c r="A227" s="62"/>
      <c r="B227" s="62"/>
    </row>
    <row r="228">
      <c r="A228" s="62"/>
      <c r="B228" s="62"/>
    </row>
    <row r="229">
      <c r="A229" s="62"/>
      <c r="B229" s="62"/>
    </row>
    <row r="230">
      <c r="A230" s="62"/>
      <c r="B230" s="62"/>
    </row>
    <row r="231">
      <c r="A231" s="62"/>
      <c r="B231" s="62"/>
    </row>
    <row r="232">
      <c r="A232" s="62"/>
      <c r="B232" s="62"/>
    </row>
    <row r="233">
      <c r="A233" s="62"/>
      <c r="B233" s="62"/>
    </row>
    <row r="234">
      <c r="A234" s="62"/>
      <c r="B234" s="62"/>
    </row>
    <row r="235">
      <c r="A235" s="62"/>
      <c r="B235" s="62"/>
    </row>
    <row r="236">
      <c r="A236" s="62"/>
      <c r="B236" s="62"/>
    </row>
    <row r="237">
      <c r="A237" s="62"/>
      <c r="B237" s="62"/>
    </row>
    <row r="238">
      <c r="A238" s="62"/>
      <c r="B238" s="62"/>
    </row>
    <row r="239">
      <c r="A239" s="62"/>
      <c r="B239" s="62"/>
    </row>
    <row r="240">
      <c r="A240" s="62"/>
      <c r="B240" s="62"/>
    </row>
    <row r="241">
      <c r="A241" s="62"/>
      <c r="B241" s="62"/>
    </row>
    <row r="242">
      <c r="A242" s="62"/>
      <c r="B242" s="62"/>
    </row>
    <row r="243">
      <c r="A243" s="62"/>
      <c r="B243" s="62"/>
    </row>
    <row r="244">
      <c r="A244" s="62"/>
      <c r="B244" s="62"/>
    </row>
    <row r="245">
      <c r="A245" s="62"/>
      <c r="B245" s="62"/>
    </row>
    <row r="246">
      <c r="A246" s="62"/>
      <c r="B246" s="62"/>
    </row>
    <row r="247">
      <c r="A247" s="62"/>
      <c r="B247" s="62"/>
    </row>
    <row r="248">
      <c r="A248" s="62"/>
      <c r="B248" s="62"/>
    </row>
    <row r="249">
      <c r="A249" s="62"/>
      <c r="B249" s="62"/>
    </row>
    <row r="250">
      <c r="A250" s="62"/>
      <c r="B250" s="62"/>
    </row>
    <row r="251">
      <c r="A251" s="62"/>
      <c r="B251" s="62"/>
    </row>
    <row r="252">
      <c r="A252" s="62"/>
      <c r="B252" s="62"/>
    </row>
    <row r="253">
      <c r="A253" s="62"/>
      <c r="B253" s="62"/>
    </row>
    <row r="254">
      <c r="A254" s="62"/>
      <c r="B254" s="62"/>
    </row>
    <row r="255">
      <c r="A255" s="62"/>
      <c r="B255" s="62"/>
    </row>
    <row r="256">
      <c r="A256" s="62"/>
      <c r="B256" s="62"/>
    </row>
    <row r="257">
      <c r="A257" s="62"/>
      <c r="B257" s="62"/>
    </row>
    <row r="258">
      <c r="A258" s="62"/>
      <c r="B258" s="62"/>
    </row>
    <row r="259">
      <c r="A259" s="62"/>
      <c r="B259" s="62"/>
    </row>
    <row r="260">
      <c r="A260" s="62"/>
      <c r="B260" s="62"/>
    </row>
    <row r="261">
      <c r="A261" s="62"/>
      <c r="B261" s="62"/>
    </row>
    <row r="262">
      <c r="A262" s="62"/>
      <c r="B262" s="62"/>
    </row>
    <row r="263">
      <c r="A263" s="62"/>
      <c r="B263" s="62"/>
    </row>
    <row r="264">
      <c r="A264" s="62"/>
      <c r="B264" s="62"/>
    </row>
    <row r="265">
      <c r="A265" s="62"/>
      <c r="B265" s="62"/>
    </row>
    <row r="266">
      <c r="A266" s="62"/>
      <c r="B266" s="62"/>
    </row>
    <row r="267">
      <c r="A267" s="62"/>
      <c r="B267" s="62"/>
    </row>
    <row r="268">
      <c r="A268" s="62"/>
      <c r="B268" s="62"/>
    </row>
    <row r="269">
      <c r="A269" s="62"/>
      <c r="B269" s="62"/>
    </row>
    <row r="270">
      <c r="A270" s="62"/>
      <c r="B270" s="62"/>
    </row>
    <row r="271">
      <c r="A271" s="62"/>
      <c r="B271" s="62"/>
    </row>
    <row r="272">
      <c r="A272" s="62"/>
      <c r="B272" s="62"/>
    </row>
    <row r="273">
      <c r="A273" s="62"/>
      <c r="B273" s="62"/>
    </row>
    <row r="274">
      <c r="A274" s="62"/>
      <c r="B274" s="62"/>
    </row>
    <row r="275">
      <c r="A275" s="62"/>
      <c r="B275" s="62"/>
    </row>
    <row r="276">
      <c r="A276" s="62"/>
      <c r="B276" s="62"/>
    </row>
    <row r="277">
      <c r="A277" s="62"/>
      <c r="B277" s="62"/>
    </row>
    <row r="278">
      <c r="A278" s="62"/>
      <c r="B278" s="62"/>
    </row>
    <row r="279">
      <c r="A279" s="62"/>
      <c r="B279" s="62"/>
    </row>
    <row r="280">
      <c r="A280" s="62"/>
      <c r="B280" s="62"/>
    </row>
    <row r="281">
      <c r="A281" s="62"/>
      <c r="B281" s="62"/>
    </row>
    <row r="282">
      <c r="A282" s="62"/>
      <c r="B282" s="62"/>
    </row>
    <row r="283">
      <c r="A283" s="62"/>
      <c r="B283" s="62"/>
    </row>
    <row r="284">
      <c r="A284" s="62"/>
      <c r="B284" s="62"/>
    </row>
    <row r="285">
      <c r="A285" s="62"/>
      <c r="B285" s="62"/>
    </row>
    <row r="286">
      <c r="A286" s="62"/>
      <c r="B286" s="62"/>
    </row>
    <row r="287">
      <c r="A287" s="62"/>
      <c r="B287" s="62"/>
    </row>
    <row r="288">
      <c r="A288" s="62"/>
      <c r="B288" s="62"/>
    </row>
    <row r="289">
      <c r="A289" s="62"/>
      <c r="B289" s="62"/>
    </row>
    <row r="290">
      <c r="A290" s="62"/>
      <c r="B290" s="62"/>
    </row>
    <row r="291">
      <c r="A291" s="62"/>
      <c r="B291" s="62"/>
    </row>
    <row r="292">
      <c r="A292" s="62"/>
      <c r="B292" s="62"/>
    </row>
    <row r="293">
      <c r="A293" s="62"/>
      <c r="B293" s="62"/>
    </row>
    <row r="294">
      <c r="A294" s="62"/>
      <c r="B294" s="62"/>
    </row>
    <row r="295">
      <c r="A295" s="62"/>
      <c r="B295" s="62"/>
    </row>
    <row r="296">
      <c r="A296" s="62"/>
      <c r="B296" s="62"/>
    </row>
    <row r="297">
      <c r="A297" s="62"/>
      <c r="B297" s="62"/>
    </row>
    <row r="298">
      <c r="A298" s="62"/>
      <c r="B298" s="62"/>
    </row>
    <row r="299">
      <c r="A299" s="62"/>
      <c r="B299" s="62"/>
    </row>
    <row r="300">
      <c r="A300" s="62"/>
      <c r="B300" s="62"/>
    </row>
    <row r="301">
      <c r="A301" s="62"/>
      <c r="B301" s="62"/>
    </row>
    <row r="302">
      <c r="A302" s="62"/>
      <c r="B302" s="62"/>
    </row>
    <row r="303">
      <c r="A303" s="62"/>
      <c r="B303" s="62"/>
    </row>
    <row r="304">
      <c r="A304" s="62"/>
      <c r="B304" s="62"/>
    </row>
    <row r="305">
      <c r="A305" s="62"/>
      <c r="B305" s="62"/>
    </row>
    <row r="306">
      <c r="A306" s="62"/>
      <c r="B306" s="62"/>
    </row>
    <row r="307">
      <c r="A307" s="62"/>
      <c r="B307" s="62"/>
    </row>
    <row r="308">
      <c r="A308" s="62"/>
      <c r="B308" s="62"/>
    </row>
    <row r="309">
      <c r="A309" s="62"/>
      <c r="B309" s="62"/>
    </row>
    <row r="310">
      <c r="A310" s="62"/>
      <c r="B310" s="62"/>
    </row>
    <row r="311">
      <c r="A311" s="62"/>
      <c r="B311" s="62"/>
    </row>
    <row r="312">
      <c r="A312" s="62"/>
      <c r="B312" s="62"/>
    </row>
    <row r="313">
      <c r="A313" s="62"/>
      <c r="B313" s="62"/>
    </row>
    <row r="314">
      <c r="A314" s="62"/>
      <c r="B314" s="62"/>
    </row>
    <row r="315">
      <c r="A315" s="62"/>
      <c r="B315" s="62"/>
    </row>
    <row r="316">
      <c r="A316" s="62"/>
      <c r="B316" s="62"/>
    </row>
    <row r="317">
      <c r="A317" s="62"/>
      <c r="B317" s="62"/>
    </row>
    <row r="318">
      <c r="A318" s="62"/>
      <c r="B318" s="62"/>
    </row>
    <row r="319">
      <c r="A319" s="62"/>
      <c r="B319" s="62"/>
    </row>
    <row r="320">
      <c r="A320" s="62"/>
      <c r="B320" s="62"/>
    </row>
    <row r="321">
      <c r="A321" s="62"/>
      <c r="B321" s="62"/>
    </row>
    <row r="322">
      <c r="A322" s="62"/>
      <c r="B322" s="62"/>
    </row>
    <row r="323">
      <c r="A323" s="62"/>
      <c r="B323" s="62"/>
    </row>
    <row r="324">
      <c r="A324" s="62"/>
      <c r="B324" s="62"/>
    </row>
    <row r="325">
      <c r="A325" s="62"/>
      <c r="B325" s="62"/>
    </row>
    <row r="326">
      <c r="A326" s="62"/>
      <c r="B326" s="62"/>
    </row>
    <row r="327">
      <c r="A327" s="62"/>
      <c r="B327" s="62"/>
    </row>
    <row r="328">
      <c r="A328" s="62"/>
      <c r="B328" s="62"/>
    </row>
    <row r="329">
      <c r="A329" s="62"/>
      <c r="B329" s="62"/>
    </row>
    <row r="330">
      <c r="A330" s="62"/>
      <c r="B330" s="62"/>
    </row>
    <row r="331">
      <c r="A331" s="62"/>
      <c r="B331" s="62"/>
    </row>
    <row r="332">
      <c r="A332" s="62"/>
      <c r="B332" s="62"/>
    </row>
    <row r="333">
      <c r="A333" s="62"/>
      <c r="B333" s="62"/>
    </row>
    <row r="334">
      <c r="A334" s="62"/>
      <c r="B334" s="62"/>
    </row>
    <row r="335">
      <c r="A335" s="62"/>
      <c r="B335" s="62"/>
    </row>
    <row r="336">
      <c r="A336" s="62"/>
      <c r="B336" s="62"/>
    </row>
    <row r="337">
      <c r="A337" s="62"/>
      <c r="B337" s="62"/>
    </row>
    <row r="338">
      <c r="A338" s="62"/>
      <c r="B338" s="62"/>
    </row>
    <row r="339">
      <c r="A339" s="62"/>
      <c r="B339" s="62"/>
    </row>
    <row r="340">
      <c r="A340" s="62"/>
      <c r="B340" s="62"/>
    </row>
    <row r="341">
      <c r="A341" s="62"/>
      <c r="B341" s="62"/>
    </row>
    <row r="342">
      <c r="A342" s="62"/>
      <c r="B342" s="62"/>
    </row>
    <row r="343">
      <c r="A343" s="62"/>
      <c r="B343" s="62"/>
    </row>
    <row r="344">
      <c r="A344" s="62"/>
      <c r="B344" s="62"/>
    </row>
    <row r="345">
      <c r="A345" s="62"/>
      <c r="B345" s="62"/>
    </row>
    <row r="346">
      <c r="A346" s="62"/>
      <c r="B346" s="62"/>
    </row>
    <row r="347">
      <c r="A347" s="62"/>
      <c r="B347" s="62"/>
    </row>
    <row r="348">
      <c r="A348" s="62"/>
      <c r="B348" s="62"/>
    </row>
    <row r="349">
      <c r="A349" s="62"/>
      <c r="B349" s="62"/>
    </row>
    <row r="350">
      <c r="A350" s="62"/>
      <c r="B350" s="62"/>
    </row>
    <row r="351">
      <c r="A351" s="62"/>
      <c r="B351" s="62"/>
    </row>
    <row r="352">
      <c r="A352" s="62"/>
      <c r="B352" s="62"/>
    </row>
    <row r="353">
      <c r="A353" s="62"/>
      <c r="B353" s="62"/>
    </row>
    <row r="354">
      <c r="A354" s="62"/>
      <c r="B354" s="62"/>
    </row>
    <row r="355">
      <c r="A355" s="62"/>
      <c r="B355" s="62"/>
    </row>
    <row r="356">
      <c r="A356" s="62"/>
      <c r="B356" s="62"/>
    </row>
    <row r="357">
      <c r="A357" s="62"/>
      <c r="B357" s="62"/>
    </row>
    <row r="358">
      <c r="A358" s="62"/>
      <c r="B358" s="62"/>
    </row>
    <row r="359">
      <c r="A359" s="62"/>
      <c r="B359" s="62"/>
    </row>
    <row r="360">
      <c r="A360" s="62"/>
      <c r="B360" s="62"/>
    </row>
    <row r="361">
      <c r="A361" s="62"/>
      <c r="B361" s="62"/>
    </row>
    <row r="362">
      <c r="A362" s="62"/>
      <c r="B362" s="62"/>
    </row>
    <row r="363">
      <c r="A363" s="62"/>
      <c r="B363" s="62"/>
    </row>
    <row r="364">
      <c r="A364" s="62"/>
      <c r="B364" s="62"/>
    </row>
    <row r="365">
      <c r="A365" s="62"/>
      <c r="B365" s="62"/>
    </row>
    <row r="366">
      <c r="A366" s="62"/>
      <c r="B366" s="62"/>
    </row>
    <row r="367">
      <c r="A367" s="62"/>
      <c r="B367" s="62"/>
    </row>
    <row r="368">
      <c r="A368" s="62"/>
      <c r="B368" s="62"/>
    </row>
    <row r="369">
      <c r="A369" s="62"/>
      <c r="B369" s="62"/>
    </row>
    <row r="370">
      <c r="A370" s="62"/>
      <c r="B370" s="62"/>
    </row>
    <row r="371">
      <c r="A371" s="62"/>
      <c r="B371" s="62"/>
    </row>
    <row r="372">
      <c r="A372" s="62"/>
      <c r="B372" s="62"/>
    </row>
    <row r="373">
      <c r="A373" s="62"/>
      <c r="B373" s="62"/>
    </row>
    <row r="374">
      <c r="A374" s="62"/>
      <c r="B374" s="62"/>
    </row>
    <row r="375">
      <c r="A375" s="62"/>
      <c r="B375" s="62"/>
    </row>
    <row r="376">
      <c r="A376" s="62"/>
      <c r="B376" s="62"/>
    </row>
    <row r="377">
      <c r="A377" s="62"/>
      <c r="B377" s="62"/>
    </row>
    <row r="378">
      <c r="A378" s="62"/>
      <c r="B378" s="62"/>
    </row>
    <row r="379">
      <c r="A379" s="62"/>
      <c r="B379" s="62"/>
    </row>
    <row r="380">
      <c r="A380" s="62"/>
      <c r="B380" s="62"/>
    </row>
    <row r="381">
      <c r="A381" s="62"/>
      <c r="B381" s="62"/>
    </row>
    <row r="382">
      <c r="A382" s="62"/>
      <c r="B382" s="62"/>
    </row>
    <row r="383">
      <c r="A383" s="62"/>
      <c r="B383" s="62"/>
    </row>
    <row r="384">
      <c r="A384" s="62"/>
      <c r="B384" s="62"/>
    </row>
    <row r="385">
      <c r="A385" s="62"/>
      <c r="B385" s="62"/>
    </row>
    <row r="386">
      <c r="A386" s="62"/>
      <c r="B386" s="62"/>
    </row>
    <row r="387">
      <c r="A387" s="62"/>
      <c r="B387" s="62"/>
    </row>
    <row r="388">
      <c r="A388" s="62"/>
      <c r="B388" s="62"/>
    </row>
    <row r="389">
      <c r="A389" s="62"/>
      <c r="B389" s="62"/>
    </row>
    <row r="390">
      <c r="A390" s="62"/>
      <c r="B390" s="62"/>
    </row>
    <row r="391">
      <c r="A391" s="62"/>
      <c r="B391" s="62"/>
    </row>
    <row r="392">
      <c r="A392" s="62"/>
      <c r="B392" s="62"/>
    </row>
    <row r="393">
      <c r="A393" s="62"/>
      <c r="B393" s="62"/>
    </row>
    <row r="394">
      <c r="A394" s="62"/>
      <c r="B394" s="62"/>
    </row>
    <row r="395">
      <c r="A395" s="62"/>
      <c r="B395" s="62"/>
    </row>
    <row r="396">
      <c r="A396" s="62"/>
      <c r="B396" s="62"/>
    </row>
    <row r="397">
      <c r="A397" s="62"/>
      <c r="B397" s="62"/>
    </row>
    <row r="398">
      <c r="A398" s="62"/>
      <c r="B398" s="62"/>
    </row>
    <row r="399">
      <c r="A399" s="62"/>
      <c r="B399" s="62"/>
    </row>
    <row r="400">
      <c r="A400" s="62"/>
      <c r="B400" s="62"/>
    </row>
    <row r="401">
      <c r="A401" s="62"/>
      <c r="B401" s="62"/>
    </row>
    <row r="402">
      <c r="A402" s="62"/>
      <c r="B402" s="62"/>
    </row>
    <row r="403">
      <c r="A403" s="62"/>
      <c r="B403" s="62"/>
    </row>
    <row r="404">
      <c r="A404" s="62"/>
      <c r="B404" s="62"/>
    </row>
    <row r="405">
      <c r="A405" s="62"/>
      <c r="B405" s="62"/>
    </row>
    <row r="406">
      <c r="A406" s="62"/>
      <c r="B406" s="62"/>
    </row>
    <row r="407">
      <c r="A407" s="62"/>
      <c r="B407" s="62"/>
    </row>
    <row r="408">
      <c r="A408" s="62"/>
      <c r="B408" s="62"/>
    </row>
    <row r="409">
      <c r="A409" s="62"/>
      <c r="B409" s="62"/>
    </row>
    <row r="410">
      <c r="A410" s="62"/>
      <c r="B410" s="62"/>
    </row>
    <row r="411">
      <c r="A411" s="62"/>
      <c r="B411" s="62"/>
    </row>
    <row r="412">
      <c r="A412" s="62"/>
      <c r="B412" s="62"/>
    </row>
    <row r="413">
      <c r="A413" s="62"/>
      <c r="B413" s="62"/>
    </row>
    <row r="414">
      <c r="A414" s="62"/>
      <c r="B414" s="62"/>
    </row>
    <row r="415">
      <c r="A415" s="62"/>
      <c r="B415" s="62"/>
    </row>
    <row r="416">
      <c r="A416" s="62"/>
      <c r="B416" s="62"/>
    </row>
    <row r="417">
      <c r="A417" s="62"/>
      <c r="B417" s="62"/>
    </row>
    <row r="418">
      <c r="A418" s="62"/>
      <c r="B418" s="62"/>
    </row>
    <row r="419">
      <c r="A419" s="62"/>
      <c r="B419" s="62"/>
    </row>
    <row r="420">
      <c r="A420" s="62"/>
      <c r="B420" s="62"/>
    </row>
    <row r="421">
      <c r="A421" s="62"/>
      <c r="B421" s="62"/>
    </row>
    <row r="422">
      <c r="A422" s="62"/>
      <c r="B422" s="62"/>
    </row>
    <row r="423">
      <c r="A423" s="62"/>
      <c r="B423" s="62"/>
    </row>
    <row r="424">
      <c r="A424" s="62"/>
      <c r="B424" s="62"/>
    </row>
    <row r="425">
      <c r="A425" s="62"/>
      <c r="B425" s="62"/>
    </row>
    <row r="426">
      <c r="A426" s="62"/>
      <c r="B426" s="62"/>
    </row>
    <row r="427">
      <c r="A427" s="62"/>
      <c r="B427" s="62"/>
    </row>
    <row r="428">
      <c r="A428" s="62"/>
      <c r="B428" s="62"/>
    </row>
    <row r="429">
      <c r="A429" s="62"/>
      <c r="B429" s="62"/>
    </row>
    <row r="430">
      <c r="A430" s="62"/>
      <c r="B430" s="62"/>
    </row>
    <row r="431">
      <c r="A431" s="62"/>
      <c r="B431" s="62"/>
    </row>
    <row r="432">
      <c r="A432" s="62"/>
      <c r="B432" s="62"/>
    </row>
    <row r="433">
      <c r="A433" s="62"/>
      <c r="B433" s="62"/>
    </row>
    <row r="434">
      <c r="A434" s="62"/>
      <c r="B434" s="62"/>
    </row>
    <row r="435">
      <c r="A435" s="62"/>
      <c r="B435" s="62"/>
    </row>
    <row r="436">
      <c r="A436" s="62"/>
      <c r="B436" s="62"/>
    </row>
    <row r="437">
      <c r="A437" s="62"/>
      <c r="B437" s="62"/>
    </row>
    <row r="438">
      <c r="A438" s="62"/>
      <c r="B438" s="62"/>
    </row>
    <row r="439">
      <c r="A439" s="62"/>
      <c r="B439" s="62"/>
    </row>
    <row r="440">
      <c r="A440" s="62"/>
      <c r="B440" s="62"/>
    </row>
    <row r="441">
      <c r="A441" s="62"/>
      <c r="B441" s="62"/>
    </row>
    <row r="442">
      <c r="A442" s="62"/>
      <c r="B442" s="62"/>
    </row>
    <row r="443">
      <c r="A443" s="62"/>
      <c r="B443" s="62"/>
    </row>
    <row r="444">
      <c r="A444" s="62"/>
      <c r="B444" s="62"/>
    </row>
    <row r="445">
      <c r="A445" s="62"/>
      <c r="B445" s="62"/>
    </row>
    <row r="446">
      <c r="A446" s="62"/>
      <c r="B446" s="62"/>
    </row>
    <row r="447">
      <c r="A447" s="62"/>
      <c r="B447" s="62"/>
    </row>
    <row r="448">
      <c r="A448" s="62"/>
      <c r="B448" s="62"/>
    </row>
    <row r="449">
      <c r="A449" s="62"/>
      <c r="B449" s="62"/>
    </row>
    <row r="450">
      <c r="A450" s="62"/>
      <c r="B450" s="62"/>
    </row>
    <row r="451">
      <c r="A451" s="62"/>
      <c r="B451" s="62"/>
    </row>
    <row r="452">
      <c r="A452" s="62"/>
      <c r="B452" s="62"/>
    </row>
    <row r="453">
      <c r="A453" s="62"/>
      <c r="B453" s="62"/>
    </row>
    <row r="454">
      <c r="A454" s="62"/>
      <c r="B454" s="62"/>
    </row>
    <row r="455">
      <c r="A455" s="62"/>
      <c r="B455" s="62"/>
    </row>
    <row r="456">
      <c r="A456" s="62"/>
      <c r="B456" s="62"/>
    </row>
    <row r="457">
      <c r="A457" s="62"/>
      <c r="B457" s="62"/>
    </row>
    <row r="458">
      <c r="A458" s="62"/>
      <c r="B458" s="62"/>
    </row>
    <row r="459">
      <c r="A459" s="62"/>
      <c r="B459" s="62"/>
    </row>
    <row r="460">
      <c r="A460" s="62"/>
      <c r="B460" s="62"/>
    </row>
    <row r="461">
      <c r="A461" s="62"/>
      <c r="B461" s="62"/>
    </row>
    <row r="462">
      <c r="A462" s="62"/>
      <c r="B462" s="62"/>
    </row>
    <row r="463">
      <c r="A463" s="62"/>
      <c r="B463" s="62"/>
    </row>
    <row r="464">
      <c r="A464" s="62"/>
      <c r="B464" s="62"/>
    </row>
    <row r="465">
      <c r="A465" s="62"/>
      <c r="B465" s="62"/>
    </row>
    <row r="466">
      <c r="A466" s="62"/>
      <c r="B466" s="62"/>
    </row>
    <row r="467">
      <c r="A467" s="62"/>
      <c r="B467" s="62"/>
    </row>
    <row r="468">
      <c r="A468" s="62"/>
      <c r="B468" s="62"/>
    </row>
    <row r="469">
      <c r="A469" s="62"/>
      <c r="B469" s="62"/>
    </row>
    <row r="470">
      <c r="A470" s="62"/>
      <c r="B470" s="62"/>
    </row>
    <row r="471">
      <c r="A471" s="62"/>
      <c r="B471" s="62"/>
    </row>
    <row r="472">
      <c r="A472" s="62"/>
      <c r="B472" s="62"/>
    </row>
    <row r="473">
      <c r="A473" s="62"/>
      <c r="B473" s="62"/>
    </row>
    <row r="474">
      <c r="A474" s="62"/>
      <c r="B474" s="62"/>
    </row>
    <row r="475">
      <c r="A475" s="62"/>
      <c r="B475" s="62"/>
    </row>
    <row r="476">
      <c r="A476" s="62"/>
      <c r="B476" s="62"/>
    </row>
    <row r="477">
      <c r="A477" s="62"/>
      <c r="B477" s="62"/>
    </row>
    <row r="478">
      <c r="A478" s="62"/>
      <c r="B478" s="62"/>
    </row>
    <row r="479">
      <c r="A479" s="62"/>
      <c r="B479" s="62"/>
    </row>
    <row r="480">
      <c r="A480" s="62"/>
      <c r="B480" s="62"/>
    </row>
    <row r="481">
      <c r="A481" s="62"/>
      <c r="B481" s="62"/>
    </row>
    <row r="482">
      <c r="A482" s="62"/>
      <c r="B482" s="62"/>
    </row>
    <row r="483">
      <c r="A483" s="62"/>
      <c r="B483" s="62"/>
    </row>
    <row r="484">
      <c r="A484" s="62"/>
      <c r="B484" s="62"/>
    </row>
    <row r="485">
      <c r="A485" s="62"/>
      <c r="B485" s="62"/>
    </row>
    <row r="486">
      <c r="A486" s="62"/>
      <c r="B486" s="62"/>
    </row>
    <row r="487">
      <c r="A487" s="62"/>
      <c r="B487" s="62"/>
    </row>
    <row r="488">
      <c r="A488" s="62"/>
      <c r="B488" s="62"/>
    </row>
    <row r="489">
      <c r="A489" s="62"/>
      <c r="B489" s="62"/>
    </row>
    <row r="490">
      <c r="A490" s="62"/>
      <c r="B490" s="62"/>
    </row>
    <row r="491">
      <c r="A491" s="62"/>
      <c r="B491" s="62"/>
    </row>
    <row r="492">
      <c r="A492" s="62"/>
      <c r="B492" s="62"/>
    </row>
    <row r="493">
      <c r="A493" s="62"/>
      <c r="B493" s="62"/>
    </row>
    <row r="494">
      <c r="A494" s="62"/>
      <c r="B494" s="62"/>
    </row>
    <row r="495">
      <c r="A495" s="62"/>
      <c r="B495" s="62"/>
    </row>
    <row r="496">
      <c r="A496" s="62"/>
      <c r="B496" s="62"/>
    </row>
    <row r="497">
      <c r="A497" s="62"/>
      <c r="B497" s="62"/>
    </row>
    <row r="498">
      <c r="A498" s="62"/>
      <c r="B498" s="62"/>
    </row>
    <row r="499">
      <c r="A499" s="62"/>
      <c r="B499" s="62"/>
    </row>
    <row r="500">
      <c r="A500" s="62"/>
      <c r="B500" s="62"/>
    </row>
    <row r="501">
      <c r="A501" s="62"/>
      <c r="B501" s="62"/>
    </row>
    <row r="502">
      <c r="A502" s="62"/>
      <c r="B502" s="62"/>
    </row>
    <row r="503">
      <c r="A503" s="62"/>
      <c r="B503" s="62"/>
    </row>
    <row r="504">
      <c r="A504" s="62"/>
      <c r="B504" s="62"/>
    </row>
    <row r="505">
      <c r="A505" s="62"/>
      <c r="B505" s="62"/>
    </row>
    <row r="506">
      <c r="A506" s="62"/>
      <c r="B506" s="62"/>
    </row>
    <row r="507">
      <c r="A507" s="62"/>
      <c r="B507" s="62"/>
    </row>
    <row r="508">
      <c r="A508" s="62"/>
      <c r="B508" s="62"/>
    </row>
    <row r="509">
      <c r="A509" s="62"/>
      <c r="B509" s="62"/>
    </row>
    <row r="510">
      <c r="A510" s="62"/>
      <c r="B510" s="62"/>
    </row>
    <row r="511">
      <c r="A511" s="62"/>
      <c r="B511" s="62"/>
    </row>
    <row r="512">
      <c r="A512" s="62"/>
      <c r="B512" s="62"/>
    </row>
    <row r="513">
      <c r="A513" s="62"/>
      <c r="B513" s="62"/>
    </row>
    <row r="514">
      <c r="A514" s="62"/>
      <c r="B514" s="62"/>
    </row>
    <row r="515">
      <c r="A515" s="62"/>
      <c r="B515" s="62"/>
    </row>
    <row r="516">
      <c r="A516" s="62"/>
      <c r="B516" s="62"/>
    </row>
    <row r="517">
      <c r="A517" s="62"/>
      <c r="B517" s="62"/>
    </row>
    <row r="518">
      <c r="A518" s="62"/>
      <c r="B518" s="62"/>
    </row>
    <row r="519">
      <c r="A519" s="62"/>
      <c r="B519" s="62"/>
    </row>
    <row r="520">
      <c r="A520" s="62"/>
      <c r="B520" s="62"/>
    </row>
    <row r="521">
      <c r="A521" s="62"/>
      <c r="B521" s="62"/>
    </row>
    <row r="522">
      <c r="A522" s="62"/>
      <c r="B522" s="62"/>
    </row>
    <row r="523">
      <c r="A523" s="62"/>
      <c r="B523" s="62"/>
    </row>
    <row r="524">
      <c r="A524" s="62"/>
      <c r="B524" s="62"/>
    </row>
    <row r="525">
      <c r="A525" s="62"/>
      <c r="B525" s="62"/>
    </row>
    <row r="526">
      <c r="A526" s="62"/>
      <c r="B526" s="62"/>
    </row>
    <row r="527">
      <c r="A527" s="62"/>
      <c r="B527" s="62"/>
    </row>
    <row r="528">
      <c r="A528" s="62"/>
      <c r="B528" s="62"/>
    </row>
    <row r="529">
      <c r="A529" s="62"/>
      <c r="B529" s="62"/>
    </row>
    <row r="530">
      <c r="A530" s="62"/>
      <c r="B530" s="62"/>
    </row>
    <row r="531">
      <c r="A531" s="62"/>
      <c r="B531" s="62"/>
    </row>
    <row r="532">
      <c r="A532" s="62"/>
      <c r="B532" s="62"/>
    </row>
    <row r="533">
      <c r="A533" s="62"/>
      <c r="B533" s="62"/>
    </row>
    <row r="534">
      <c r="A534" s="62"/>
      <c r="B534" s="62"/>
    </row>
    <row r="535">
      <c r="A535" s="62"/>
      <c r="B535" s="62"/>
    </row>
    <row r="536">
      <c r="A536" s="62"/>
      <c r="B536" s="62"/>
    </row>
    <row r="537">
      <c r="A537" s="62"/>
      <c r="B537" s="62"/>
    </row>
    <row r="538">
      <c r="A538" s="62"/>
      <c r="B538" s="62"/>
    </row>
    <row r="539">
      <c r="A539" s="62"/>
      <c r="B539" s="62"/>
    </row>
    <row r="540">
      <c r="A540" s="62"/>
      <c r="B540" s="62"/>
    </row>
    <row r="541">
      <c r="A541" s="62"/>
      <c r="B541" s="62"/>
    </row>
    <row r="542">
      <c r="A542" s="62"/>
      <c r="B542" s="62"/>
    </row>
    <row r="543">
      <c r="A543" s="62"/>
      <c r="B543" s="62"/>
    </row>
    <row r="544">
      <c r="A544" s="62"/>
      <c r="B544" s="62"/>
    </row>
    <row r="545">
      <c r="A545" s="62"/>
      <c r="B545" s="62"/>
    </row>
    <row r="546">
      <c r="A546" s="62"/>
      <c r="B546" s="62"/>
    </row>
    <row r="547">
      <c r="A547" s="62"/>
      <c r="B547" s="62"/>
    </row>
    <row r="548">
      <c r="A548" s="62"/>
      <c r="B548" s="62"/>
    </row>
    <row r="549">
      <c r="A549" s="62"/>
      <c r="B549" s="62"/>
    </row>
    <row r="550">
      <c r="A550" s="62"/>
      <c r="B550" s="62"/>
    </row>
    <row r="551">
      <c r="A551" s="62"/>
      <c r="B551" s="62"/>
    </row>
    <row r="552">
      <c r="A552" s="62"/>
      <c r="B552" s="62"/>
    </row>
    <row r="553">
      <c r="A553" s="62"/>
      <c r="B553" s="62"/>
    </row>
    <row r="554">
      <c r="A554" s="62"/>
      <c r="B554" s="62"/>
    </row>
    <row r="555">
      <c r="A555" s="62"/>
      <c r="B555" s="62"/>
    </row>
    <row r="556">
      <c r="A556" s="62"/>
      <c r="B556" s="62"/>
    </row>
    <row r="557">
      <c r="A557" s="62"/>
      <c r="B557" s="62"/>
    </row>
    <row r="558">
      <c r="A558" s="62"/>
      <c r="B558" s="62"/>
    </row>
    <row r="559">
      <c r="A559" s="62"/>
      <c r="B559" s="62"/>
    </row>
    <row r="560">
      <c r="A560" s="62"/>
      <c r="B560" s="62"/>
    </row>
    <row r="561">
      <c r="A561" s="62"/>
      <c r="B561" s="62"/>
    </row>
    <row r="562">
      <c r="A562" s="62"/>
      <c r="B562" s="62"/>
    </row>
    <row r="563">
      <c r="A563" s="62"/>
      <c r="B563" s="62"/>
    </row>
    <row r="564">
      <c r="A564" s="62"/>
      <c r="B564" s="62"/>
    </row>
    <row r="565">
      <c r="A565" s="62"/>
      <c r="B565" s="62"/>
    </row>
    <row r="566">
      <c r="A566" s="62"/>
      <c r="B566" s="62"/>
    </row>
    <row r="567">
      <c r="A567" s="62"/>
      <c r="B567" s="62"/>
    </row>
    <row r="568">
      <c r="A568" s="62"/>
      <c r="B568" s="62"/>
    </row>
    <row r="569">
      <c r="A569" s="62"/>
      <c r="B569" s="62"/>
    </row>
    <row r="570">
      <c r="A570" s="62"/>
      <c r="B570" s="62"/>
    </row>
    <row r="571">
      <c r="A571" s="62"/>
      <c r="B571" s="62"/>
    </row>
    <row r="572">
      <c r="A572" s="62"/>
      <c r="B572" s="62"/>
    </row>
    <row r="573">
      <c r="A573" s="62"/>
      <c r="B573" s="62"/>
    </row>
    <row r="574">
      <c r="A574" s="62"/>
      <c r="B574" s="62"/>
    </row>
    <row r="575">
      <c r="A575" s="62"/>
      <c r="B575" s="62"/>
    </row>
    <row r="576">
      <c r="A576" s="62"/>
      <c r="B576" s="62"/>
    </row>
    <row r="577">
      <c r="A577" s="62"/>
      <c r="B577" s="62"/>
    </row>
    <row r="578">
      <c r="A578" s="62"/>
      <c r="B578" s="62"/>
    </row>
    <row r="579">
      <c r="A579" s="62"/>
      <c r="B579" s="62"/>
    </row>
    <row r="580">
      <c r="A580" s="62"/>
      <c r="B580" s="62"/>
    </row>
    <row r="581">
      <c r="A581" s="62"/>
      <c r="B581" s="62"/>
    </row>
    <row r="582">
      <c r="A582" s="62"/>
      <c r="B582" s="62"/>
    </row>
    <row r="583">
      <c r="A583" s="62"/>
      <c r="B583" s="62"/>
    </row>
    <row r="584">
      <c r="A584" s="62"/>
      <c r="B584" s="62"/>
    </row>
    <row r="585">
      <c r="A585" s="62"/>
      <c r="B585" s="62"/>
    </row>
    <row r="586">
      <c r="A586" s="62"/>
      <c r="B586" s="62"/>
    </row>
    <row r="587">
      <c r="A587" s="62"/>
      <c r="B587" s="62"/>
    </row>
    <row r="588">
      <c r="A588" s="62"/>
      <c r="B588" s="62"/>
    </row>
    <row r="589">
      <c r="A589" s="62"/>
      <c r="B589" s="62"/>
    </row>
    <row r="590">
      <c r="A590" s="62"/>
      <c r="B590" s="62"/>
    </row>
    <row r="591">
      <c r="A591" s="62"/>
      <c r="B591" s="62"/>
    </row>
    <row r="592">
      <c r="A592" s="62"/>
      <c r="B592" s="62"/>
    </row>
    <row r="593">
      <c r="A593" s="62"/>
      <c r="B593" s="62"/>
    </row>
    <row r="594">
      <c r="A594" s="62"/>
      <c r="B594" s="62"/>
    </row>
    <row r="595">
      <c r="A595" s="62"/>
      <c r="B595" s="62"/>
    </row>
    <row r="596">
      <c r="A596" s="62"/>
      <c r="B596" s="62"/>
    </row>
    <row r="597">
      <c r="A597" s="62"/>
      <c r="B597" s="62"/>
    </row>
    <row r="598">
      <c r="A598" s="62"/>
      <c r="B598" s="62"/>
    </row>
    <row r="599">
      <c r="A599" s="62"/>
      <c r="B599" s="62"/>
    </row>
    <row r="600">
      <c r="A600" s="62"/>
      <c r="B600" s="62"/>
    </row>
    <row r="601">
      <c r="A601" s="62"/>
      <c r="B601" s="62"/>
    </row>
    <row r="602">
      <c r="A602" s="62"/>
      <c r="B602" s="62"/>
    </row>
    <row r="603">
      <c r="A603" s="62"/>
      <c r="B603" s="62"/>
    </row>
    <row r="604">
      <c r="A604" s="62"/>
      <c r="B604" s="62"/>
    </row>
    <row r="605">
      <c r="A605" s="62"/>
      <c r="B605" s="62"/>
    </row>
    <row r="606">
      <c r="A606" s="62"/>
      <c r="B606" s="62"/>
    </row>
    <row r="607">
      <c r="A607" s="62"/>
      <c r="B607" s="62"/>
    </row>
    <row r="608">
      <c r="A608" s="62"/>
      <c r="B608" s="62"/>
    </row>
    <row r="609">
      <c r="A609" s="62"/>
      <c r="B609" s="62"/>
    </row>
    <row r="610">
      <c r="A610" s="62"/>
      <c r="B610" s="62"/>
    </row>
    <row r="611">
      <c r="A611" s="62"/>
      <c r="B611" s="62"/>
    </row>
    <row r="612">
      <c r="A612" s="62"/>
      <c r="B612" s="62"/>
    </row>
    <row r="613">
      <c r="A613" s="62"/>
      <c r="B613" s="62"/>
    </row>
    <row r="614">
      <c r="A614" s="62"/>
      <c r="B614" s="62"/>
    </row>
    <row r="615">
      <c r="A615" s="62"/>
      <c r="B615" s="62"/>
    </row>
    <row r="616">
      <c r="A616" s="62"/>
      <c r="B616" s="62"/>
    </row>
    <row r="617">
      <c r="A617" s="62"/>
      <c r="B617" s="62"/>
    </row>
    <row r="618">
      <c r="A618" s="62"/>
      <c r="B618" s="62"/>
    </row>
    <row r="619">
      <c r="A619" s="62"/>
      <c r="B619" s="62"/>
    </row>
    <row r="620">
      <c r="A620" s="62"/>
      <c r="B620" s="62"/>
    </row>
    <row r="621">
      <c r="A621" s="62"/>
      <c r="B621" s="62"/>
    </row>
    <row r="622">
      <c r="A622" s="62"/>
      <c r="B622" s="62"/>
    </row>
    <row r="623">
      <c r="A623" s="62"/>
      <c r="B623" s="62"/>
    </row>
    <row r="624">
      <c r="A624" s="62"/>
      <c r="B624" s="62"/>
    </row>
    <row r="625">
      <c r="A625" s="62"/>
      <c r="B625" s="62"/>
    </row>
    <row r="626">
      <c r="A626" s="62"/>
      <c r="B626" s="62"/>
    </row>
    <row r="627">
      <c r="A627" s="62"/>
      <c r="B627" s="62"/>
    </row>
    <row r="628">
      <c r="A628" s="62"/>
      <c r="B628" s="62"/>
    </row>
    <row r="629">
      <c r="A629" s="62"/>
      <c r="B629" s="62"/>
    </row>
    <row r="630">
      <c r="A630" s="62"/>
      <c r="B630" s="62"/>
    </row>
    <row r="631">
      <c r="A631" s="62"/>
      <c r="B631" s="62"/>
    </row>
    <row r="632">
      <c r="A632" s="62"/>
      <c r="B632" s="62"/>
    </row>
    <row r="633">
      <c r="A633" s="62"/>
      <c r="B633" s="62"/>
    </row>
    <row r="634">
      <c r="A634" s="62"/>
      <c r="B634" s="62"/>
    </row>
    <row r="635">
      <c r="A635" s="62"/>
      <c r="B635" s="62"/>
    </row>
    <row r="636">
      <c r="A636" s="62"/>
      <c r="B636" s="62"/>
    </row>
    <row r="637">
      <c r="A637" s="62"/>
      <c r="B637" s="62"/>
    </row>
    <row r="638">
      <c r="A638" s="62"/>
      <c r="B638" s="62"/>
    </row>
    <row r="639">
      <c r="A639" s="62"/>
      <c r="B639" s="62"/>
    </row>
    <row r="640">
      <c r="A640" s="62"/>
      <c r="B640" s="62"/>
    </row>
    <row r="641">
      <c r="A641" s="62"/>
      <c r="B641" s="62"/>
    </row>
    <row r="642">
      <c r="A642" s="62"/>
      <c r="B642" s="62"/>
    </row>
    <row r="643">
      <c r="A643" s="62"/>
      <c r="B643" s="62"/>
    </row>
    <row r="644">
      <c r="A644" s="62"/>
      <c r="B644" s="62"/>
    </row>
    <row r="645">
      <c r="A645" s="62"/>
      <c r="B645" s="62"/>
    </row>
    <row r="646">
      <c r="A646" s="62"/>
      <c r="B646" s="62"/>
    </row>
    <row r="647">
      <c r="A647" s="62"/>
      <c r="B647" s="62"/>
    </row>
    <row r="648">
      <c r="A648" s="62"/>
      <c r="B648" s="62"/>
    </row>
    <row r="649">
      <c r="A649" s="62"/>
      <c r="B649" s="62"/>
    </row>
    <row r="650">
      <c r="A650" s="62"/>
      <c r="B650" s="62"/>
    </row>
    <row r="651">
      <c r="A651" s="62"/>
      <c r="B651" s="62"/>
    </row>
    <row r="652">
      <c r="A652" s="62"/>
      <c r="B652" s="62"/>
    </row>
    <row r="653">
      <c r="A653" s="62"/>
      <c r="B653" s="62"/>
    </row>
    <row r="654">
      <c r="A654" s="62"/>
      <c r="B654" s="62"/>
    </row>
    <row r="655">
      <c r="A655" s="62"/>
      <c r="B655" s="62"/>
    </row>
    <row r="656">
      <c r="A656" s="62"/>
      <c r="B656" s="62"/>
    </row>
    <row r="657">
      <c r="A657" s="62"/>
      <c r="B657" s="62"/>
    </row>
    <row r="658">
      <c r="A658" s="62"/>
      <c r="B658" s="62"/>
    </row>
    <row r="659">
      <c r="A659" s="62"/>
      <c r="B659" s="62"/>
    </row>
    <row r="660">
      <c r="A660" s="62"/>
      <c r="B660" s="62"/>
    </row>
    <row r="661">
      <c r="A661" s="62"/>
      <c r="B661" s="62"/>
    </row>
    <row r="662">
      <c r="A662" s="62"/>
      <c r="B662" s="62"/>
    </row>
    <row r="663">
      <c r="A663" s="62"/>
      <c r="B663" s="62"/>
    </row>
    <row r="664">
      <c r="A664" s="62"/>
      <c r="B664" s="62"/>
    </row>
    <row r="665">
      <c r="A665" s="62"/>
      <c r="B665" s="62"/>
    </row>
    <row r="666">
      <c r="A666" s="62"/>
      <c r="B666" s="62"/>
    </row>
    <row r="667">
      <c r="A667" s="62"/>
      <c r="B667" s="62"/>
    </row>
    <row r="668">
      <c r="A668" s="62"/>
      <c r="B668" s="62"/>
    </row>
    <row r="669">
      <c r="A669" s="62"/>
      <c r="B669" s="62"/>
    </row>
    <row r="670">
      <c r="A670" s="62"/>
      <c r="B670" s="62"/>
    </row>
    <row r="671">
      <c r="A671" s="62"/>
      <c r="B671" s="62"/>
    </row>
    <row r="672">
      <c r="A672" s="62"/>
      <c r="B672" s="62"/>
    </row>
    <row r="673">
      <c r="A673" s="62"/>
      <c r="B673" s="62"/>
    </row>
    <row r="674">
      <c r="A674" s="62"/>
      <c r="B674" s="62"/>
    </row>
    <row r="675">
      <c r="A675" s="62"/>
      <c r="B675" s="62"/>
    </row>
    <row r="676">
      <c r="A676" s="62"/>
      <c r="B676" s="62"/>
    </row>
    <row r="677">
      <c r="A677" s="62"/>
      <c r="B677" s="62"/>
    </row>
    <row r="678">
      <c r="A678" s="62"/>
      <c r="B678" s="62"/>
    </row>
    <row r="679">
      <c r="A679" s="62"/>
      <c r="B679" s="62"/>
    </row>
    <row r="680">
      <c r="A680" s="62"/>
      <c r="B680" s="62"/>
    </row>
    <row r="681">
      <c r="A681" s="62"/>
      <c r="B681" s="62"/>
    </row>
    <row r="682">
      <c r="A682" s="62"/>
      <c r="B682" s="62"/>
    </row>
    <row r="683">
      <c r="A683" s="62"/>
      <c r="B683" s="62"/>
    </row>
    <row r="684">
      <c r="A684" s="62"/>
      <c r="B684" s="62"/>
    </row>
    <row r="685">
      <c r="A685" s="62"/>
      <c r="B685" s="62"/>
    </row>
    <row r="686">
      <c r="A686" s="62"/>
      <c r="B686" s="62"/>
    </row>
    <row r="687">
      <c r="A687" s="62"/>
      <c r="B687" s="62"/>
    </row>
    <row r="688">
      <c r="A688" s="62"/>
      <c r="B688" s="62"/>
    </row>
    <row r="689">
      <c r="A689" s="62"/>
      <c r="B689" s="62"/>
    </row>
    <row r="690">
      <c r="A690" s="62"/>
      <c r="B690" s="62"/>
    </row>
    <row r="691">
      <c r="A691" s="62"/>
      <c r="B691" s="62"/>
    </row>
    <row r="692">
      <c r="A692" s="62"/>
      <c r="B692" s="62"/>
    </row>
    <row r="693">
      <c r="A693" s="62"/>
      <c r="B693" s="62"/>
    </row>
    <row r="694">
      <c r="A694" s="62"/>
      <c r="B694" s="62"/>
    </row>
    <row r="695">
      <c r="A695" s="62"/>
      <c r="B695" s="62"/>
    </row>
    <row r="696">
      <c r="A696" s="62"/>
      <c r="B696" s="62"/>
    </row>
    <row r="697">
      <c r="A697" s="62"/>
      <c r="B697" s="62"/>
    </row>
    <row r="698">
      <c r="A698" s="62"/>
      <c r="B698" s="62"/>
    </row>
    <row r="699">
      <c r="A699" s="62"/>
      <c r="B699" s="62"/>
    </row>
    <row r="700">
      <c r="A700" s="62"/>
      <c r="B700" s="62"/>
    </row>
    <row r="701">
      <c r="A701" s="62"/>
      <c r="B701" s="62"/>
    </row>
    <row r="702">
      <c r="A702" s="62"/>
      <c r="B702" s="62"/>
    </row>
    <row r="703">
      <c r="A703" s="62"/>
      <c r="B703" s="62"/>
    </row>
    <row r="704">
      <c r="A704" s="62"/>
      <c r="B704" s="62"/>
    </row>
    <row r="705">
      <c r="A705" s="62"/>
      <c r="B705" s="62"/>
    </row>
    <row r="706">
      <c r="A706" s="62"/>
      <c r="B706" s="62"/>
    </row>
    <row r="707">
      <c r="A707" s="62"/>
      <c r="B707" s="62"/>
    </row>
    <row r="708">
      <c r="A708" s="62"/>
      <c r="B708" s="62"/>
    </row>
    <row r="709">
      <c r="A709" s="62"/>
      <c r="B709" s="62"/>
    </row>
    <row r="710">
      <c r="A710" s="62"/>
      <c r="B710" s="62"/>
    </row>
    <row r="711">
      <c r="A711" s="62"/>
      <c r="B711" s="62"/>
    </row>
    <row r="712">
      <c r="A712" s="62"/>
      <c r="B712" s="62"/>
    </row>
    <row r="713">
      <c r="A713" s="62"/>
      <c r="B713" s="62"/>
    </row>
    <row r="714">
      <c r="A714" s="62"/>
      <c r="B714" s="62"/>
    </row>
    <row r="715">
      <c r="A715" s="62"/>
      <c r="B715" s="62"/>
    </row>
    <row r="716">
      <c r="A716" s="62"/>
      <c r="B716" s="62"/>
    </row>
    <row r="717">
      <c r="A717" s="62"/>
      <c r="B717" s="62"/>
    </row>
    <row r="718">
      <c r="A718" s="62"/>
      <c r="B718" s="62"/>
    </row>
    <row r="719">
      <c r="A719" s="62"/>
      <c r="B719" s="62"/>
    </row>
    <row r="720">
      <c r="A720" s="62"/>
      <c r="B720" s="62"/>
    </row>
    <row r="721">
      <c r="A721" s="62"/>
      <c r="B721" s="62"/>
    </row>
    <row r="722">
      <c r="A722" s="62"/>
      <c r="B722" s="62"/>
    </row>
    <row r="723">
      <c r="A723" s="62"/>
      <c r="B723" s="62"/>
    </row>
    <row r="724">
      <c r="A724" s="62"/>
      <c r="B724" s="62"/>
    </row>
    <row r="725">
      <c r="A725" s="62"/>
      <c r="B725" s="62"/>
    </row>
    <row r="726">
      <c r="A726" s="62"/>
      <c r="B726" s="62"/>
    </row>
    <row r="727">
      <c r="A727" s="62"/>
      <c r="B727" s="62"/>
    </row>
    <row r="728">
      <c r="A728" s="62"/>
      <c r="B728" s="62"/>
    </row>
    <row r="729">
      <c r="A729" s="62"/>
      <c r="B729" s="62"/>
    </row>
    <row r="730">
      <c r="A730" s="62"/>
      <c r="B730" s="62"/>
    </row>
    <row r="731">
      <c r="A731" s="62"/>
      <c r="B731" s="62"/>
    </row>
    <row r="732">
      <c r="A732" s="62"/>
      <c r="B732" s="62"/>
    </row>
    <row r="733">
      <c r="A733" s="62"/>
      <c r="B733" s="62"/>
    </row>
    <row r="734">
      <c r="A734" s="62"/>
      <c r="B734" s="62"/>
    </row>
    <row r="735">
      <c r="A735" s="62"/>
      <c r="B735" s="62"/>
    </row>
    <row r="736">
      <c r="A736" s="62"/>
      <c r="B736" s="62"/>
    </row>
    <row r="737">
      <c r="A737" s="62"/>
      <c r="B737" s="62"/>
    </row>
    <row r="738">
      <c r="A738" s="62"/>
      <c r="B738" s="62"/>
    </row>
    <row r="739">
      <c r="A739" s="62"/>
      <c r="B739" s="62"/>
    </row>
    <row r="740">
      <c r="A740" s="62"/>
      <c r="B740" s="62"/>
    </row>
    <row r="741">
      <c r="A741" s="62"/>
      <c r="B741" s="62"/>
    </row>
    <row r="742">
      <c r="A742" s="62"/>
      <c r="B742" s="62"/>
    </row>
    <row r="743">
      <c r="A743" s="62"/>
      <c r="B743" s="62"/>
    </row>
    <row r="744">
      <c r="A744" s="62"/>
      <c r="B744" s="62"/>
    </row>
    <row r="745">
      <c r="A745" s="62"/>
      <c r="B745" s="62"/>
    </row>
    <row r="746">
      <c r="A746" s="62"/>
      <c r="B746" s="62"/>
    </row>
    <row r="747">
      <c r="A747" s="62"/>
      <c r="B747" s="62"/>
    </row>
    <row r="748">
      <c r="A748" s="62"/>
      <c r="B748" s="62"/>
    </row>
    <row r="749">
      <c r="A749" s="62"/>
      <c r="B749" s="62"/>
    </row>
    <row r="750">
      <c r="A750" s="62"/>
      <c r="B750" s="62"/>
    </row>
    <row r="751">
      <c r="A751" s="62"/>
      <c r="B751" s="62"/>
    </row>
    <row r="752">
      <c r="A752" s="62"/>
      <c r="B752" s="62"/>
    </row>
    <row r="753">
      <c r="A753" s="62"/>
      <c r="B753" s="62"/>
    </row>
    <row r="754">
      <c r="A754" s="62"/>
      <c r="B754" s="62"/>
    </row>
    <row r="755">
      <c r="A755" s="62"/>
      <c r="B755" s="62"/>
    </row>
    <row r="756">
      <c r="A756" s="62"/>
      <c r="B756" s="62"/>
    </row>
    <row r="757">
      <c r="A757" s="62"/>
      <c r="B757" s="62"/>
    </row>
    <row r="758">
      <c r="A758" s="62"/>
      <c r="B758" s="62"/>
    </row>
    <row r="759">
      <c r="A759" s="62"/>
      <c r="B759" s="62"/>
    </row>
    <row r="760">
      <c r="A760" s="62"/>
      <c r="B760" s="62"/>
    </row>
    <row r="761">
      <c r="A761" s="62"/>
      <c r="B761" s="62"/>
    </row>
    <row r="762">
      <c r="A762" s="62"/>
      <c r="B762" s="62"/>
    </row>
    <row r="763">
      <c r="A763" s="62"/>
      <c r="B763" s="62"/>
    </row>
    <row r="764">
      <c r="A764" s="62"/>
      <c r="B764" s="62"/>
    </row>
    <row r="765">
      <c r="A765" s="62"/>
      <c r="B765" s="62"/>
    </row>
    <row r="766">
      <c r="A766" s="62"/>
      <c r="B766" s="62"/>
    </row>
    <row r="767">
      <c r="A767" s="62"/>
      <c r="B767" s="62"/>
    </row>
    <row r="768">
      <c r="A768" s="62"/>
      <c r="B768" s="62"/>
    </row>
    <row r="769">
      <c r="A769" s="62"/>
      <c r="B769" s="62"/>
    </row>
    <row r="770">
      <c r="A770" s="62"/>
      <c r="B770" s="62"/>
    </row>
    <row r="771">
      <c r="A771" s="62"/>
      <c r="B771" s="62"/>
    </row>
    <row r="772">
      <c r="A772" s="62"/>
      <c r="B772" s="62"/>
    </row>
    <row r="773">
      <c r="A773" s="62"/>
      <c r="B773" s="62"/>
    </row>
    <row r="774">
      <c r="A774" s="62"/>
      <c r="B774" s="62"/>
    </row>
    <row r="775">
      <c r="A775" s="62"/>
      <c r="B775" s="62"/>
    </row>
    <row r="776">
      <c r="A776" s="62"/>
      <c r="B776" s="62"/>
    </row>
    <row r="777">
      <c r="A777" s="62"/>
      <c r="B777" s="62"/>
    </row>
    <row r="778">
      <c r="A778" s="62"/>
      <c r="B778" s="62"/>
    </row>
    <row r="779">
      <c r="A779" s="62"/>
      <c r="B779" s="62"/>
    </row>
    <row r="780">
      <c r="A780" s="62"/>
      <c r="B780" s="62"/>
    </row>
    <row r="781">
      <c r="A781" s="62"/>
      <c r="B781" s="62"/>
    </row>
    <row r="782">
      <c r="A782" s="62"/>
      <c r="B782" s="62"/>
    </row>
    <row r="783">
      <c r="A783" s="62"/>
      <c r="B783" s="62"/>
    </row>
    <row r="784">
      <c r="A784" s="62"/>
      <c r="B784" s="62"/>
    </row>
    <row r="785">
      <c r="A785" s="62"/>
      <c r="B785" s="62"/>
    </row>
    <row r="786">
      <c r="A786" s="62"/>
      <c r="B786" s="62"/>
    </row>
    <row r="787">
      <c r="A787" s="62"/>
      <c r="B787" s="62"/>
    </row>
    <row r="788">
      <c r="A788" s="62"/>
      <c r="B788" s="62"/>
    </row>
    <row r="789">
      <c r="A789" s="62"/>
      <c r="B789" s="62"/>
    </row>
    <row r="790">
      <c r="A790" s="62"/>
      <c r="B790" s="62"/>
    </row>
    <row r="791">
      <c r="A791" s="62"/>
      <c r="B791" s="62"/>
    </row>
    <row r="792">
      <c r="A792" s="62"/>
      <c r="B792" s="62"/>
    </row>
    <row r="793">
      <c r="A793" s="62"/>
      <c r="B793" s="62"/>
    </row>
    <row r="794">
      <c r="A794" s="62"/>
      <c r="B794" s="62"/>
    </row>
    <row r="795">
      <c r="A795" s="62"/>
      <c r="B795" s="62"/>
    </row>
    <row r="796">
      <c r="A796" s="62"/>
      <c r="B796" s="62"/>
    </row>
    <row r="797">
      <c r="A797" s="62"/>
      <c r="B797" s="62"/>
    </row>
    <row r="798">
      <c r="A798" s="62"/>
      <c r="B798" s="62"/>
    </row>
    <row r="799">
      <c r="A799" s="62"/>
      <c r="B799" s="62"/>
    </row>
    <row r="800">
      <c r="A800" s="62"/>
      <c r="B800" s="62"/>
    </row>
    <row r="801">
      <c r="A801" s="62"/>
      <c r="B801" s="62"/>
    </row>
    <row r="802">
      <c r="A802" s="62"/>
      <c r="B802" s="62"/>
    </row>
    <row r="803">
      <c r="A803" s="62"/>
      <c r="B803" s="62"/>
    </row>
    <row r="804">
      <c r="A804" s="62"/>
      <c r="B804" s="62"/>
    </row>
    <row r="805">
      <c r="A805" s="62"/>
      <c r="B805" s="62"/>
    </row>
    <row r="806">
      <c r="A806" s="62"/>
      <c r="B806" s="62"/>
    </row>
    <row r="807">
      <c r="A807" s="62"/>
      <c r="B807" s="62"/>
    </row>
    <row r="808">
      <c r="A808" s="62"/>
      <c r="B808" s="62"/>
    </row>
    <row r="809">
      <c r="A809" s="62"/>
      <c r="B809" s="62"/>
    </row>
    <row r="810">
      <c r="A810" s="62"/>
      <c r="B810" s="62"/>
    </row>
    <row r="811">
      <c r="A811" s="62"/>
      <c r="B811" s="62"/>
    </row>
    <row r="812">
      <c r="A812" s="62"/>
      <c r="B812" s="62"/>
    </row>
    <row r="813">
      <c r="A813" s="62"/>
      <c r="B813" s="62"/>
    </row>
    <row r="814">
      <c r="A814" s="62"/>
      <c r="B814" s="62"/>
    </row>
    <row r="815">
      <c r="A815" s="62"/>
      <c r="B815" s="62"/>
    </row>
    <row r="816">
      <c r="A816" s="62"/>
      <c r="B816" s="62"/>
    </row>
    <row r="817">
      <c r="A817" s="62"/>
      <c r="B817" s="62"/>
    </row>
    <row r="818">
      <c r="A818" s="62"/>
      <c r="B818" s="62"/>
    </row>
    <row r="819">
      <c r="A819" s="62"/>
      <c r="B819" s="62"/>
    </row>
    <row r="820">
      <c r="A820" s="62"/>
      <c r="B820" s="62"/>
    </row>
    <row r="821">
      <c r="A821" s="62"/>
      <c r="B821" s="62"/>
    </row>
    <row r="822">
      <c r="A822" s="62"/>
      <c r="B822" s="62"/>
    </row>
    <row r="823">
      <c r="A823" s="62"/>
      <c r="B823" s="62"/>
    </row>
    <row r="824">
      <c r="A824" s="62"/>
      <c r="B824" s="62"/>
    </row>
    <row r="825">
      <c r="A825" s="62"/>
      <c r="B825" s="62"/>
    </row>
    <row r="826">
      <c r="A826" s="62"/>
      <c r="B826" s="62"/>
    </row>
    <row r="827">
      <c r="A827" s="62"/>
      <c r="B827" s="62"/>
    </row>
    <row r="828">
      <c r="A828" s="62"/>
      <c r="B828" s="62"/>
    </row>
    <row r="829">
      <c r="A829" s="62"/>
      <c r="B829" s="62"/>
    </row>
    <row r="830">
      <c r="A830" s="62"/>
      <c r="B830" s="62"/>
    </row>
    <row r="831">
      <c r="A831" s="62"/>
      <c r="B831" s="62"/>
    </row>
    <row r="832">
      <c r="A832" s="62"/>
      <c r="B832" s="62"/>
    </row>
    <row r="833">
      <c r="A833" s="62"/>
      <c r="B833" s="62"/>
    </row>
    <row r="834">
      <c r="A834" s="62"/>
      <c r="B834" s="62"/>
    </row>
    <row r="835">
      <c r="A835" s="62"/>
      <c r="B835" s="62"/>
    </row>
    <row r="836">
      <c r="A836" s="62"/>
      <c r="B836" s="62"/>
    </row>
    <row r="837">
      <c r="A837" s="62"/>
      <c r="B837" s="62"/>
    </row>
    <row r="838">
      <c r="A838" s="62"/>
      <c r="B838" s="62"/>
    </row>
    <row r="839">
      <c r="A839" s="62"/>
      <c r="B839" s="62"/>
    </row>
    <row r="840">
      <c r="A840" s="62"/>
      <c r="B840" s="62"/>
    </row>
    <row r="841">
      <c r="A841" s="62"/>
      <c r="B841" s="62"/>
    </row>
    <row r="842">
      <c r="A842" s="62"/>
      <c r="B842" s="62"/>
    </row>
    <row r="843">
      <c r="A843" s="62"/>
      <c r="B843" s="62"/>
    </row>
    <row r="844">
      <c r="A844" s="62"/>
      <c r="B844" s="62"/>
    </row>
    <row r="845">
      <c r="A845" s="62"/>
      <c r="B845" s="62"/>
    </row>
    <row r="846">
      <c r="A846" s="62"/>
      <c r="B846" s="62"/>
    </row>
    <row r="847">
      <c r="A847" s="62"/>
      <c r="B847" s="62"/>
    </row>
    <row r="848">
      <c r="A848" s="62"/>
      <c r="B848" s="62"/>
    </row>
    <row r="849">
      <c r="A849" s="62"/>
      <c r="B849" s="62"/>
    </row>
    <row r="850">
      <c r="A850" s="62"/>
      <c r="B850" s="62"/>
    </row>
    <row r="851">
      <c r="A851" s="62"/>
      <c r="B851" s="62"/>
    </row>
    <row r="852">
      <c r="A852" s="62"/>
      <c r="B852" s="62"/>
    </row>
    <row r="853">
      <c r="A853" s="62"/>
      <c r="B853" s="62"/>
    </row>
    <row r="854">
      <c r="A854" s="62"/>
      <c r="B854" s="62"/>
    </row>
    <row r="855">
      <c r="A855" s="62"/>
      <c r="B855" s="62"/>
    </row>
    <row r="856">
      <c r="A856" s="62"/>
      <c r="B856" s="62"/>
    </row>
    <row r="857">
      <c r="A857" s="62"/>
      <c r="B857" s="62"/>
    </row>
    <row r="858">
      <c r="A858" s="62"/>
      <c r="B858" s="62"/>
    </row>
    <row r="859">
      <c r="A859" s="62"/>
      <c r="B859" s="62"/>
    </row>
    <row r="860">
      <c r="A860" s="62"/>
      <c r="B860" s="62"/>
    </row>
    <row r="861">
      <c r="A861" s="62"/>
      <c r="B861" s="62"/>
    </row>
    <row r="862">
      <c r="A862" s="62"/>
      <c r="B862" s="62"/>
    </row>
    <row r="863">
      <c r="A863" s="62"/>
      <c r="B863" s="62"/>
    </row>
    <row r="864">
      <c r="A864" s="62"/>
      <c r="B864" s="62"/>
    </row>
    <row r="865">
      <c r="A865" s="62"/>
      <c r="B865" s="62"/>
    </row>
    <row r="866">
      <c r="A866" s="62"/>
      <c r="B866" s="62"/>
    </row>
    <row r="867">
      <c r="A867" s="62"/>
      <c r="B867" s="62"/>
    </row>
    <row r="868">
      <c r="A868" s="62"/>
      <c r="B868" s="62"/>
    </row>
    <row r="869">
      <c r="A869" s="62"/>
      <c r="B869" s="62"/>
    </row>
    <row r="870">
      <c r="A870" s="62"/>
      <c r="B870" s="62"/>
    </row>
    <row r="871">
      <c r="A871" s="62"/>
      <c r="B871" s="62"/>
    </row>
    <row r="872">
      <c r="A872" s="62"/>
      <c r="B872" s="62"/>
    </row>
    <row r="873">
      <c r="A873" s="62"/>
      <c r="B873" s="62"/>
    </row>
    <row r="874">
      <c r="A874" s="62"/>
      <c r="B874" s="62"/>
    </row>
    <row r="875">
      <c r="A875" s="62"/>
      <c r="B875" s="62"/>
    </row>
    <row r="876">
      <c r="A876" s="62"/>
      <c r="B876" s="62"/>
    </row>
    <row r="877">
      <c r="A877" s="62"/>
      <c r="B877" s="62"/>
    </row>
    <row r="878">
      <c r="A878" s="62"/>
      <c r="B878" s="62"/>
    </row>
    <row r="879">
      <c r="A879" s="62"/>
      <c r="B879" s="62"/>
    </row>
    <row r="880">
      <c r="A880" s="62"/>
      <c r="B880" s="62"/>
    </row>
    <row r="881">
      <c r="A881" s="62"/>
      <c r="B881" s="62"/>
    </row>
    <row r="882">
      <c r="A882" s="62"/>
      <c r="B882" s="62"/>
    </row>
    <row r="883">
      <c r="A883" s="62"/>
      <c r="B883" s="62"/>
    </row>
    <row r="884">
      <c r="A884" s="62"/>
      <c r="B884" s="62"/>
    </row>
    <row r="885">
      <c r="A885" s="62"/>
      <c r="B885" s="62"/>
    </row>
    <row r="886">
      <c r="A886" s="62"/>
      <c r="B886" s="62"/>
    </row>
    <row r="887">
      <c r="A887" s="62"/>
      <c r="B887" s="62"/>
    </row>
    <row r="888">
      <c r="A888" s="62"/>
      <c r="B888" s="62"/>
    </row>
    <row r="889">
      <c r="A889" s="62"/>
      <c r="B889" s="62"/>
    </row>
    <row r="890">
      <c r="A890" s="62"/>
      <c r="B890" s="62"/>
    </row>
    <row r="891">
      <c r="A891" s="62"/>
      <c r="B891" s="62"/>
    </row>
    <row r="892">
      <c r="A892" s="62"/>
      <c r="B892" s="62"/>
    </row>
    <row r="893">
      <c r="A893" s="62"/>
      <c r="B893" s="62"/>
    </row>
    <row r="894">
      <c r="A894" s="62"/>
      <c r="B894" s="62"/>
    </row>
    <row r="895">
      <c r="A895" s="62"/>
      <c r="B895" s="62"/>
    </row>
    <row r="896">
      <c r="A896" s="62"/>
      <c r="B896" s="62"/>
    </row>
    <row r="897">
      <c r="A897" s="62"/>
      <c r="B897" s="62"/>
    </row>
    <row r="898">
      <c r="A898" s="62"/>
      <c r="B898" s="62"/>
    </row>
    <row r="899">
      <c r="A899" s="62"/>
      <c r="B899" s="62"/>
    </row>
    <row r="900">
      <c r="A900" s="62"/>
      <c r="B900" s="62"/>
    </row>
    <row r="901">
      <c r="A901" s="62"/>
      <c r="B901" s="62"/>
    </row>
    <row r="902">
      <c r="A902" s="62"/>
      <c r="B902" s="62"/>
    </row>
    <row r="903">
      <c r="A903" s="62"/>
      <c r="B903" s="62"/>
    </row>
    <row r="904">
      <c r="A904" s="62"/>
      <c r="B904" s="62"/>
    </row>
    <row r="905">
      <c r="A905" s="62"/>
      <c r="B905" s="62"/>
    </row>
    <row r="906">
      <c r="A906" s="62"/>
      <c r="B906" s="62"/>
    </row>
    <row r="907">
      <c r="A907" s="62"/>
      <c r="B907" s="62"/>
    </row>
    <row r="908">
      <c r="A908" s="62"/>
      <c r="B908" s="62"/>
    </row>
    <row r="909">
      <c r="A909" s="62"/>
      <c r="B909" s="62"/>
    </row>
    <row r="910">
      <c r="A910" s="62"/>
      <c r="B910" s="62"/>
    </row>
    <row r="911">
      <c r="A911" s="62"/>
      <c r="B911" s="62"/>
    </row>
    <row r="912">
      <c r="A912" s="62"/>
      <c r="B912" s="62"/>
    </row>
    <row r="913">
      <c r="A913" s="62"/>
      <c r="B913" s="62"/>
    </row>
    <row r="914">
      <c r="A914" s="62"/>
      <c r="B914" s="62"/>
    </row>
    <row r="915">
      <c r="A915" s="62"/>
      <c r="B915" s="62"/>
    </row>
    <row r="916">
      <c r="A916" s="62"/>
      <c r="B916" s="62"/>
    </row>
    <row r="917">
      <c r="A917" s="62"/>
      <c r="B917" s="62"/>
    </row>
    <row r="918">
      <c r="A918" s="62"/>
      <c r="B918" s="62"/>
    </row>
    <row r="919">
      <c r="A919" s="62"/>
      <c r="B919" s="62"/>
    </row>
    <row r="920">
      <c r="A920" s="62"/>
      <c r="B920" s="62"/>
    </row>
    <row r="921">
      <c r="A921" s="62"/>
      <c r="B921" s="62"/>
    </row>
    <row r="922">
      <c r="A922" s="62"/>
      <c r="B922" s="62"/>
    </row>
    <row r="923">
      <c r="A923" s="62"/>
      <c r="B923" s="62"/>
    </row>
    <row r="924">
      <c r="A924" s="62"/>
      <c r="B924" s="62"/>
    </row>
    <row r="925">
      <c r="A925" s="62"/>
      <c r="B925" s="62"/>
    </row>
    <row r="926">
      <c r="A926" s="62"/>
      <c r="B926" s="62"/>
    </row>
    <row r="927">
      <c r="A927" s="62"/>
      <c r="B927" s="62"/>
    </row>
    <row r="928">
      <c r="A928" s="62"/>
      <c r="B928" s="62"/>
    </row>
    <row r="929">
      <c r="A929" s="62"/>
      <c r="B929" s="62"/>
    </row>
    <row r="930">
      <c r="A930" s="62"/>
      <c r="B930" s="62"/>
    </row>
    <row r="931">
      <c r="A931" s="62"/>
      <c r="B931" s="62"/>
    </row>
    <row r="932">
      <c r="A932" s="62"/>
      <c r="B932" s="62"/>
    </row>
    <row r="933">
      <c r="A933" s="62"/>
      <c r="B933" s="62"/>
    </row>
    <row r="934">
      <c r="A934" s="62"/>
      <c r="B934" s="62"/>
    </row>
    <row r="935">
      <c r="A935" s="62"/>
      <c r="B935" s="62"/>
    </row>
    <row r="936">
      <c r="A936" s="62"/>
      <c r="B936" s="62"/>
    </row>
    <row r="937">
      <c r="A937" s="62"/>
      <c r="B937" s="62"/>
    </row>
    <row r="938">
      <c r="A938" s="62"/>
      <c r="B938" s="62"/>
    </row>
    <row r="939">
      <c r="A939" s="62"/>
      <c r="B939" s="62"/>
    </row>
    <row r="940">
      <c r="A940" s="62"/>
      <c r="B940" s="62"/>
    </row>
    <row r="941">
      <c r="A941" s="62"/>
      <c r="B941" s="62"/>
    </row>
    <row r="942">
      <c r="A942" s="62"/>
      <c r="B942" s="62"/>
    </row>
    <row r="943">
      <c r="A943" s="62"/>
      <c r="B943" s="62"/>
    </row>
    <row r="944">
      <c r="A944" s="62"/>
      <c r="B944" s="62"/>
    </row>
    <row r="945">
      <c r="A945" s="62"/>
      <c r="B945" s="62"/>
    </row>
    <row r="946">
      <c r="A946" s="62"/>
      <c r="B946" s="62"/>
    </row>
    <row r="947">
      <c r="A947" s="62"/>
      <c r="B947" s="62"/>
    </row>
    <row r="948">
      <c r="A948" s="62"/>
      <c r="B948" s="62"/>
    </row>
    <row r="949">
      <c r="A949" s="62"/>
      <c r="B949" s="62"/>
    </row>
    <row r="950">
      <c r="A950" s="62"/>
      <c r="B950" s="62"/>
    </row>
    <row r="951">
      <c r="A951" s="62"/>
      <c r="B951" s="62"/>
    </row>
    <row r="952">
      <c r="A952" s="62"/>
      <c r="B952" s="62"/>
    </row>
    <row r="953">
      <c r="A953" s="62"/>
      <c r="B953" s="62"/>
    </row>
    <row r="954">
      <c r="A954" s="62"/>
      <c r="B954" s="62"/>
    </row>
    <row r="955">
      <c r="A955" s="62"/>
      <c r="B955" s="62"/>
    </row>
    <row r="956">
      <c r="A956" s="62"/>
      <c r="B956" s="62"/>
    </row>
    <row r="957">
      <c r="A957" s="62"/>
      <c r="B957" s="62"/>
    </row>
    <row r="958">
      <c r="A958" s="62"/>
      <c r="B958" s="62"/>
    </row>
    <row r="959">
      <c r="A959" s="62"/>
      <c r="B959" s="62"/>
    </row>
    <row r="960">
      <c r="A960" s="62"/>
      <c r="B960" s="62"/>
    </row>
    <row r="961">
      <c r="A961" s="62"/>
      <c r="B961" s="62"/>
    </row>
    <row r="962">
      <c r="A962" s="62"/>
      <c r="B962" s="62"/>
    </row>
    <row r="963">
      <c r="A963" s="62"/>
      <c r="B963" s="62"/>
    </row>
    <row r="964">
      <c r="A964" s="62"/>
      <c r="B964" s="62"/>
    </row>
    <row r="965">
      <c r="A965" s="62"/>
      <c r="B965" s="62"/>
    </row>
    <row r="966">
      <c r="A966" s="62"/>
      <c r="B966" s="62"/>
    </row>
    <row r="967">
      <c r="A967" s="62"/>
      <c r="B967" s="62"/>
    </row>
    <row r="968">
      <c r="A968" s="62"/>
      <c r="B968" s="62"/>
    </row>
    <row r="969">
      <c r="A969" s="62"/>
      <c r="B969" s="62"/>
    </row>
    <row r="970">
      <c r="A970" s="62"/>
      <c r="B970" s="62"/>
    </row>
    <row r="971">
      <c r="A971" s="62"/>
      <c r="B971" s="62"/>
    </row>
    <row r="972">
      <c r="A972" s="62"/>
      <c r="B972" s="62"/>
    </row>
    <row r="973">
      <c r="A973" s="62"/>
      <c r="B973" s="62"/>
    </row>
    <row r="974">
      <c r="A974" s="62"/>
      <c r="B974" s="62"/>
    </row>
    <row r="975">
      <c r="A975" s="62"/>
      <c r="B975" s="62"/>
    </row>
    <row r="976">
      <c r="A976" s="62"/>
      <c r="B976" s="62"/>
    </row>
    <row r="977">
      <c r="A977" s="62"/>
      <c r="B977" s="62"/>
    </row>
    <row r="978">
      <c r="A978" s="62"/>
      <c r="B978" s="62"/>
    </row>
    <row r="979">
      <c r="A979" s="62"/>
      <c r="B979" s="62"/>
    </row>
    <row r="980">
      <c r="A980" s="62"/>
      <c r="B980" s="62"/>
    </row>
    <row r="981">
      <c r="A981" s="62"/>
      <c r="B981" s="62"/>
    </row>
    <row r="982">
      <c r="A982" s="62"/>
      <c r="B982" s="62"/>
    </row>
    <row r="983">
      <c r="A983" s="62"/>
      <c r="B983" s="62"/>
    </row>
    <row r="984">
      <c r="A984" s="62"/>
      <c r="B984" s="62"/>
    </row>
    <row r="985">
      <c r="A985" s="62"/>
      <c r="B985" s="62"/>
    </row>
    <row r="986">
      <c r="A986" s="62"/>
      <c r="B986" s="62"/>
    </row>
    <row r="987">
      <c r="A987" s="62"/>
      <c r="B987" s="62"/>
    </row>
    <row r="988">
      <c r="A988" s="62"/>
      <c r="B988" s="62"/>
    </row>
    <row r="989">
      <c r="A989" s="62"/>
      <c r="B989" s="62"/>
    </row>
    <row r="990">
      <c r="A990" s="62"/>
      <c r="B990" s="62"/>
    </row>
    <row r="991">
      <c r="A991" s="62"/>
      <c r="B991" s="62"/>
    </row>
    <row r="992">
      <c r="A992" s="62"/>
      <c r="B992" s="62"/>
    </row>
    <row r="993">
      <c r="A993" s="62"/>
      <c r="B993" s="62"/>
    </row>
    <row r="994">
      <c r="A994" s="62"/>
      <c r="B994" s="62"/>
    </row>
    <row r="995">
      <c r="A995" s="62"/>
      <c r="B995" s="62"/>
    </row>
    <row r="996">
      <c r="A996" s="62"/>
      <c r="B996" s="62"/>
    </row>
    <row r="997">
      <c r="A997" s="62"/>
      <c r="B997" s="62"/>
    </row>
    <row r="998">
      <c r="A998" s="62"/>
      <c r="B998" s="62"/>
    </row>
    <row r="999">
      <c r="A999" s="62"/>
      <c r="B999" s="62"/>
    </row>
    <row r="1000">
      <c r="A1000" s="62"/>
      <c r="B1000" s="62"/>
    </row>
    <row r="1001">
      <c r="A1001" s="62"/>
      <c r="B1001" s="62"/>
    </row>
    <row r="1002">
      <c r="A1002" s="62"/>
      <c r="B1002" s="62"/>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5" t="s">
        <v>512</v>
      </c>
      <c r="B1" s="25" t="s">
        <v>513</v>
      </c>
      <c r="C1" s="25" t="s">
        <v>514</v>
      </c>
      <c r="D1" s="25" t="s">
        <v>515</v>
      </c>
      <c r="E1" s="25" t="s">
        <v>516</v>
      </c>
    </row>
    <row r="2">
      <c r="A2" s="35" t="s">
        <v>517</v>
      </c>
      <c r="B2" s="88">
        <v>59.7424977</v>
      </c>
      <c r="C2" s="88">
        <v>37.62525693</v>
      </c>
      <c r="D2" s="88">
        <v>28.46022291</v>
      </c>
      <c r="E2" s="88">
        <v>22.93462992</v>
      </c>
    </row>
    <row r="3">
      <c r="A3" s="35" t="s">
        <v>518</v>
      </c>
      <c r="B3" s="88">
        <v>60.68751782</v>
      </c>
      <c r="C3" s="88">
        <v>47.7590186</v>
      </c>
      <c r="D3" s="88">
        <v>33.84978908</v>
      </c>
      <c r="E3" s="88">
        <v>25.44723245</v>
      </c>
    </row>
    <row r="4">
      <c r="A4" s="35" t="s">
        <v>519</v>
      </c>
      <c r="B4" s="88">
        <v>69.1457523</v>
      </c>
      <c r="C4" s="88">
        <v>57.55302669</v>
      </c>
      <c r="D4" s="88">
        <v>47.69301895</v>
      </c>
      <c r="E4" s="88">
        <v>35.20540049</v>
      </c>
    </row>
    <row r="5">
      <c r="A5" s="35" t="s">
        <v>520</v>
      </c>
      <c r="B5" s="88">
        <v>91.0079473</v>
      </c>
      <c r="C5" s="88">
        <v>76.24596215</v>
      </c>
      <c r="D5" s="88">
        <v>66.92525825</v>
      </c>
      <c r="E5" s="88">
        <v>49.06774638</v>
      </c>
    </row>
    <row r="6">
      <c r="A6" s="35" t="s">
        <v>521</v>
      </c>
      <c r="B6" s="88">
        <v>147.1080586</v>
      </c>
      <c r="C6" s="88">
        <v>134.6982424</v>
      </c>
      <c r="D6" s="88">
        <v>94.14144824</v>
      </c>
      <c r="E6" s="88">
        <v>69.79124321</v>
      </c>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0"/>
  </cols>
  <sheetData>
    <row r="1">
      <c r="A1" s="108" t="s">
        <v>522</v>
      </c>
      <c r="B1" s="108" t="s">
        <v>523</v>
      </c>
      <c r="C1" s="108">
        <v>30.0</v>
      </c>
      <c r="D1" s="108">
        <v>100.0</v>
      </c>
      <c r="E1" s="108">
        <v>300.0</v>
      </c>
      <c r="F1" s="108">
        <v>1000.0</v>
      </c>
    </row>
    <row r="2">
      <c r="A2" s="31" t="s">
        <v>524</v>
      </c>
      <c r="B2" s="43">
        <v>10.0</v>
      </c>
      <c r="C2" s="43">
        <v>60.43975435</v>
      </c>
      <c r="D2" s="43">
        <v>37.62525693</v>
      </c>
      <c r="E2" s="43">
        <v>28.46022291</v>
      </c>
      <c r="F2" s="43">
        <v>22.93462992</v>
      </c>
      <c r="G2" s="114"/>
    </row>
    <row r="3">
      <c r="A3" s="31" t="s">
        <v>524</v>
      </c>
      <c r="B3" s="43">
        <v>30.0</v>
      </c>
      <c r="C3" s="43">
        <v>83.95549859</v>
      </c>
      <c r="D3" s="43">
        <v>47.7590186</v>
      </c>
      <c r="E3" s="43">
        <v>33.84978908</v>
      </c>
      <c r="F3" s="43">
        <v>25.44723245</v>
      </c>
      <c r="G3" s="114"/>
    </row>
    <row r="4">
      <c r="A4" s="31" t="s">
        <v>524</v>
      </c>
      <c r="B4" s="43">
        <v>100.0</v>
      </c>
      <c r="C4" s="43">
        <v>159.6515277</v>
      </c>
      <c r="D4" s="43">
        <v>86.14722278</v>
      </c>
      <c r="E4" s="43">
        <v>55.9015198</v>
      </c>
      <c r="F4" s="43">
        <v>36.35315222</v>
      </c>
      <c r="G4" s="114"/>
    </row>
    <row r="5">
      <c r="A5" s="31" t="s">
        <v>524</v>
      </c>
      <c r="B5" s="43">
        <v>300.0</v>
      </c>
      <c r="C5" s="43">
        <v>367.9037941</v>
      </c>
      <c r="D5" s="43">
        <v>183.6446522</v>
      </c>
      <c r="E5" s="43">
        <v>112.0011492</v>
      </c>
      <c r="F5" s="43">
        <v>67.43593961</v>
      </c>
      <c r="G5" s="114"/>
    </row>
    <row r="6">
      <c r="A6" s="31" t="s">
        <v>524</v>
      </c>
      <c r="B6" s="43">
        <v>1000.0</v>
      </c>
      <c r="C6" s="43">
        <v>1039.886532</v>
      </c>
      <c r="D6" s="43">
        <v>519.1137173</v>
      </c>
      <c r="E6" s="43">
        <v>299.6099553</v>
      </c>
      <c r="F6" s="43">
        <v>166.4293667</v>
      </c>
      <c r="G6" s="114"/>
    </row>
    <row r="7">
      <c r="A7" s="115" t="s">
        <v>525</v>
      </c>
      <c r="B7" s="43">
        <v>10.0</v>
      </c>
      <c r="C7" s="43">
        <v>76.85678213</v>
      </c>
      <c r="D7" s="43">
        <v>47.30380743</v>
      </c>
      <c r="E7" s="43">
        <v>35.31911408</v>
      </c>
      <c r="F7" s="43">
        <v>28.60826287</v>
      </c>
      <c r="G7" s="114"/>
    </row>
    <row r="8">
      <c r="A8" s="115" t="s">
        <v>525</v>
      </c>
      <c r="B8" s="43">
        <v>30.0</v>
      </c>
      <c r="C8" s="43">
        <v>102.9853868</v>
      </c>
      <c r="D8" s="43">
        <v>55.14238884</v>
      </c>
      <c r="E8" s="43">
        <v>38.6071618</v>
      </c>
      <c r="F8" s="43">
        <v>30.35191841</v>
      </c>
      <c r="G8" s="114"/>
    </row>
    <row r="9">
      <c r="A9" s="115" t="s">
        <v>525</v>
      </c>
      <c r="B9" s="43">
        <v>100.0</v>
      </c>
      <c r="C9" s="43">
        <v>187.0920858</v>
      </c>
      <c r="D9" s="43">
        <v>80.37439854</v>
      </c>
      <c r="E9" s="43">
        <v>47.69301895</v>
      </c>
      <c r="F9" s="43">
        <v>35.20540049</v>
      </c>
      <c r="G9" s="114"/>
    </row>
    <row r="10">
      <c r="A10" s="115" t="s">
        <v>525</v>
      </c>
      <c r="B10" s="43">
        <v>300.0</v>
      </c>
      <c r="C10" s="43">
        <v>409.2452396</v>
      </c>
      <c r="D10" s="43">
        <v>147.0203447</v>
      </c>
      <c r="E10" s="43">
        <v>73.28427055</v>
      </c>
      <c r="F10" s="43">
        <v>49.06774638</v>
      </c>
      <c r="G10" s="114"/>
    </row>
    <row r="11">
      <c r="A11" s="115" t="s">
        <v>525</v>
      </c>
      <c r="B11" s="43">
        <v>1000.0</v>
      </c>
      <c r="C11" s="43">
        <v>1128.177966</v>
      </c>
      <c r="D11" s="43">
        <v>364.3791384</v>
      </c>
      <c r="E11" s="43">
        <v>157.3309136</v>
      </c>
      <c r="F11" s="43">
        <v>95.3117577</v>
      </c>
      <c r="G11" s="114"/>
    </row>
    <row r="12">
      <c r="A12" s="31" t="s">
        <v>526</v>
      </c>
      <c r="B12" s="43">
        <v>10.0</v>
      </c>
      <c r="C12" s="43">
        <v>67.6948427</v>
      </c>
      <c r="D12" s="43">
        <v>51.03027558</v>
      </c>
      <c r="E12" s="43">
        <v>42.84158334</v>
      </c>
      <c r="F12" s="43">
        <v>37.58826856</v>
      </c>
      <c r="G12" s="114"/>
    </row>
    <row r="13">
      <c r="A13" s="31" t="s">
        <v>526</v>
      </c>
      <c r="B13" s="43">
        <v>30.0</v>
      </c>
      <c r="C13" s="43">
        <v>70.8312696</v>
      </c>
      <c r="D13" s="43">
        <v>52.96275002</v>
      </c>
      <c r="E13" s="43">
        <v>44.51128987</v>
      </c>
      <c r="F13" s="43">
        <v>39.17284991</v>
      </c>
      <c r="G13" s="114"/>
    </row>
    <row r="14">
      <c r="A14" s="31" t="s">
        <v>526</v>
      </c>
      <c r="B14" s="43">
        <v>100.0</v>
      </c>
      <c r="C14" s="43">
        <v>79.34613372</v>
      </c>
      <c r="D14" s="43">
        <v>59.23127706</v>
      </c>
      <c r="E14" s="43">
        <v>50.08750527</v>
      </c>
      <c r="F14" s="43">
        <v>44.94019138</v>
      </c>
      <c r="G14" s="114"/>
    </row>
    <row r="15">
      <c r="A15" s="31" t="s">
        <v>526</v>
      </c>
      <c r="B15" s="43">
        <v>300.0</v>
      </c>
      <c r="C15" s="43">
        <v>99.57322634</v>
      </c>
      <c r="D15" s="43">
        <v>76.24596215</v>
      </c>
      <c r="E15" s="43">
        <v>66.92525825</v>
      </c>
      <c r="F15" s="43">
        <v>60.99624818</v>
      </c>
      <c r="G15" s="114"/>
    </row>
    <row r="16">
      <c r="A16" s="31" t="s">
        <v>526</v>
      </c>
      <c r="B16" s="43">
        <v>1000.0</v>
      </c>
      <c r="C16" s="43">
        <v>158.6202747</v>
      </c>
      <c r="D16" s="43">
        <v>134.6982424</v>
      </c>
      <c r="E16" s="43">
        <v>123.2921324</v>
      </c>
      <c r="F16" s="43">
        <v>116.9944867</v>
      </c>
      <c r="G16" s="114"/>
    </row>
    <row r="17">
      <c r="A17" s="31" t="s">
        <v>527</v>
      </c>
      <c r="B17" s="43">
        <v>10.0</v>
      </c>
      <c r="C17" s="43">
        <v>450.6072288</v>
      </c>
      <c r="D17" s="43">
        <v>169.5417947</v>
      </c>
      <c r="E17" s="43">
        <v>86.29199307</v>
      </c>
      <c r="F17" s="43">
        <v>58.38550421</v>
      </c>
      <c r="G17" s="114"/>
    </row>
    <row r="18">
      <c r="A18" s="31" t="s">
        <v>527</v>
      </c>
      <c r="B18" s="43">
        <v>30.0</v>
      </c>
      <c r="C18" s="43">
        <v>450.7637352</v>
      </c>
      <c r="D18" s="43">
        <v>169.6983011</v>
      </c>
      <c r="E18" s="43">
        <v>86.44849948</v>
      </c>
      <c r="F18" s="43">
        <v>58.67040003</v>
      </c>
      <c r="G18" s="114"/>
    </row>
    <row r="19">
      <c r="A19" s="31" t="s">
        <v>527</v>
      </c>
      <c r="B19" s="43">
        <v>100.0</v>
      </c>
      <c r="C19" s="43">
        <v>451.3115076</v>
      </c>
      <c r="D19" s="43">
        <v>170.2460736</v>
      </c>
      <c r="E19" s="43">
        <v>86.99627192</v>
      </c>
      <c r="F19" s="43">
        <v>59.6372229</v>
      </c>
      <c r="G19" s="114"/>
    </row>
    <row r="20">
      <c r="A20" s="31" t="s">
        <v>527</v>
      </c>
      <c r="B20" s="43">
        <v>300.0</v>
      </c>
      <c r="C20" s="43">
        <v>452.8765717</v>
      </c>
      <c r="D20" s="43">
        <v>171.8111377</v>
      </c>
      <c r="E20" s="43">
        <v>88.56133602</v>
      </c>
      <c r="F20" s="43">
        <v>62.19492493</v>
      </c>
      <c r="G20" s="114"/>
    </row>
    <row r="21">
      <c r="A21" s="31" t="s">
        <v>527</v>
      </c>
      <c r="B21" s="43">
        <v>1000.0</v>
      </c>
      <c r="C21" s="43">
        <v>458.3542961</v>
      </c>
      <c r="D21" s="43">
        <v>177.288862</v>
      </c>
      <c r="E21" s="43">
        <v>94.14144824</v>
      </c>
      <c r="F21" s="43">
        <v>69.79124321</v>
      </c>
      <c r="G21" s="114"/>
    </row>
    <row r="22">
      <c r="A22" s="31" t="s">
        <v>528</v>
      </c>
      <c r="B22" s="43">
        <v>10.0</v>
      </c>
      <c r="C22" s="43">
        <v>59.7424977</v>
      </c>
      <c r="D22" s="43">
        <v>49.17979871</v>
      </c>
      <c r="E22" s="43">
        <v>42.90611414</v>
      </c>
      <c r="F22" s="43">
        <v>38.32330851</v>
      </c>
      <c r="G22" s="114"/>
    </row>
    <row r="23">
      <c r="A23" s="31" t="s">
        <v>528</v>
      </c>
      <c r="B23" s="43">
        <v>30.0</v>
      </c>
      <c r="C23" s="43">
        <v>60.68751782</v>
      </c>
      <c r="D23" s="43">
        <v>50.7099871</v>
      </c>
      <c r="E23" s="43">
        <v>44.66553245</v>
      </c>
      <c r="F23" s="43">
        <v>40.13284666</v>
      </c>
      <c r="G23" s="114"/>
    </row>
    <row r="24">
      <c r="A24" s="31" t="s">
        <v>528</v>
      </c>
      <c r="B24" s="43">
        <v>100.0</v>
      </c>
      <c r="C24" s="43">
        <v>69.1457523</v>
      </c>
      <c r="D24" s="43">
        <v>57.55302669</v>
      </c>
      <c r="E24" s="43">
        <v>51.75637054</v>
      </c>
      <c r="F24" s="43">
        <v>47.11694421</v>
      </c>
      <c r="G24" s="114"/>
    </row>
    <row r="25">
      <c r="A25" s="31" t="s">
        <v>528</v>
      </c>
      <c r="B25" s="43">
        <v>300.0</v>
      </c>
      <c r="C25" s="43">
        <v>91.0079473</v>
      </c>
      <c r="D25" s="43">
        <v>80.76121194</v>
      </c>
      <c r="E25" s="43">
        <v>74.45999631</v>
      </c>
      <c r="F25" s="43">
        <v>69.64739591</v>
      </c>
      <c r="G25" s="114"/>
    </row>
    <row r="26">
      <c r="A26" s="31" t="s">
        <v>528</v>
      </c>
      <c r="B26" s="43">
        <v>1000.0</v>
      </c>
      <c r="C26" s="43">
        <v>147.1080586</v>
      </c>
      <c r="D26" s="43">
        <v>137.5507837</v>
      </c>
      <c r="E26" s="43">
        <v>131.2248293</v>
      </c>
      <c r="F26" s="43">
        <v>127.0089294</v>
      </c>
      <c r="G26" s="114"/>
    </row>
    <row r="27">
      <c r="A27" s="31"/>
      <c r="B27" s="43"/>
      <c r="C27" s="43"/>
      <c r="D27" s="43"/>
      <c r="E27" s="43"/>
      <c r="F27" s="43"/>
      <c r="G27" s="114"/>
    </row>
    <row r="28">
      <c r="A28" s="25" t="s">
        <v>529</v>
      </c>
      <c r="B28" s="43"/>
      <c r="C28" s="43"/>
      <c r="D28" s="43"/>
      <c r="E28" s="43"/>
      <c r="F28" s="43"/>
      <c r="G28" s="114"/>
    </row>
    <row r="29">
      <c r="A29" s="25" t="s">
        <v>530</v>
      </c>
      <c r="B29" s="43">
        <f t="shared" ref="B29:B38" si="1">B2</f>
        <v>10</v>
      </c>
      <c r="C29" s="114">
        <v>59.7424977</v>
      </c>
      <c r="D29" s="114">
        <v>37.62525693</v>
      </c>
      <c r="E29" s="114">
        <v>28.46022291</v>
      </c>
      <c r="F29" s="114">
        <v>22.93462992</v>
      </c>
      <c r="G29" s="114"/>
    </row>
    <row r="30">
      <c r="A30" s="25" t="s">
        <v>530</v>
      </c>
      <c r="B30" s="43">
        <f t="shared" si="1"/>
        <v>30</v>
      </c>
      <c r="C30" s="114">
        <v>60.68751782</v>
      </c>
      <c r="D30" s="114">
        <v>47.7590186</v>
      </c>
      <c r="E30" s="114">
        <v>33.84978908</v>
      </c>
      <c r="F30" s="114">
        <v>25.44723245</v>
      </c>
      <c r="G30" s="114"/>
    </row>
    <row r="31">
      <c r="A31" s="25" t="s">
        <v>530</v>
      </c>
      <c r="B31" s="43">
        <f t="shared" si="1"/>
        <v>100</v>
      </c>
      <c r="C31" s="114">
        <v>69.1457523</v>
      </c>
      <c r="D31" s="114">
        <v>57.55302669</v>
      </c>
      <c r="E31" s="114">
        <v>47.69301895</v>
      </c>
      <c r="F31" s="114">
        <v>35.20540049</v>
      </c>
      <c r="G31" s="114"/>
    </row>
    <row r="32">
      <c r="A32" s="25" t="s">
        <v>530</v>
      </c>
      <c r="B32" s="43">
        <f t="shared" si="1"/>
        <v>300</v>
      </c>
      <c r="C32" s="114">
        <v>91.0079473</v>
      </c>
      <c r="D32" s="114">
        <v>76.24596215</v>
      </c>
      <c r="E32" s="114">
        <v>66.92525825</v>
      </c>
      <c r="F32" s="114">
        <v>49.06774638</v>
      </c>
      <c r="G32" s="114"/>
    </row>
    <row r="33">
      <c r="A33" s="25" t="s">
        <v>530</v>
      </c>
      <c r="B33" s="43">
        <f t="shared" si="1"/>
        <v>1000</v>
      </c>
      <c r="C33" s="114">
        <v>147.1080586</v>
      </c>
      <c r="D33" s="114">
        <v>134.6982424</v>
      </c>
      <c r="E33" s="114">
        <v>94.14144824</v>
      </c>
      <c r="F33" s="114">
        <v>69.79124321</v>
      </c>
      <c r="G33" s="114"/>
    </row>
    <row r="34">
      <c r="A34" s="25" t="s">
        <v>530</v>
      </c>
      <c r="B34" s="43">
        <f t="shared" si="1"/>
        <v>10</v>
      </c>
      <c r="C34" s="45" t="s">
        <v>528</v>
      </c>
      <c r="D34" s="45" t="s">
        <v>524</v>
      </c>
      <c r="E34" s="45" t="s">
        <v>524</v>
      </c>
      <c r="F34" s="45" t="s">
        <v>524</v>
      </c>
    </row>
    <row r="35">
      <c r="A35" s="25" t="s">
        <v>530</v>
      </c>
      <c r="B35" s="43">
        <f t="shared" si="1"/>
        <v>30</v>
      </c>
      <c r="C35" s="45" t="s">
        <v>528</v>
      </c>
      <c r="D35" s="45" t="s">
        <v>524</v>
      </c>
      <c r="E35" s="45" t="s">
        <v>524</v>
      </c>
      <c r="F35" s="45" t="s">
        <v>524</v>
      </c>
    </row>
    <row r="36">
      <c r="A36" s="25" t="s">
        <v>530</v>
      </c>
      <c r="B36" s="43">
        <f t="shared" si="1"/>
        <v>100</v>
      </c>
      <c r="C36" s="45" t="s">
        <v>528</v>
      </c>
      <c r="D36" s="45" t="s">
        <v>528</v>
      </c>
      <c r="E36" s="116" t="s">
        <v>525</v>
      </c>
      <c r="F36" s="116" t="s">
        <v>525</v>
      </c>
    </row>
    <row r="37">
      <c r="A37" s="25" t="s">
        <v>530</v>
      </c>
      <c r="B37" s="43">
        <f t="shared" si="1"/>
        <v>300</v>
      </c>
      <c r="C37" s="45" t="s">
        <v>528</v>
      </c>
      <c r="D37" s="45" t="s">
        <v>526</v>
      </c>
      <c r="E37" s="45" t="s">
        <v>526</v>
      </c>
      <c r="F37" s="116" t="s">
        <v>525</v>
      </c>
    </row>
    <row r="38">
      <c r="A38" s="25" t="s">
        <v>530</v>
      </c>
      <c r="B38" s="43">
        <f t="shared" si="1"/>
        <v>1000</v>
      </c>
      <c r="C38" s="45" t="s">
        <v>528</v>
      </c>
      <c r="D38" s="45" t="s">
        <v>526</v>
      </c>
      <c r="E38" s="45" t="s">
        <v>527</v>
      </c>
      <c r="F38" s="45" t="s">
        <v>527</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7" t="s">
        <v>531</v>
      </c>
      <c r="B1" s="117" t="s">
        <v>532</v>
      </c>
      <c r="C1" s="117" t="s">
        <v>533</v>
      </c>
      <c r="D1" s="117" t="s">
        <v>534</v>
      </c>
      <c r="E1" s="118" t="s">
        <v>535</v>
      </c>
      <c r="F1" s="118" t="s">
        <v>7</v>
      </c>
      <c r="G1" s="119" t="s">
        <v>536</v>
      </c>
      <c r="H1" s="119" t="s">
        <v>537</v>
      </c>
      <c r="I1" s="119" t="s">
        <v>538</v>
      </c>
      <c r="J1" s="120" t="s">
        <v>539</v>
      </c>
      <c r="K1" s="121" t="s">
        <v>540</v>
      </c>
      <c r="L1" s="121" t="s">
        <v>541</v>
      </c>
    </row>
    <row r="2">
      <c r="A2" s="122" t="s">
        <v>542</v>
      </c>
      <c r="B2" s="123">
        <v>2726.1777272727277</v>
      </c>
      <c r="C2" s="123">
        <v>1668.059181818182</v>
      </c>
      <c r="D2" s="123">
        <v>233.1286363636364</v>
      </c>
      <c r="E2" s="124">
        <v>223.13740909090913</v>
      </c>
      <c r="F2" s="125" t="s">
        <v>543</v>
      </c>
      <c r="G2" s="126">
        <v>3.3304090909090913</v>
      </c>
      <c r="H2" s="125">
        <v>70.0</v>
      </c>
      <c r="I2" s="125">
        <v>67.0</v>
      </c>
      <c r="J2" s="127">
        <f t="shared" ref="J2:J5" si="1">SUM(D2:E2)/SUM(B2:E2)</f>
        <v>0.09406571849</v>
      </c>
      <c r="K2" s="128">
        <f t="shared" ref="K2:K5" si="2">E2/SUM(B2:E2)</f>
        <v>0.04600294262</v>
      </c>
      <c r="L2" s="129">
        <f t="shared" ref="L2:L5" si="3">D2/SUM(B2:E2)</f>
        <v>0.04806277587</v>
      </c>
    </row>
    <row r="3">
      <c r="A3" s="60" t="s">
        <v>544</v>
      </c>
      <c r="B3" s="130">
        <v>2507.8721608040205</v>
      </c>
      <c r="C3" s="130">
        <v>435.51135678391967</v>
      </c>
      <c r="D3" s="123">
        <v>206.18412060301512</v>
      </c>
      <c r="E3" s="124">
        <v>197.34765829145732</v>
      </c>
      <c r="F3" s="125" t="s">
        <v>543</v>
      </c>
      <c r="G3" s="126">
        <v>2.94548743718593</v>
      </c>
      <c r="H3" s="125">
        <v>70.0</v>
      </c>
      <c r="I3" s="125">
        <v>67.0</v>
      </c>
      <c r="J3" s="127">
        <f t="shared" si="1"/>
        <v>0.1205682675</v>
      </c>
      <c r="K3" s="128">
        <f t="shared" si="2"/>
        <v>0.05896404325</v>
      </c>
      <c r="L3" s="129">
        <f t="shared" si="3"/>
        <v>0.06160422429</v>
      </c>
    </row>
    <row r="4">
      <c r="A4" s="122" t="s">
        <v>542</v>
      </c>
      <c r="B4" s="123">
        <v>2726.1777272727277</v>
      </c>
      <c r="C4" s="123">
        <v>1668.059181818182</v>
      </c>
      <c r="D4" s="123">
        <v>1998.2454545454548</v>
      </c>
      <c r="E4" s="124">
        <v>0.0</v>
      </c>
      <c r="F4" s="131" t="s">
        <v>545</v>
      </c>
      <c r="G4" s="126">
        <v>3.3304090909090913</v>
      </c>
      <c r="H4" s="125">
        <v>600.0</v>
      </c>
      <c r="I4" s="125">
        <v>0.0</v>
      </c>
      <c r="J4" s="127">
        <f t="shared" si="1"/>
        <v>0.3125930336</v>
      </c>
      <c r="K4" s="132">
        <f t="shared" si="2"/>
        <v>0</v>
      </c>
      <c r="L4" s="129">
        <f t="shared" si="3"/>
        <v>0.3125930336</v>
      </c>
    </row>
    <row r="5">
      <c r="A5" s="60" t="s">
        <v>544</v>
      </c>
      <c r="B5" s="130">
        <v>2507.8721608040205</v>
      </c>
      <c r="C5" s="130">
        <v>435.51135678391967</v>
      </c>
      <c r="D5" s="123">
        <v>1767.292462311558</v>
      </c>
      <c r="E5" s="124">
        <v>0.0</v>
      </c>
      <c r="F5" s="133" t="s">
        <v>545</v>
      </c>
      <c r="G5" s="134">
        <v>2.94548743718593</v>
      </c>
      <c r="H5" s="135">
        <v>600.0</v>
      </c>
      <c r="I5" s="135">
        <v>0.0</v>
      </c>
      <c r="J5" s="127">
        <f t="shared" si="1"/>
        <v>0.3751674855</v>
      </c>
      <c r="K5" s="132">
        <f t="shared" si="2"/>
        <v>0</v>
      </c>
      <c r="L5" s="129">
        <f t="shared" si="3"/>
        <v>0.3751674855</v>
      </c>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0"/>
    <col customWidth="1" min="21" max="21" width="22.88"/>
    <col customWidth="1" min="22" max="22" width="18.25"/>
    <col customWidth="1" min="23" max="23" width="21.13"/>
  </cols>
  <sheetData>
    <row r="1">
      <c r="A1" s="136" t="s">
        <v>546</v>
      </c>
      <c r="B1" s="136" t="s">
        <v>116</v>
      </c>
      <c r="C1" s="136" t="s">
        <v>547</v>
      </c>
      <c r="D1" s="136" t="s">
        <v>123</v>
      </c>
      <c r="E1" s="136" t="s">
        <v>105</v>
      </c>
      <c r="F1" s="136" t="s">
        <v>548</v>
      </c>
      <c r="G1" s="136" t="s">
        <v>549</v>
      </c>
      <c r="H1" s="136" t="s">
        <v>550</v>
      </c>
      <c r="I1" s="136" t="s">
        <v>551</v>
      </c>
      <c r="J1" s="136" t="s">
        <v>552</v>
      </c>
      <c r="K1" s="136" t="s">
        <v>201</v>
      </c>
      <c r="L1" s="136" t="s">
        <v>114</v>
      </c>
      <c r="M1" s="136" t="s">
        <v>104</v>
      </c>
      <c r="N1" s="136" t="s">
        <v>553</v>
      </c>
    </row>
    <row r="2">
      <c r="A2" s="137" t="s">
        <v>554</v>
      </c>
      <c r="B2" s="137">
        <v>2.672007999999995</v>
      </c>
      <c r="C2" s="137">
        <v>0.0095</v>
      </c>
      <c r="D2" s="137">
        <v>20.964757699999957</v>
      </c>
      <c r="E2" s="137"/>
      <c r="F2" s="137"/>
      <c r="G2" s="137">
        <v>0.056239999999999894</v>
      </c>
      <c r="H2" s="137"/>
      <c r="I2" s="137"/>
      <c r="J2" s="137"/>
      <c r="K2" s="137">
        <v>0.0</v>
      </c>
      <c r="L2" s="137">
        <v>0.1690999999999999</v>
      </c>
      <c r="M2" s="137">
        <v>0.455075170704</v>
      </c>
      <c r="N2" s="137"/>
    </row>
    <row r="3">
      <c r="A3" s="137" t="s">
        <v>555</v>
      </c>
      <c r="B3" s="137">
        <v>0.0</v>
      </c>
      <c r="C3" s="137">
        <v>0.0</v>
      </c>
      <c r="D3" s="137">
        <v>15.714994999999973</v>
      </c>
      <c r="E3" s="137"/>
      <c r="F3" s="137"/>
      <c r="G3" s="137">
        <v>0.0</v>
      </c>
      <c r="H3" s="137"/>
      <c r="I3" s="137"/>
      <c r="J3" s="137"/>
      <c r="K3" s="137">
        <v>0.0</v>
      </c>
      <c r="L3" s="137">
        <v>0.0</v>
      </c>
      <c r="M3" s="137">
        <v>0.22053396321000002</v>
      </c>
      <c r="N3" s="137"/>
      <c r="O3" s="86"/>
      <c r="P3" s="86"/>
      <c r="Q3" s="86"/>
    </row>
    <row r="4">
      <c r="A4" s="137" t="s">
        <v>556</v>
      </c>
      <c r="B4" s="137">
        <v>7.0668918677499875</v>
      </c>
      <c r="C4" s="137">
        <v>0.025640708049999975</v>
      </c>
      <c r="D4" s="137">
        <v>3.2603268433499966</v>
      </c>
      <c r="E4" s="137">
        <v>0.0</v>
      </c>
      <c r="F4" s="137"/>
      <c r="G4" s="137">
        <v>0.10331261114999987</v>
      </c>
      <c r="H4" s="137">
        <v>0.0</v>
      </c>
      <c r="I4" s="137">
        <v>0.0</v>
      </c>
      <c r="J4" s="137">
        <v>0.3210395856999997</v>
      </c>
      <c r="K4" s="137">
        <v>0.0765825789499999</v>
      </c>
      <c r="L4" s="137">
        <v>0.4643372636499993</v>
      </c>
      <c r="M4" s="137">
        <v>1.60082790912</v>
      </c>
      <c r="N4" s="137"/>
      <c r="O4" s="86"/>
      <c r="P4" s="86"/>
      <c r="Q4" s="86"/>
    </row>
    <row r="5">
      <c r="A5" s="137" t="s">
        <v>557</v>
      </c>
      <c r="B5" s="137">
        <v>2.817319999999996</v>
      </c>
      <c r="C5" s="137">
        <v>0.0</v>
      </c>
      <c r="D5" s="137">
        <v>0.47499999999999903</v>
      </c>
      <c r="E5" s="137">
        <v>0.0</v>
      </c>
      <c r="F5" s="137">
        <v>0.0</v>
      </c>
      <c r="G5" s="137">
        <v>0.0588999999999999</v>
      </c>
      <c r="H5" s="137">
        <v>0.0</v>
      </c>
      <c r="I5" s="137">
        <v>0.0</v>
      </c>
      <c r="J5" s="137">
        <v>0.0</v>
      </c>
      <c r="K5" s="137">
        <v>0.1824</v>
      </c>
      <c r="L5" s="137">
        <v>0.2641</v>
      </c>
      <c r="M5" s="137">
        <v>1.73224598976</v>
      </c>
      <c r="N5" s="137"/>
      <c r="O5" s="86"/>
      <c r="P5" s="86"/>
      <c r="Q5" s="86"/>
    </row>
    <row r="6">
      <c r="A6" s="137" t="s">
        <v>558</v>
      </c>
      <c r="B6" s="137">
        <v>0.4498725</v>
      </c>
      <c r="C6" s="137">
        <v>0.00950714779999999</v>
      </c>
      <c r="D6" s="137">
        <v>4.191873810599998</v>
      </c>
      <c r="E6" s="137">
        <v>0.0</v>
      </c>
      <c r="F6" s="137"/>
      <c r="G6" s="137">
        <v>2.80249999999999E-5</v>
      </c>
      <c r="H6" s="137">
        <v>0.0</v>
      </c>
      <c r="I6" s="137"/>
      <c r="J6" s="137">
        <v>0.1499017521</v>
      </c>
      <c r="K6" s="137">
        <v>0.0</v>
      </c>
      <c r="L6" s="137">
        <v>0.14545949889999993</v>
      </c>
      <c r="M6" s="137">
        <v>0.038023097112000005</v>
      </c>
      <c r="N6" s="137"/>
      <c r="O6" s="86"/>
      <c r="P6" s="86"/>
      <c r="Q6" s="86"/>
    </row>
    <row r="7">
      <c r="A7" s="137" t="s">
        <v>559</v>
      </c>
      <c r="B7" s="137">
        <v>2.122275264849995</v>
      </c>
      <c r="C7" s="137">
        <v>0.06139067484999998</v>
      </c>
      <c r="D7" s="137">
        <v>0.1775353026999997</v>
      </c>
      <c r="E7" s="137">
        <v>0.0</v>
      </c>
      <c r="F7" s="137">
        <v>0.0</v>
      </c>
      <c r="G7" s="137">
        <v>0.026036996749999902</v>
      </c>
      <c r="H7" s="137">
        <v>0.0</v>
      </c>
      <c r="I7" s="137">
        <v>0.0</v>
      </c>
      <c r="J7" s="137">
        <v>0.0</v>
      </c>
      <c r="K7" s="137">
        <v>0.056435461549999795</v>
      </c>
      <c r="L7" s="137">
        <v>0.5320400795499994</v>
      </c>
      <c r="M7" s="137">
        <v>1.39737028266</v>
      </c>
      <c r="N7" s="137"/>
      <c r="O7" s="86"/>
      <c r="P7" s="86"/>
      <c r="Q7" s="86"/>
    </row>
    <row r="8">
      <c r="A8" s="137" t="s">
        <v>560</v>
      </c>
      <c r="B8" s="137">
        <v>0.6233723005499999</v>
      </c>
      <c r="C8" s="137">
        <v>0.00851354469999999</v>
      </c>
      <c r="D8" s="137">
        <v>2.3800380808499977</v>
      </c>
      <c r="E8" s="137"/>
      <c r="F8" s="137"/>
      <c r="G8" s="137">
        <v>7.569505E-4</v>
      </c>
      <c r="H8" s="137"/>
      <c r="I8" s="137"/>
      <c r="J8" s="137">
        <v>0.0</v>
      </c>
      <c r="K8" s="137">
        <v>0.0</v>
      </c>
      <c r="L8" s="137">
        <v>0.11996246504999991</v>
      </c>
      <c r="M8" s="137">
        <v>0.12167391079800001</v>
      </c>
      <c r="N8" s="137"/>
      <c r="O8" s="86"/>
      <c r="P8" s="86"/>
      <c r="Q8" s="86"/>
    </row>
    <row r="9">
      <c r="A9" s="137" t="s">
        <v>561</v>
      </c>
      <c r="B9" s="137">
        <v>0.4300188585</v>
      </c>
      <c r="C9" s="137">
        <v>0.04105229584999994</v>
      </c>
      <c r="D9" s="137">
        <v>1.8554887379999998</v>
      </c>
      <c r="E9" s="137">
        <v>0.0</v>
      </c>
      <c r="F9" s="137"/>
      <c r="G9" s="137">
        <v>0.00790247619999999</v>
      </c>
      <c r="H9" s="137">
        <v>0.0</v>
      </c>
      <c r="I9" s="137"/>
      <c r="J9" s="137">
        <v>0.0623341454999998</v>
      </c>
      <c r="K9" s="137">
        <v>0.10703554144999998</v>
      </c>
      <c r="L9" s="137">
        <v>0.3869656241999994</v>
      </c>
      <c r="M9" s="137">
        <v>0.077271084</v>
      </c>
      <c r="N9" s="137"/>
      <c r="O9" s="86"/>
      <c r="P9" s="86"/>
      <c r="Q9" s="86"/>
    </row>
    <row r="10">
      <c r="A10" s="137" t="s">
        <v>562</v>
      </c>
      <c r="B10" s="137">
        <v>1.2064524999999988</v>
      </c>
      <c r="C10" s="137">
        <v>0.0201222720499999</v>
      </c>
      <c r="D10" s="137">
        <v>1.3530341673999982</v>
      </c>
      <c r="E10" s="137"/>
      <c r="F10" s="137"/>
      <c r="G10" s="137">
        <v>0.0134947499999999</v>
      </c>
      <c r="H10" s="137">
        <v>0.0</v>
      </c>
      <c r="I10" s="137"/>
      <c r="J10" s="137">
        <v>0.0224852630999999</v>
      </c>
      <c r="K10" s="137">
        <v>0.0069379792</v>
      </c>
      <c r="L10" s="137">
        <v>0.2161840918999996</v>
      </c>
      <c r="M10" s="137">
        <v>0.114069291336</v>
      </c>
      <c r="N10" s="137"/>
      <c r="O10" s="86"/>
      <c r="P10" s="86"/>
      <c r="Q10" s="86"/>
    </row>
    <row r="11">
      <c r="A11" s="137" t="s">
        <v>563</v>
      </c>
      <c r="B11" s="137">
        <v>1.340449999999996</v>
      </c>
      <c r="C11" s="137">
        <v>0.0</v>
      </c>
      <c r="D11" s="137">
        <v>0.0</v>
      </c>
      <c r="E11" s="137">
        <v>0.0</v>
      </c>
      <c r="F11" s="137"/>
      <c r="G11" s="137">
        <v>0.0</v>
      </c>
      <c r="H11" s="137">
        <v>0.0</v>
      </c>
      <c r="I11" s="137">
        <v>0.0</v>
      </c>
      <c r="J11" s="137">
        <v>0.0</v>
      </c>
      <c r="K11" s="137">
        <v>0.0</v>
      </c>
      <c r="L11" s="137">
        <v>0.16434999999999989</v>
      </c>
      <c r="M11" s="137">
        <v>1.37588319792</v>
      </c>
      <c r="N11" s="137"/>
      <c r="O11" s="86"/>
      <c r="P11" s="86"/>
      <c r="Q11" s="86"/>
    </row>
    <row r="12">
      <c r="A12" s="137" t="s">
        <v>564</v>
      </c>
      <c r="B12" s="137">
        <v>2.2048729169999977</v>
      </c>
      <c r="C12" s="137">
        <v>0.00108653115</v>
      </c>
      <c r="D12" s="137">
        <v>0.0</v>
      </c>
      <c r="E12" s="137">
        <v>0.0</v>
      </c>
      <c r="F12" s="137"/>
      <c r="G12" s="137">
        <v>0.0</v>
      </c>
      <c r="H12" s="137"/>
      <c r="I12" s="137">
        <v>0.0</v>
      </c>
      <c r="J12" s="137">
        <v>0.0</v>
      </c>
      <c r="K12" s="137">
        <v>0.0</v>
      </c>
      <c r="L12" s="137">
        <v>0.08579343504999978</v>
      </c>
      <c r="M12" s="137">
        <v>0.080041395456</v>
      </c>
      <c r="N12" s="137"/>
      <c r="O12" s="86"/>
      <c r="P12" s="86"/>
      <c r="Q12" s="86"/>
    </row>
    <row r="13">
      <c r="A13" s="137" t="s">
        <v>565</v>
      </c>
      <c r="B13" s="137">
        <v>0.1044357515</v>
      </c>
      <c r="C13" s="137">
        <v>0.0</v>
      </c>
      <c r="D13" s="137">
        <v>1.709685816</v>
      </c>
      <c r="E13" s="137"/>
      <c r="F13" s="137"/>
      <c r="G13" s="137">
        <v>0.0</v>
      </c>
      <c r="H13" s="137">
        <v>0.0</v>
      </c>
      <c r="I13" s="137"/>
      <c r="J13" s="137">
        <v>0.0</v>
      </c>
      <c r="K13" s="137">
        <v>0.0</v>
      </c>
      <c r="L13" s="137">
        <v>0.3486005999999997</v>
      </c>
      <c r="M13" s="137">
        <v>0.0988600524912</v>
      </c>
      <c r="N13" s="137"/>
      <c r="O13" s="86"/>
      <c r="P13" s="86"/>
      <c r="Q13" s="86"/>
    </row>
    <row r="14">
      <c r="A14" s="137" t="s">
        <v>566</v>
      </c>
      <c r="B14" s="137">
        <v>0.2577651140499989</v>
      </c>
      <c r="C14" s="137">
        <v>0.03431151194999989</v>
      </c>
      <c r="D14" s="137">
        <v>0.5426008466999985</v>
      </c>
      <c r="E14" s="137">
        <v>0.0</v>
      </c>
      <c r="F14" s="137">
        <v>0.0</v>
      </c>
      <c r="G14" s="137">
        <v>0.35583550169999895</v>
      </c>
      <c r="H14" s="137">
        <v>0.0</v>
      </c>
      <c r="I14" s="137">
        <v>0.0</v>
      </c>
      <c r="J14" s="137"/>
      <c r="K14" s="137">
        <v>0.055333572699999896</v>
      </c>
      <c r="L14" s="137">
        <v>0.3482502143499987</v>
      </c>
      <c r="M14" s="137">
        <v>0.0</v>
      </c>
      <c r="N14" s="137">
        <v>0.0</v>
      </c>
      <c r="O14" s="86"/>
      <c r="P14" s="86"/>
      <c r="Q14" s="86"/>
    </row>
    <row r="15">
      <c r="A15" s="137" t="s">
        <v>567</v>
      </c>
      <c r="B15" s="137">
        <v>0.45514499999999897</v>
      </c>
      <c r="C15" s="137">
        <v>0.0</v>
      </c>
      <c r="D15" s="137">
        <v>0.4339296</v>
      </c>
      <c r="E15" s="137"/>
      <c r="F15" s="137">
        <v>0.0</v>
      </c>
      <c r="G15" s="137">
        <v>0.3514999999999998</v>
      </c>
      <c r="H15" s="137"/>
      <c r="I15" s="137"/>
      <c r="J15" s="137"/>
      <c r="K15" s="137">
        <v>0.0</v>
      </c>
      <c r="L15" s="137">
        <v>0.1025999999999999</v>
      </c>
      <c r="M15" s="137">
        <v>0.14286564864</v>
      </c>
      <c r="N15" s="137"/>
      <c r="O15" s="86"/>
      <c r="P15" s="86"/>
      <c r="Q15" s="86"/>
    </row>
    <row r="16">
      <c r="A16" s="137" t="s">
        <v>568</v>
      </c>
      <c r="B16" s="137">
        <v>0.14973995</v>
      </c>
      <c r="C16" s="137">
        <v>0.0</v>
      </c>
      <c r="D16" s="137">
        <v>0.0</v>
      </c>
      <c r="E16" s="137">
        <v>0.0</v>
      </c>
      <c r="F16" s="137"/>
      <c r="G16" s="137">
        <v>0.0</v>
      </c>
      <c r="H16" s="137"/>
      <c r="I16" s="137"/>
      <c r="J16" s="137">
        <v>0.0</v>
      </c>
      <c r="K16" s="137">
        <v>0.0</v>
      </c>
      <c r="L16" s="137">
        <v>0.0</v>
      </c>
      <c r="M16" s="137">
        <v>0.950125248864</v>
      </c>
      <c r="N16" s="137"/>
      <c r="O16" s="86"/>
      <c r="P16" s="86"/>
      <c r="Q16" s="86"/>
    </row>
    <row r="17">
      <c r="A17" s="137" t="s">
        <v>569</v>
      </c>
      <c r="B17" s="137">
        <v>0.187054999999999</v>
      </c>
      <c r="C17" s="137">
        <v>0.00533540425</v>
      </c>
      <c r="D17" s="137">
        <v>0.20470850135</v>
      </c>
      <c r="E17" s="137"/>
      <c r="F17" s="137">
        <v>0.0</v>
      </c>
      <c r="G17" s="137">
        <v>0.0441472068</v>
      </c>
      <c r="H17" s="137">
        <v>0.0</v>
      </c>
      <c r="I17" s="137"/>
      <c r="J17" s="137">
        <v>0.01340151415</v>
      </c>
      <c r="K17" s="137">
        <v>0.01034712165</v>
      </c>
      <c r="L17" s="137">
        <v>0.06091648995</v>
      </c>
      <c r="M17" s="137">
        <v>0.0152092388448</v>
      </c>
      <c r="N17" s="137"/>
      <c r="O17" s="86"/>
      <c r="P17" s="86"/>
      <c r="Q17" s="86"/>
    </row>
    <row r="18">
      <c r="A18" s="137" t="s">
        <v>570</v>
      </c>
      <c r="B18" s="137">
        <v>0.0</v>
      </c>
      <c r="C18" s="137">
        <v>0.0</v>
      </c>
      <c r="D18" s="137">
        <v>0.0</v>
      </c>
      <c r="E18" s="137">
        <v>0.0</v>
      </c>
      <c r="F18" s="137"/>
      <c r="G18" s="137">
        <v>0.0</v>
      </c>
      <c r="H18" s="137">
        <v>0.0</v>
      </c>
      <c r="I18" s="137"/>
      <c r="J18" s="137">
        <v>0.0</v>
      </c>
      <c r="K18" s="137">
        <v>0.0</v>
      </c>
      <c r="L18" s="137">
        <v>0.038</v>
      </c>
      <c r="M18" s="137">
        <v>0.47805043968</v>
      </c>
      <c r="N18" s="137"/>
      <c r="O18" s="86"/>
      <c r="P18" s="86"/>
      <c r="Q18" s="86"/>
    </row>
    <row r="19">
      <c r="A19" s="137" t="s">
        <v>571</v>
      </c>
      <c r="B19" s="137">
        <v>0.19646</v>
      </c>
      <c r="C19" s="137">
        <v>0.0064512789999999895</v>
      </c>
      <c r="D19" s="137">
        <v>0.0485052272999999</v>
      </c>
      <c r="E19" s="137"/>
      <c r="F19" s="137"/>
      <c r="G19" s="137"/>
      <c r="H19" s="137"/>
      <c r="I19" s="137"/>
      <c r="J19" s="137">
        <v>0.01648919275</v>
      </c>
      <c r="K19" s="137">
        <v>0.0</v>
      </c>
      <c r="L19" s="137">
        <v>0.04198930175</v>
      </c>
      <c r="M19" s="137">
        <v>0.038023097112000005</v>
      </c>
      <c r="N19" s="137"/>
      <c r="O19" s="86"/>
      <c r="P19" s="86"/>
      <c r="Q19" s="86"/>
    </row>
    <row r="20">
      <c r="A20" s="137" t="s">
        <v>572</v>
      </c>
      <c r="B20" s="137">
        <v>0.0</v>
      </c>
      <c r="C20" s="137">
        <v>0.021060477799999977</v>
      </c>
      <c r="D20" s="137"/>
      <c r="E20" s="137"/>
      <c r="F20" s="137">
        <v>0.0</v>
      </c>
      <c r="G20" s="137">
        <v>0.0903430686499999</v>
      </c>
      <c r="H20" s="137"/>
      <c r="I20" s="137"/>
      <c r="J20" s="137"/>
      <c r="K20" s="137">
        <v>0.0</v>
      </c>
      <c r="L20" s="137">
        <v>0.1964909889999999</v>
      </c>
      <c r="M20" s="137">
        <v>0.0</v>
      </c>
      <c r="N20" s="137"/>
      <c r="O20" s="86"/>
      <c r="P20" s="86"/>
      <c r="Q20" s="86"/>
    </row>
    <row r="21">
      <c r="A21" s="137" t="s">
        <v>573</v>
      </c>
      <c r="B21" s="137"/>
      <c r="C21" s="137"/>
      <c r="D21" s="137">
        <v>0.189335</v>
      </c>
      <c r="E21" s="137"/>
      <c r="F21" s="137"/>
      <c r="G21" s="137"/>
      <c r="H21" s="137"/>
      <c r="I21" s="137">
        <v>0.0</v>
      </c>
      <c r="J21" s="137"/>
      <c r="K21" s="137"/>
      <c r="L21" s="137">
        <v>0.01615</v>
      </c>
      <c r="M21" s="137">
        <v>0.0608369553792</v>
      </c>
      <c r="N21" s="137"/>
      <c r="O21" s="86"/>
      <c r="P21" s="86"/>
      <c r="Q21" s="86"/>
    </row>
    <row r="22">
      <c r="A22" s="137" t="s">
        <v>574</v>
      </c>
      <c r="B22" s="137"/>
      <c r="C22" s="137">
        <v>0.00786305499999999</v>
      </c>
      <c r="D22" s="137"/>
      <c r="E22" s="137"/>
      <c r="F22" s="137"/>
      <c r="G22" s="137">
        <v>0.03926576005</v>
      </c>
      <c r="H22" s="137"/>
      <c r="I22" s="137"/>
      <c r="J22" s="137"/>
      <c r="K22" s="137">
        <v>0.0556097557499999</v>
      </c>
      <c r="L22" s="137">
        <v>0.1171708919499998</v>
      </c>
      <c r="M22" s="137">
        <v>0.038023097112000005</v>
      </c>
      <c r="N22" s="137"/>
      <c r="O22" s="86"/>
      <c r="P22" s="86"/>
      <c r="Q22" s="86"/>
    </row>
    <row r="23">
      <c r="A23" s="137" t="s">
        <v>575</v>
      </c>
      <c r="B23" s="137">
        <v>0.100842499999999</v>
      </c>
      <c r="C23" s="137"/>
      <c r="D23" s="137"/>
      <c r="E23" s="137"/>
      <c r="F23" s="137"/>
      <c r="G23" s="137">
        <v>9.291E-5</v>
      </c>
      <c r="H23" s="137">
        <v>0.0</v>
      </c>
      <c r="I23" s="137"/>
      <c r="J23" s="137"/>
      <c r="K23" s="137"/>
      <c r="L23" s="137">
        <v>0.02192417505</v>
      </c>
      <c r="M23" s="137">
        <v>0.022813858267199998</v>
      </c>
      <c r="N23" s="137"/>
      <c r="O23" s="86"/>
      <c r="P23" s="86"/>
      <c r="Q23" s="86"/>
    </row>
    <row r="24">
      <c r="A24" s="137" t="s">
        <v>576</v>
      </c>
      <c r="B24" s="137"/>
      <c r="C24" s="137">
        <v>0.0</v>
      </c>
      <c r="D24" s="137">
        <v>0.13927</v>
      </c>
      <c r="E24" s="137"/>
      <c r="F24" s="137">
        <v>0.0</v>
      </c>
      <c r="G24" s="137">
        <v>0.0</v>
      </c>
      <c r="H24" s="137">
        <v>0.0</v>
      </c>
      <c r="I24" s="137"/>
      <c r="J24" s="137"/>
      <c r="K24" s="137">
        <v>0.0</v>
      </c>
      <c r="L24" s="137">
        <v>0.0</v>
      </c>
      <c r="M24" s="137">
        <v>0.0</v>
      </c>
      <c r="N24" s="137"/>
      <c r="O24" s="86"/>
      <c r="P24" s="86"/>
      <c r="Q24" s="86"/>
    </row>
    <row r="25">
      <c r="A25" s="137" t="s">
        <v>577</v>
      </c>
      <c r="B25" s="137"/>
      <c r="C25" s="137"/>
      <c r="D25" s="137">
        <v>0.04718745</v>
      </c>
      <c r="E25" s="137"/>
      <c r="F25" s="137"/>
      <c r="G25" s="137">
        <v>0.0</v>
      </c>
      <c r="H25" s="137"/>
      <c r="I25" s="137"/>
      <c r="J25" s="137"/>
      <c r="K25" s="137"/>
      <c r="L25" s="137">
        <v>0.0690700141</v>
      </c>
      <c r="M25" s="137">
        <v>0.0</v>
      </c>
      <c r="N25" s="137"/>
      <c r="O25" s="86"/>
      <c r="P25" s="86"/>
      <c r="Q25" s="86"/>
    </row>
    <row r="26">
      <c r="A26" s="137" t="s">
        <v>578</v>
      </c>
      <c r="B26" s="137"/>
      <c r="C26" s="137"/>
      <c r="D26" s="137"/>
      <c r="E26" s="137"/>
      <c r="F26" s="137"/>
      <c r="G26" s="137"/>
      <c r="H26" s="137"/>
      <c r="I26" s="137"/>
      <c r="J26" s="137"/>
      <c r="K26" s="137"/>
      <c r="L26" s="137">
        <v>0.113999999999999</v>
      </c>
      <c r="M26" s="137">
        <v>0.0</v>
      </c>
      <c r="N26" s="137"/>
      <c r="O26" s="86"/>
      <c r="P26" s="86"/>
      <c r="Q26" s="86"/>
    </row>
    <row r="27">
      <c r="A27" s="137" t="s">
        <v>579</v>
      </c>
      <c r="B27" s="137"/>
      <c r="C27" s="137">
        <v>0.0040852137499999995</v>
      </c>
      <c r="D27" s="137">
        <v>0.04151718595</v>
      </c>
      <c r="E27" s="137"/>
      <c r="F27" s="137"/>
      <c r="G27" s="137"/>
      <c r="H27" s="137">
        <v>0.0</v>
      </c>
      <c r="I27" s="137"/>
      <c r="J27" s="137"/>
      <c r="K27" s="137">
        <v>0.0</v>
      </c>
      <c r="L27" s="137">
        <v>0.0659195680499999</v>
      </c>
      <c r="M27" s="137">
        <v>0.0</v>
      </c>
      <c r="N27" s="137"/>
      <c r="O27" s="86"/>
      <c r="P27" s="86"/>
      <c r="Q27" s="86"/>
    </row>
    <row r="28">
      <c r="A28" s="137" t="s">
        <v>580</v>
      </c>
      <c r="B28" s="137"/>
      <c r="C28" s="137"/>
      <c r="D28" s="137"/>
      <c r="E28" s="137"/>
      <c r="F28" s="137"/>
      <c r="G28" s="137"/>
      <c r="H28" s="137"/>
      <c r="I28" s="137"/>
      <c r="J28" s="137"/>
      <c r="K28" s="137"/>
      <c r="L28" s="137">
        <v>0.02745097105</v>
      </c>
      <c r="M28" s="137">
        <v>0.0608369553792</v>
      </c>
      <c r="N28" s="137"/>
      <c r="O28" s="86"/>
      <c r="P28" s="86"/>
      <c r="Q28" s="86"/>
    </row>
    <row r="29">
      <c r="A29" s="137" t="s">
        <v>581</v>
      </c>
      <c r="B29" s="137">
        <v>0.0</v>
      </c>
      <c r="C29" s="137">
        <v>0.0</v>
      </c>
      <c r="D29" s="137">
        <v>0.0</v>
      </c>
      <c r="E29" s="137"/>
      <c r="F29" s="137"/>
      <c r="G29" s="137">
        <v>0.0</v>
      </c>
      <c r="H29" s="137">
        <v>0.0</v>
      </c>
      <c r="I29" s="137"/>
      <c r="J29" s="137">
        <v>0.0</v>
      </c>
      <c r="K29" s="137">
        <v>0.0</v>
      </c>
      <c r="L29" s="137">
        <v>0.0826627537499999</v>
      </c>
      <c r="M29" s="137">
        <v>0.0</v>
      </c>
      <c r="N29" s="137"/>
      <c r="O29" s="86"/>
      <c r="P29" s="86"/>
      <c r="Q29" s="86"/>
    </row>
    <row r="30">
      <c r="A30" s="137" t="s">
        <v>582</v>
      </c>
      <c r="B30" s="137">
        <v>0.0</v>
      </c>
      <c r="C30" s="137"/>
      <c r="D30" s="137"/>
      <c r="E30" s="137"/>
      <c r="F30" s="137"/>
      <c r="G30" s="137">
        <v>0.0472083709</v>
      </c>
      <c r="H30" s="137"/>
      <c r="I30" s="137"/>
      <c r="J30" s="137"/>
      <c r="K30" s="137"/>
      <c r="L30" s="137"/>
      <c r="M30" s="137">
        <v>0.0152092388448</v>
      </c>
      <c r="N30" s="137"/>
      <c r="O30" s="86"/>
      <c r="P30" s="86"/>
      <c r="Q30" s="86"/>
    </row>
    <row r="31">
      <c r="A31" s="137" t="s">
        <v>583</v>
      </c>
      <c r="B31" s="137">
        <v>0.0</v>
      </c>
      <c r="C31" s="137">
        <v>0.0</v>
      </c>
      <c r="D31" s="137"/>
      <c r="E31" s="137"/>
      <c r="F31" s="137"/>
      <c r="G31" s="137"/>
      <c r="H31" s="137"/>
      <c r="I31" s="137"/>
      <c r="J31" s="137"/>
      <c r="K31" s="137">
        <v>0.0</v>
      </c>
      <c r="L31" s="137">
        <v>0.0377869055</v>
      </c>
      <c r="M31" s="137">
        <v>0.0152092388448</v>
      </c>
      <c r="N31" s="137"/>
      <c r="O31" s="86"/>
      <c r="P31" s="86"/>
      <c r="Q31" s="86"/>
    </row>
    <row r="32">
      <c r="A32" s="137" t="s">
        <v>584</v>
      </c>
      <c r="B32" s="137"/>
      <c r="C32" s="137"/>
      <c r="D32" s="137"/>
      <c r="E32" s="137"/>
      <c r="F32" s="137"/>
      <c r="G32" s="137"/>
      <c r="H32" s="137"/>
      <c r="I32" s="137"/>
      <c r="J32" s="137"/>
      <c r="K32" s="137"/>
      <c r="L32" s="137"/>
      <c r="M32" s="137">
        <v>0.0</v>
      </c>
      <c r="N32" s="137"/>
      <c r="O32" s="86"/>
      <c r="P32" s="86"/>
      <c r="Q32" s="86"/>
    </row>
    <row r="33">
      <c r="A33" s="31"/>
      <c r="B33" s="79"/>
      <c r="C33" s="79"/>
      <c r="D33" s="79"/>
      <c r="E33" s="79"/>
      <c r="F33" s="79"/>
      <c r="G33" s="79"/>
      <c r="H33" s="79"/>
      <c r="I33" s="79"/>
      <c r="J33" s="79"/>
      <c r="K33" s="79"/>
      <c r="L33" s="79"/>
      <c r="M33" s="79"/>
      <c r="N33" s="79"/>
      <c r="O33" s="86"/>
      <c r="P33" s="86"/>
      <c r="Q33" s="86"/>
      <c r="U33" s="138"/>
      <c r="V33" s="138"/>
      <c r="W33" s="138"/>
      <c r="X33" s="86"/>
    </row>
    <row r="34">
      <c r="A34" s="31"/>
      <c r="B34" s="79"/>
      <c r="C34" s="79"/>
      <c r="D34" s="79"/>
      <c r="E34" s="79"/>
      <c r="F34" s="79"/>
      <c r="G34" s="79"/>
      <c r="H34" s="79"/>
      <c r="I34" s="79"/>
      <c r="J34" s="79"/>
      <c r="K34" s="79"/>
      <c r="L34" s="79"/>
      <c r="M34" s="79"/>
      <c r="N34" s="79"/>
      <c r="O34" s="86"/>
      <c r="P34" s="86"/>
      <c r="Q34" s="86"/>
      <c r="U34" s="138"/>
      <c r="V34" s="138"/>
      <c r="W34" s="138"/>
      <c r="X34" s="86"/>
    </row>
    <row r="35">
      <c r="A35" s="31"/>
      <c r="B35" s="31"/>
      <c r="C35" s="79"/>
      <c r="D35" s="79"/>
      <c r="E35" s="79"/>
      <c r="F35" s="31"/>
      <c r="G35" s="31"/>
      <c r="H35" s="31"/>
      <c r="I35" s="31"/>
      <c r="J35" s="31"/>
      <c r="K35" s="31"/>
      <c r="L35" s="31"/>
      <c r="M35" s="31"/>
      <c r="N35" s="31"/>
      <c r="U35" s="138"/>
      <c r="V35" s="138"/>
      <c r="W35" s="138"/>
      <c r="X35" s="86"/>
    </row>
    <row r="36">
      <c r="A36" s="31"/>
      <c r="B36" s="31"/>
      <c r="C36" s="79"/>
      <c r="D36" s="79"/>
      <c r="E36" s="79"/>
      <c r="F36" s="31"/>
      <c r="G36" s="31"/>
      <c r="H36" s="31"/>
      <c r="I36" s="31"/>
      <c r="J36" s="31"/>
      <c r="K36" s="31"/>
      <c r="L36" s="31"/>
      <c r="M36" s="31"/>
      <c r="N36" s="31"/>
      <c r="U36" s="138"/>
      <c r="V36" s="138"/>
      <c r="W36" s="138"/>
      <c r="X36" s="86"/>
    </row>
    <row r="37">
      <c r="A37" s="31"/>
      <c r="B37" s="31"/>
      <c r="C37" s="79"/>
      <c r="D37" s="79"/>
      <c r="E37" s="79"/>
      <c r="F37" s="31"/>
      <c r="G37" s="31"/>
      <c r="H37" s="31"/>
      <c r="I37" s="31"/>
      <c r="J37" s="31"/>
      <c r="K37" s="31"/>
      <c r="L37" s="31"/>
      <c r="M37" s="31"/>
      <c r="N37" s="31"/>
      <c r="U37" s="138"/>
      <c r="V37" s="138"/>
      <c r="W37" s="138"/>
      <c r="X37" s="86"/>
    </row>
    <row r="38">
      <c r="A38" s="31"/>
      <c r="B38" s="31"/>
      <c r="C38" s="79"/>
      <c r="D38" s="79"/>
      <c r="E38" s="79"/>
      <c r="F38" s="31"/>
      <c r="G38" s="31"/>
      <c r="H38" s="31"/>
      <c r="I38" s="31"/>
      <c r="J38" s="31"/>
      <c r="K38" s="31"/>
      <c r="L38" s="31"/>
      <c r="M38" s="31"/>
      <c r="N38" s="31"/>
      <c r="U38" s="138"/>
      <c r="V38" s="138"/>
      <c r="W38" s="138"/>
      <c r="X38" s="86"/>
    </row>
    <row r="39">
      <c r="A39" s="31"/>
      <c r="B39" s="31"/>
      <c r="C39" s="79"/>
      <c r="D39" s="79"/>
      <c r="E39" s="79"/>
      <c r="F39" s="31"/>
      <c r="G39" s="31"/>
      <c r="H39" s="31"/>
      <c r="I39" s="31"/>
      <c r="J39" s="31"/>
      <c r="K39" s="31"/>
      <c r="L39" s="31"/>
      <c r="M39" s="31"/>
      <c r="N39" s="31"/>
      <c r="U39" s="138"/>
      <c r="V39" s="138"/>
      <c r="W39" s="138"/>
      <c r="X39" s="86"/>
    </row>
    <row r="40">
      <c r="A40" s="31"/>
      <c r="B40" s="31"/>
      <c r="C40" s="79"/>
      <c r="D40" s="79"/>
      <c r="E40" s="79"/>
      <c r="F40" s="31"/>
      <c r="G40" s="31"/>
      <c r="H40" s="31"/>
      <c r="I40" s="31"/>
      <c r="J40" s="31"/>
      <c r="K40" s="31"/>
      <c r="L40" s="31"/>
      <c r="M40" s="31"/>
      <c r="N40" s="31"/>
      <c r="U40" s="138"/>
      <c r="V40" s="138"/>
      <c r="W40" s="138"/>
      <c r="X40" s="86"/>
    </row>
    <row r="41">
      <c r="A41" s="31"/>
      <c r="B41" s="31"/>
      <c r="C41" s="79"/>
      <c r="D41" s="79"/>
      <c r="E41" s="79"/>
      <c r="F41" s="31"/>
      <c r="G41" s="31"/>
      <c r="H41" s="31"/>
      <c r="I41" s="31"/>
      <c r="J41" s="31"/>
      <c r="K41" s="31"/>
      <c r="L41" s="31"/>
      <c r="M41" s="31"/>
      <c r="N41" s="31"/>
      <c r="U41" s="138"/>
      <c r="V41" s="138"/>
      <c r="W41" s="138"/>
      <c r="X41" s="86"/>
    </row>
    <row r="42">
      <c r="A42" s="31"/>
      <c r="B42" s="79"/>
      <c r="C42" s="79"/>
      <c r="D42" s="85"/>
      <c r="E42" s="79"/>
      <c r="F42" s="79"/>
      <c r="G42" s="79"/>
      <c r="H42" s="79"/>
      <c r="I42" s="79"/>
      <c r="J42" s="79"/>
      <c r="K42" s="79"/>
      <c r="L42" s="79"/>
      <c r="M42" s="79"/>
      <c r="N42" s="79"/>
      <c r="O42" s="86"/>
      <c r="P42" s="86"/>
      <c r="Q42" s="86"/>
      <c r="U42" s="138"/>
      <c r="V42" s="138"/>
      <c r="W42" s="138"/>
      <c r="X42" s="86"/>
    </row>
    <row r="43">
      <c r="A43" s="31"/>
      <c r="B43" s="79"/>
      <c r="C43" s="79"/>
      <c r="D43" s="79"/>
      <c r="E43" s="79"/>
      <c r="F43" s="79"/>
      <c r="G43" s="79"/>
      <c r="H43" s="79"/>
      <c r="I43" s="79"/>
      <c r="J43" s="79"/>
      <c r="K43" s="79"/>
      <c r="L43" s="79"/>
      <c r="M43" s="79"/>
      <c r="N43" s="79"/>
      <c r="O43" s="86"/>
      <c r="P43" s="86"/>
      <c r="Q43" s="86"/>
      <c r="U43" s="138"/>
      <c r="V43" s="138"/>
      <c r="W43" s="138"/>
      <c r="X43" s="86"/>
    </row>
    <row r="44">
      <c r="A44" s="31"/>
      <c r="B44" s="79"/>
      <c r="C44" s="79"/>
      <c r="D44" s="79"/>
      <c r="E44" s="79"/>
      <c r="F44" s="79"/>
      <c r="G44" s="79"/>
      <c r="H44" s="79"/>
      <c r="I44" s="79"/>
      <c r="J44" s="79"/>
      <c r="K44" s="79"/>
      <c r="L44" s="79"/>
      <c r="M44" s="79"/>
      <c r="N44" s="79"/>
      <c r="O44" s="86"/>
      <c r="P44" s="86"/>
      <c r="Q44" s="86"/>
      <c r="U44" s="138"/>
      <c r="V44" s="138"/>
      <c r="W44" s="138"/>
      <c r="X44" s="86"/>
    </row>
    <row r="45">
      <c r="A45" s="31"/>
      <c r="B45" s="79"/>
      <c r="C45" s="79"/>
      <c r="D45" s="79"/>
      <c r="E45" s="79"/>
      <c r="F45" s="79"/>
      <c r="G45" s="79"/>
      <c r="H45" s="79"/>
      <c r="I45" s="79"/>
      <c r="J45" s="79"/>
      <c r="K45" s="79"/>
      <c r="L45" s="79"/>
      <c r="M45" s="79"/>
      <c r="N45" s="79"/>
      <c r="O45" s="86"/>
      <c r="P45" s="86"/>
      <c r="Q45" s="86"/>
      <c r="U45" s="138"/>
      <c r="V45" s="138"/>
      <c r="W45" s="138"/>
      <c r="X45" s="86"/>
    </row>
    <row r="46">
      <c r="A46" s="31"/>
      <c r="B46" s="79"/>
      <c r="C46" s="79"/>
      <c r="D46" s="79"/>
      <c r="E46" s="79"/>
      <c r="F46" s="79"/>
      <c r="G46" s="79"/>
      <c r="H46" s="79"/>
      <c r="I46" s="79"/>
      <c r="J46" s="79"/>
      <c r="K46" s="79"/>
      <c r="L46" s="79"/>
      <c r="M46" s="79"/>
      <c r="N46" s="79"/>
      <c r="O46" s="86"/>
      <c r="P46" s="86"/>
      <c r="Q46" s="86"/>
      <c r="U46" s="138"/>
      <c r="V46" s="138"/>
      <c r="W46" s="138"/>
      <c r="X46" s="86"/>
    </row>
    <row r="47">
      <c r="A47" s="31"/>
      <c r="B47" s="79"/>
      <c r="C47" s="79"/>
      <c r="D47" s="79"/>
      <c r="E47" s="79"/>
      <c r="F47" s="79"/>
      <c r="G47" s="79"/>
      <c r="H47" s="79"/>
      <c r="I47" s="79"/>
      <c r="J47" s="79"/>
      <c r="K47" s="79"/>
      <c r="L47" s="79"/>
      <c r="M47" s="79"/>
      <c r="N47" s="79"/>
      <c r="O47" s="86"/>
      <c r="P47" s="86"/>
      <c r="Q47" s="86"/>
      <c r="U47" s="138"/>
      <c r="V47" s="138"/>
      <c r="W47" s="138"/>
      <c r="X47" s="86"/>
    </row>
    <row r="48">
      <c r="A48" s="31"/>
      <c r="B48" s="79"/>
      <c r="C48" s="79"/>
      <c r="D48" s="79"/>
      <c r="E48" s="79"/>
      <c r="F48" s="79"/>
      <c r="G48" s="79"/>
      <c r="H48" s="79"/>
      <c r="I48" s="79"/>
      <c r="J48" s="79"/>
      <c r="K48" s="79"/>
      <c r="L48" s="79"/>
      <c r="M48" s="79"/>
      <c r="N48" s="79"/>
      <c r="O48" s="86"/>
      <c r="P48" s="86"/>
      <c r="Q48" s="86"/>
      <c r="U48" s="138"/>
      <c r="V48" s="138"/>
      <c r="W48" s="138"/>
      <c r="X48" s="86"/>
    </row>
    <row r="49">
      <c r="A49" s="31"/>
      <c r="B49" s="79"/>
      <c r="C49" s="79"/>
      <c r="D49" s="79"/>
      <c r="E49" s="79"/>
      <c r="F49" s="79"/>
      <c r="G49" s="79"/>
      <c r="H49" s="79"/>
      <c r="I49" s="79"/>
      <c r="J49" s="79"/>
      <c r="K49" s="79"/>
      <c r="L49" s="79"/>
      <c r="M49" s="79"/>
      <c r="N49" s="79"/>
      <c r="O49" s="86"/>
      <c r="P49" s="86"/>
      <c r="Q49" s="86"/>
      <c r="U49" s="138"/>
      <c r="V49" s="138"/>
      <c r="W49" s="138"/>
      <c r="X49" s="86"/>
    </row>
    <row r="50">
      <c r="A50" s="31"/>
      <c r="B50" s="79"/>
      <c r="C50" s="79"/>
      <c r="D50" s="79"/>
      <c r="E50" s="79"/>
      <c r="F50" s="79"/>
      <c r="G50" s="79"/>
      <c r="H50" s="79"/>
      <c r="I50" s="79"/>
      <c r="J50" s="79"/>
      <c r="K50" s="79"/>
      <c r="L50" s="79"/>
      <c r="M50" s="79"/>
      <c r="N50" s="79"/>
      <c r="O50" s="86"/>
      <c r="P50" s="86"/>
      <c r="Q50" s="86"/>
      <c r="U50" s="138"/>
      <c r="V50" s="138"/>
      <c r="W50" s="138"/>
      <c r="X50" s="86"/>
    </row>
    <row r="51">
      <c r="A51" s="31"/>
      <c r="B51" s="79"/>
      <c r="C51" s="79"/>
      <c r="D51" s="79"/>
      <c r="E51" s="79"/>
      <c r="F51" s="79"/>
      <c r="G51" s="79"/>
      <c r="H51" s="79"/>
      <c r="I51" s="79"/>
      <c r="J51" s="79"/>
      <c r="K51" s="79"/>
      <c r="L51" s="79"/>
      <c r="M51" s="79"/>
      <c r="N51" s="79"/>
      <c r="O51" s="86"/>
      <c r="P51" s="86"/>
      <c r="Q51" s="86"/>
      <c r="U51" s="138"/>
      <c r="V51" s="138"/>
      <c r="W51" s="138"/>
      <c r="X51" s="86"/>
    </row>
    <row r="52">
      <c r="A52" s="31"/>
      <c r="B52" s="79"/>
      <c r="C52" s="79"/>
      <c r="D52" s="79"/>
      <c r="E52" s="79"/>
      <c r="F52" s="79"/>
      <c r="G52" s="79"/>
      <c r="H52" s="79"/>
      <c r="I52" s="79"/>
      <c r="J52" s="79"/>
      <c r="K52" s="79"/>
      <c r="L52" s="79"/>
      <c r="M52" s="79"/>
      <c r="N52" s="79"/>
      <c r="O52" s="86"/>
      <c r="P52" s="86"/>
      <c r="Q52" s="86"/>
      <c r="U52" s="138"/>
      <c r="V52" s="138"/>
      <c r="W52" s="138"/>
      <c r="X52" s="86"/>
    </row>
    <row r="53">
      <c r="A53" s="31"/>
      <c r="B53" s="79"/>
      <c r="C53" s="79"/>
      <c r="D53" s="79"/>
      <c r="E53" s="79"/>
      <c r="F53" s="79"/>
      <c r="G53" s="79"/>
      <c r="H53" s="79"/>
      <c r="I53" s="79"/>
      <c r="J53" s="79"/>
      <c r="K53" s="79"/>
      <c r="L53" s="79"/>
      <c r="M53" s="79"/>
      <c r="N53" s="79"/>
      <c r="O53" s="86"/>
      <c r="P53" s="86"/>
      <c r="Q53" s="86"/>
      <c r="U53" s="138"/>
      <c r="V53" s="138"/>
      <c r="W53" s="138"/>
      <c r="X53" s="86"/>
    </row>
    <row r="54">
      <c r="A54" s="31"/>
      <c r="B54" s="79"/>
      <c r="C54" s="79"/>
      <c r="D54" s="79"/>
      <c r="E54" s="79"/>
      <c r="F54" s="79"/>
      <c r="G54" s="79"/>
      <c r="H54" s="79"/>
      <c r="I54" s="79"/>
      <c r="J54" s="79"/>
      <c r="K54" s="79"/>
      <c r="L54" s="79"/>
      <c r="M54" s="79"/>
      <c r="N54" s="79"/>
      <c r="O54" s="86"/>
      <c r="P54" s="86"/>
      <c r="Q54" s="86"/>
      <c r="U54" s="138"/>
      <c r="V54" s="138"/>
      <c r="W54" s="138"/>
      <c r="X54" s="86"/>
    </row>
    <row r="55">
      <c r="A55" s="31"/>
      <c r="B55" s="79"/>
      <c r="C55" s="79"/>
      <c r="D55" s="79"/>
      <c r="E55" s="79"/>
      <c r="F55" s="79"/>
      <c r="G55" s="79"/>
      <c r="H55" s="79"/>
      <c r="I55" s="79"/>
      <c r="J55" s="79"/>
      <c r="K55" s="79"/>
      <c r="L55" s="79"/>
      <c r="M55" s="79"/>
      <c r="N55" s="79"/>
      <c r="O55" s="86"/>
      <c r="P55" s="86"/>
      <c r="Q55" s="86"/>
      <c r="U55" s="138"/>
      <c r="V55" s="138"/>
      <c r="W55" s="138"/>
      <c r="X55" s="86"/>
    </row>
    <row r="56">
      <c r="A56" s="31"/>
      <c r="B56" s="79"/>
      <c r="C56" s="79"/>
      <c r="D56" s="79"/>
      <c r="E56" s="79"/>
      <c r="F56" s="79"/>
      <c r="G56" s="79"/>
      <c r="H56" s="79"/>
      <c r="I56" s="79"/>
      <c r="J56" s="79"/>
      <c r="K56" s="79"/>
      <c r="L56" s="79"/>
      <c r="M56" s="79"/>
      <c r="N56" s="79"/>
      <c r="O56" s="86"/>
      <c r="P56" s="86"/>
      <c r="Q56" s="86"/>
      <c r="U56" s="138"/>
      <c r="V56" s="138"/>
      <c r="W56" s="138"/>
      <c r="X56" s="86"/>
    </row>
    <row r="57">
      <c r="A57" s="31"/>
      <c r="B57" s="79"/>
      <c r="C57" s="79"/>
      <c r="D57" s="79"/>
      <c r="E57" s="79"/>
      <c r="F57" s="79"/>
      <c r="G57" s="79"/>
      <c r="H57" s="79"/>
      <c r="I57" s="79"/>
      <c r="J57" s="79"/>
      <c r="K57" s="79"/>
      <c r="L57" s="79"/>
      <c r="M57" s="79"/>
      <c r="N57" s="79"/>
      <c r="O57" s="86"/>
      <c r="P57" s="86"/>
      <c r="Q57" s="86"/>
      <c r="U57" s="138"/>
      <c r="V57" s="138"/>
      <c r="W57" s="138"/>
      <c r="X57" s="86"/>
    </row>
    <row r="58">
      <c r="A58" s="31"/>
      <c r="B58" s="79"/>
      <c r="C58" s="79"/>
      <c r="D58" s="79"/>
      <c r="E58" s="79"/>
      <c r="F58" s="79"/>
      <c r="G58" s="79"/>
      <c r="H58" s="79"/>
      <c r="I58" s="79"/>
      <c r="J58" s="79"/>
      <c r="K58" s="79"/>
      <c r="L58" s="79"/>
      <c r="M58" s="79"/>
      <c r="N58" s="79"/>
      <c r="O58" s="86"/>
      <c r="P58" s="86"/>
      <c r="Q58" s="86"/>
      <c r="U58" s="138"/>
      <c r="V58" s="138"/>
      <c r="W58" s="138"/>
      <c r="X58" s="86"/>
    </row>
    <row r="59">
      <c r="A59" s="31"/>
      <c r="B59" s="79"/>
      <c r="C59" s="79"/>
      <c r="D59" s="79"/>
      <c r="E59" s="79"/>
      <c r="F59" s="79"/>
      <c r="G59" s="79"/>
      <c r="H59" s="79"/>
      <c r="I59" s="79"/>
      <c r="J59" s="79"/>
      <c r="K59" s="79"/>
      <c r="L59" s="79"/>
      <c r="M59" s="79"/>
      <c r="N59" s="79"/>
      <c r="O59" s="86"/>
      <c r="P59" s="86"/>
      <c r="Q59" s="86"/>
      <c r="U59" s="138"/>
      <c r="V59" s="138"/>
      <c r="W59" s="138"/>
      <c r="X59" s="86"/>
    </row>
    <row r="60">
      <c r="A60" s="31"/>
      <c r="B60" s="79"/>
      <c r="C60" s="79"/>
      <c r="D60" s="79"/>
      <c r="E60" s="79"/>
      <c r="F60" s="79"/>
      <c r="G60" s="79"/>
      <c r="H60" s="79"/>
      <c r="I60" s="79"/>
      <c r="J60" s="79"/>
      <c r="K60" s="79"/>
      <c r="L60" s="79"/>
      <c r="M60" s="79"/>
      <c r="N60" s="79"/>
      <c r="O60" s="86"/>
      <c r="P60" s="86"/>
      <c r="Q60" s="86"/>
      <c r="U60" s="138"/>
      <c r="V60" s="138"/>
      <c r="W60" s="138"/>
      <c r="X60" s="86"/>
    </row>
    <row r="61">
      <c r="A61" s="31"/>
      <c r="B61" s="79"/>
      <c r="C61" s="79"/>
      <c r="D61" s="79"/>
      <c r="E61" s="79"/>
      <c r="F61" s="79"/>
      <c r="G61" s="79"/>
      <c r="H61" s="79"/>
      <c r="I61" s="79"/>
      <c r="J61" s="79"/>
      <c r="K61" s="79"/>
      <c r="L61" s="79"/>
      <c r="M61" s="79"/>
      <c r="N61" s="79"/>
      <c r="O61" s="86"/>
      <c r="P61" s="86"/>
      <c r="Q61" s="86"/>
      <c r="U61" s="138"/>
      <c r="V61" s="138"/>
      <c r="W61" s="138"/>
      <c r="X61" s="86"/>
    </row>
    <row r="62">
      <c r="A62" s="31"/>
      <c r="B62" s="79"/>
      <c r="C62" s="79"/>
      <c r="D62" s="79"/>
      <c r="E62" s="79"/>
      <c r="F62" s="79"/>
      <c r="G62" s="79"/>
      <c r="H62" s="79"/>
      <c r="I62" s="79"/>
      <c r="J62" s="79"/>
      <c r="K62" s="79"/>
      <c r="L62" s="79"/>
      <c r="M62" s="79"/>
      <c r="N62" s="79"/>
      <c r="O62" s="86"/>
      <c r="P62" s="86"/>
      <c r="Q62" s="86"/>
      <c r="U62" s="138"/>
      <c r="V62" s="138"/>
      <c r="W62" s="138"/>
      <c r="X62" s="86"/>
    </row>
    <row r="63">
      <c r="A63" s="31"/>
      <c r="B63" s="79"/>
      <c r="C63" s="79"/>
      <c r="D63" s="79"/>
      <c r="E63" s="79"/>
      <c r="F63" s="79"/>
      <c r="G63" s="79"/>
      <c r="H63" s="79"/>
      <c r="I63" s="79"/>
      <c r="J63" s="79"/>
      <c r="K63" s="79"/>
      <c r="L63" s="79"/>
      <c r="M63" s="79"/>
      <c r="N63" s="79"/>
      <c r="O63" s="86"/>
      <c r="P63" s="86"/>
      <c r="Q63" s="86"/>
      <c r="U63" s="138"/>
      <c r="V63" s="138"/>
      <c r="W63" s="138"/>
      <c r="X63" s="86"/>
    </row>
    <row r="64">
      <c r="A64" s="31"/>
      <c r="B64" s="79"/>
      <c r="C64" s="79"/>
      <c r="D64" s="79"/>
      <c r="E64" s="79"/>
      <c r="F64" s="79"/>
      <c r="G64" s="79"/>
      <c r="H64" s="79"/>
      <c r="I64" s="79"/>
      <c r="J64" s="79"/>
      <c r="K64" s="79"/>
      <c r="L64" s="79"/>
      <c r="M64" s="79"/>
      <c r="N64" s="79"/>
      <c r="O64" s="86"/>
      <c r="P64" s="86"/>
      <c r="Q64" s="86"/>
      <c r="U64" s="138"/>
      <c r="V64" s="138"/>
      <c r="W64" s="138"/>
      <c r="X64" s="86"/>
    </row>
    <row r="65">
      <c r="A65" s="31"/>
      <c r="B65" s="79"/>
      <c r="C65" s="79"/>
      <c r="D65" s="79"/>
      <c r="E65" s="79"/>
      <c r="F65" s="79"/>
      <c r="G65" s="79"/>
      <c r="H65" s="79"/>
      <c r="I65" s="79"/>
      <c r="J65" s="79"/>
      <c r="K65" s="79"/>
      <c r="L65" s="79"/>
      <c r="M65" s="79"/>
      <c r="N65" s="79"/>
      <c r="O65" s="86"/>
      <c r="P65" s="86"/>
      <c r="Q65" s="86"/>
      <c r="U65" s="138"/>
      <c r="V65" s="138"/>
      <c r="W65" s="138"/>
      <c r="X65" s="86"/>
    </row>
    <row r="66">
      <c r="A66" s="31"/>
      <c r="B66" s="79"/>
      <c r="C66" s="79"/>
      <c r="D66" s="79"/>
      <c r="E66" s="79"/>
      <c r="F66" s="79"/>
      <c r="G66" s="79"/>
      <c r="H66" s="79"/>
      <c r="I66" s="79"/>
      <c r="J66" s="79"/>
      <c r="K66" s="79"/>
      <c r="L66" s="79"/>
      <c r="M66" s="79"/>
      <c r="N66" s="79"/>
      <c r="O66" s="86"/>
      <c r="P66" s="86"/>
      <c r="Q66" s="86"/>
      <c r="U66" s="138"/>
      <c r="V66" s="138"/>
      <c r="W66" s="138"/>
      <c r="X66" s="86"/>
    </row>
    <row r="67">
      <c r="A67" s="31"/>
      <c r="B67" s="79"/>
      <c r="C67" s="79"/>
      <c r="D67" s="79"/>
      <c r="E67" s="79"/>
      <c r="F67" s="79"/>
      <c r="G67" s="79"/>
      <c r="H67" s="79"/>
      <c r="I67" s="79"/>
      <c r="J67" s="79"/>
      <c r="K67" s="79"/>
      <c r="L67" s="79"/>
      <c r="M67" s="79"/>
      <c r="N67" s="79"/>
      <c r="O67" s="86"/>
      <c r="P67" s="86"/>
      <c r="Q67" s="86"/>
      <c r="U67" s="138"/>
      <c r="V67" s="138"/>
      <c r="W67" s="138"/>
      <c r="X67" s="86"/>
    </row>
    <row r="68">
      <c r="A68" s="31"/>
      <c r="B68" s="79"/>
      <c r="C68" s="79"/>
      <c r="D68" s="79"/>
      <c r="E68" s="79"/>
      <c r="F68" s="79"/>
      <c r="G68" s="79"/>
      <c r="H68" s="79"/>
      <c r="I68" s="79"/>
      <c r="J68" s="79"/>
      <c r="K68" s="79"/>
      <c r="L68" s="79"/>
      <c r="M68" s="79"/>
      <c r="N68" s="79"/>
      <c r="O68" s="86"/>
      <c r="P68" s="86"/>
      <c r="Q68" s="86"/>
      <c r="U68" s="138"/>
      <c r="V68" s="138"/>
      <c r="W68" s="138"/>
      <c r="X68" s="86"/>
    </row>
    <row r="69">
      <c r="A69" s="31"/>
      <c r="B69" s="79"/>
      <c r="C69" s="79"/>
      <c r="D69" s="79"/>
      <c r="E69" s="79"/>
      <c r="F69" s="79"/>
      <c r="G69" s="79"/>
      <c r="H69" s="79"/>
      <c r="I69" s="79"/>
      <c r="J69" s="79"/>
      <c r="K69" s="79"/>
      <c r="L69" s="79"/>
      <c r="M69" s="79"/>
      <c r="N69" s="79"/>
      <c r="O69" s="86"/>
      <c r="P69" s="86"/>
      <c r="Q69" s="86"/>
      <c r="U69" s="138"/>
      <c r="V69" s="138"/>
      <c r="W69" s="138"/>
      <c r="X69" s="86"/>
    </row>
    <row r="70">
      <c r="A70" s="31"/>
      <c r="B70" s="79"/>
      <c r="C70" s="79"/>
      <c r="D70" s="79"/>
      <c r="E70" s="79"/>
      <c r="F70" s="79"/>
      <c r="G70" s="79"/>
      <c r="H70" s="79"/>
      <c r="I70" s="79"/>
      <c r="J70" s="79"/>
      <c r="K70" s="79"/>
      <c r="L70" s="79"/>
      <c r="M70" s="79"/>
      <c r="N70" s="79"/>
      <c r="O70" s="86"/>
      <c r="P70" s="86"/>
      <c r="Q70" s="86"/>
      <c r="U70" s="138"/>
      <c r="V70" s="138"/>
      <c r="W70" s="138"/>
      <c r="X70" s="86"/>
    </row>
    <row r="71">
      <c r="A71" s="31"/>
      <c r="B71" s="79"/>
      <c r="C71" s="79"/>
      <c r="D71" s="79"/>
      <c r="E71" s="79"/>
      <c r="F71" s="79"/>
      <c r="G71" s="79"/>
      <c r="H71" s="79"/>
      <c r="I71" s="79"/>
      <c r="J71" s="79"/>
      <c r="K71" s="79"/>
      <c r="L71" s="79"/>
      <c r="M71" s="79"/>
      <c r="N71" s="79"/>
      <c r="O71" s="86"/>
      <c r="P71" s="86"/>
      <c r="Q71" s="86"/>
      <c r="U71" s="138"/>
      <c r="V71" s="138"/>
      <c r="W71" s="138"/>
      <c r="X71" s="86"/>
    </row>
    <row r="72">
      <c r="A72" s="31"/>
      <c r="B72" s="79"/>
      <c r="C72" s="79"/>
      <c r="D72" s="79"/>
      <c r="E72" s="79"/>
      <c r="F72" s="79"/>
      <c r="G72" s="79"/>
      <c r="H72" s="79"/>
      <c r="I72" s="79"/>
      <c r="J72" s="79"/>
      <c r="K72" s="79"/>
      <c r="L72" s="79"/>
      <c r="M72" s="79"/>
      <c r="N72" s="79"/>
      <c r="O72" s="86"/>
      <c r="P72" s="86"/>
      <c r="Q72" s="86"/>
      <c r="U72" s="138"/>
      <c r="V72" s="138"/>
      <c r="W72" s="138"/>
      <c r="X72" s="86"/>
    </row>
    <row r="73">
      <c r="A73" s="31"/>
      <c r="B73" s="79"/>
      <c r="C73" s="79"/>
      <c r="D73" s="79"/>
      <c r="E73" s="79"/>
      <c r="F73" s="79"/>
      <c r="G73" s="79"/>
      <c r="H73" s="79"/>
      <c r="I73" s="79"/>
      <c r="J73" s="79"/>
      <c r="K73" s="79"/>
      <c r="L73" s="79"/>
      <c r="M73" s="79"/>
      <c r="N73" s="79"/>
      <c r="O73" s="86"/>
      <c r="P73" s="86"/>
      <c r="Q73" s="86"/>
      <c r="U73" s="138"/>
      <c r="V73" s="138"/>
      <c r="W73" s="138"/>
      <c r="X73" s="86"/>
    </row>
    <row r="74">
      <c r="A74" s="31"/>
      <c r="B74" s="31"/>
      <c r="C74" s="79"/>
      <c r="D74" s="79"/>
      <c r="E74" s="79"/>
      <c r="F74" s="31"/>
      <c r="G74" s="31"/>
      <c r="H74" s="31"/>
      <c r="I74" s="31"/>
      <c r="J74" s="31"/>
      <c r="K74" s="31"/>
      <c r="L74" s="31"/>
      <c r="M74" s="31"/>
      <c r="N74" s="31"/>
      <c r="U74" s="138"/>
      <c r="V74" s="138"/>
      <c r="W74" s="138"/>
      <c r="X74" s="86"/>
    </row>
    <row r="75">
      <c r="A75" s="31"/>
      <c r="B75" s="31"/>
      <c r="C75" s="79"/>
      <c r="D75" s="79"/>
      <c r="E75" s="79"/>
      <c r="F75" s="31"/>
      <c r="G75" s="31"/>
      <c r="H75" s="31"/>
      <c r="I75" s="31"/>
      <c r="J75" s="31"/>
      <c r="K75" s="31"/>
      <c r="L75" s="31"/>
      <c r="M75" s="31"/>
      <c r="N75" s="31"/>
      <c r="U75" s="138"/>
      <c r="V75" s="138"/>
      <c r="W75" s="138"/>
      <c r="X75" s="86"/>
    </row>
    <row r="76">
      <c r="A76" s="31"/>
      <c r="B76" s="31"/>
      <c r="C76" s="79"/>
      <c r="D76" s="79"/>
      <c r="E76" s="79"/>
      <c r="F76" s="31"/>
      <c r="G76" s="31"/>
      <c r="H76" s="31"/>
      <c r="I76" s="31"/>
      <c r="J76" s="31"/>
      <c r="K76" s="31"/>
      <c r="L76" s="31"/>
      <c r="M76" s="31"/>
      <c r="N76" s="31"/>
      <c r="U76" s="138"/>
      <c r="V76" s="138"/>
      <c r="W76" s="138"/>
      <c r="X76" s="86"/>
    </row>
    <row r="77">
      <c r="A77" s="31"/>
      <c r="B77" s="31"/>
      <c r="C77" s="79"/>
      <c r="D77" s="79"/>
      <c r="E77" s="79"/>
      <c r="F77" s="31"/>
      <c r="G77" s="31"/>
      <c r="H77" s="31"/>
      <c r="I77" s="31"/>
      <c r="J77" s="31"/>
      <c r="K77" s="31"/>
      <c r="L77" s="31"/>
      <c r="M77" s="31"/>
      <c r="N77" s="31"/>
      <c r="U77" s="138"/>
      <c r="V77" s="138"/>
      <c r="W77" s="138"/>
      <c r="X77" s="86"/>
    </row>
    <row r="78">
      <c r="A78" s="31"/>
      <c r="B78" s="31"/>
      <c r="C78" s="79"/>
      <c r="D78" s="79"/>
      <c r="E78" s="79"/>
      <c r="F78" s="31"/>
      <c r="G78" s="31"/>
      <c r="H78" s="31"/>
      <c r="I78" s="31"/>
      <c r="J78" s="31"/>
      <c r="K78" s="31"/>
      <c r="L78" s="31"/>
      <c r="M78" s="31"/>
      <c r="N78" s="31"/>
      <c r="U78" s="138"/>
      <c r="V78" s="138"/>
      <c r="W78" s="138"/>
      <c r="X78" s="86"/>
    </row>
    <row r="79">
      <c r="A79" s="31"/>
      <c r="B79" s="31"/>
      <c r="C79" s="79"/>
      <c r="D79" s="79"/>
      <c r="E79" s="79"/>
      <c r="F79" s="31"/>
      <c r="G79" s="31"/>
      <c r="H79" s="31"/>
      <c r="I79" s="31"/>
      <c r="J79" s="31"/>
      <c r="K79" s="31"/>
      <c r="L79" s="31"/>
      <c r="M79" s="31"/>
      <c r="N79" s="31"/>
      <c r="U79" s="138"/>
      <c r="V79" s="138"/>
      <c r="W79" s="138"/>
      <c r="X79" s="86"/>
    </row>
    <row r="80">
      <c r="A80" s="31"/>
      <c r="B80" s="31"/>
      <c r="C80" s="79"/>
      <c r="D80" s="79"/>
      <c r="E80" s="79"/>
      <c r="F80" s="31"/>
      <c r="G80" s="31"/>
      <c r="H80" s="31"/>
      <c r="I80" s="31"/>
      <c r="J80" s="31"/>
      <c r="K80" s="31"/>
      <c r="L80" s="31"/>
      <c r="M80" s="31"/>
      <c r="N80" s="31"/>
      <c r="U80" s="138"/>
      <c r="V80" s="138"/>
      <c r="W80" s="138"/>
      <c r="X80" s="86"/>
    </row>
    <row r="81">
      <c r="A81" s="31"/>
      <c r="B81" s="31"/>
      <c r="C81" s="79"/>
      <c r="D81" s="79"/>
      <c r="E81" s="79"/>
      <c r="F81" s="31"/>
      <c r="G81" s="31"/>
      <c r="H81" s="31"/>
      <c r="I81" s="31"/>
      <c r="J81" s="31"/>
      <c r="K81" s="31"/>
      <c r="L81" s="31"/>
      <c r="M81" s="31"/>
      <c r="N81" s="31"/>
      <c r="U81" s="138"/>
      <c r="V81" s="138"/>
      <c r="W81" s="138"/>
      <c r="X81" s="86"/>
    </row>
    <row r="82">
      <c r="A82" s="31"/>
      <c r="B82" s="31"/>
      <c r="C82" s="79"/>
      <c r="D82" s="79"/>
      <c r="E82" s="79"/>
      <c r="F82" s="31"/>
      <c r="G82" s="31"/>
      <c r="H82" s="31"/>
      <c r="I82" s="31"/>
      <c r="J82" s="31"/>
      <c r="K82" s="31"/>
      <c r="L82" s="31"/>
      <c r="M82" s="31"/>
      <c r="N82" s="31"/>
      <c r="U82" s="138"/>
      <c r="V82" s="138"/>
      <c r="W82" s="138"/>
      <c r="X82" s="86"/>
    </row>
    <row r="83">
      <c r="A83" s="31"/>
      <c r="B83" s="31"/>
      <c r="C83" s="79"/>
      <c r="D83" s="79"/>
      <c r="E83" s="79"/>
      <c r="F83" s="31"/>
      <c r="G83" s="31"/>
      <c r="H83" s="31"/>
      <c r="I83" s="31"/>
      <c r="J83" s="31"/>
      <c r="K83" s="31"/>
      <c r="L83" s="31"/>
      <c r="M83" s="31"/>
      <c r="N83" s="31"/>
      <c r="U83" s="138"/>
      <c r="V83" s="138"/>
      <c r="W83" s="138"/>
      <c r="X83" s="86"/>
    </row>
    <row r="84">
      <c r="A84" s="31"/>
      <c r="B84" s="31"/>
      <c r="C84" s="79"/>
      <c r="D84" s="79"/>
      <c r="E84" s="79"/>
      <c r="F84" s="31"/>
      <c r="G84" s="31"/>
      <c r="H84" s="31"/>
      <c r="I84" s="31"/>
      <c r="J84" s="31"/>
      <c r="K84" s="31"/>
      <c r="L84" s="31"/>
      <c r="M84" s="31"/>
      <c r="N84" s="31"/>
      <c r="U84" s="138"/>
      <c r="V84" s="138"/>
      <c r="W84" s="138"/>
      <c r="X84" s="86"/>
    </row>
    <row r="85">
      <c r="A85" s="31"/>
      <c r="B85" s="31"/>
      <c r="C85" s="79"/>
      <c r="D85" s="79"/>
      <c r="E85" s="79"/>
      <c r="F85" s="31"/>
      <c r="G85" s="31"/>
      <c r="H85" s="31"/>
      <c r="I85" s="31"/>
      <c r="J85" s="31"/>
      <c r="K85" s="31"/>
      <c r="L85" s="31"/>
      <c r="M85" s="31"/>
      <c r="N85" s="31"/>
      <c r="U85" s="138"/>
      <c r="V85" s="138"/>
      <c r="W85" s="138"/>
      <c r="X85" s="86"/>
    </row>
    <row r="86">
      <c r="A86" s="31"/>
      <c r="B86" s="31"/>
      <c r="C86" s="79"/>
      <c r="D86" s="79"/>
      <c r="E86" s="79"/>
      <c r="F86" s="31"/>
      <c r="G86" s="31"/>
      <c r="H86" s="31"/>
      <c r="I86" s="31"/>
      <c r="J86" s="31"/>
      <c r="K86" s="31"/>
      <c r="L86" s="31"/>
      <c r="M86" s="31"/>
      <c r="N86" s="31"/>
      <c r="U86" s="138"/>
      <c r="V86" s="138"/>
      <c r="W86" s="138"/>
      <c r="X86" s="86"/>
    </row>
    <row r="87">
      <c r="A87" s="31"/>
      <c r="B87" s="31"/>
      <c r="C87" s="79"/>
      <c r="D87" s="79"/>
      <c r="E87" s="79"/>
      <c r="F87" s="31"/>
      <c r="G87" s="31"/>
      <c r="H87" s="31"/>
      <c r="I87" s="31"/>
      <c r="J87" s="31"/>
      <c r="K87" s="31"/>
      <c r="L87" s="31"/>
      <c r="M87" s="31"/>
      <c r="N87" s="31"/>
      <c r="U87" s="138"/>
      <c r="V87" s="138"/>
      <c r="W87" s="138"/>
      <c r="X87" s="86"/>
    </row>
    <row r="88">
      <c r="A88" s="31"/>
      <c r="B88" s="31"/>
      <c r="C88" s="79"/>
      <c r="D88" s="79"/>
      <c r="E88" s="79"/>
      <c r="F88" s="31"/>
      <c r="G88" s="31"/>
      <c r="H88" s="31"/>
      <c r="I88" s="31"/>
      <c r="J88" s="31"/>
      <c r="K88" s="31"/>
      <c r="L88" s="31"/>
      <c r="M88" s="31"/>
      <c r="N88" s="31"/>
      <c r="U88" s="138"/>
      <c r="V88" s="138"/>
      <c r="W88" s="138"/>
      <c r="X88" s="86"/>
    </row>
    <row r="89">
      <c r="A89" s="31"/>
      <c r="B89" s="31"/>
      <c r="C89" s="79"/>
      <c r="D89" s="79"/>
      <c r="E89" s="79"/>
      <c r="F89" s="31"/>
      <c r="G89" s="31"/>
      <c r="H89" s="31"/>
      <c r="I89" s="31"/>
      <c r="J89" s="31"/>
      <c r="K89" s="31"/>
      <c r="L89" s="31"/>
      <c r="M89" s="31"/>
      <c r="N89" s="31"/>
      <c r="U89" s="138"/>
      <c r="V89" s="138"/>
      <c r="W89" s="138"/>
      <c r="X89" s="86"/>
    </row>
    <row r="90">
      <c r="A90" s="31"/>
      <c r="B90" s="31"/>
      <c r="C90" s="79"/>
      <c r="D90" s="79"/>
      <c r="E90" s="79"/>
      <c r="F90" s="31"/>
      <c r="G90" s="31"/>
      <c r="H90" s="31"/>
      <c r="I90" s="31"/>
      <c r="J90" s="31"/>
      <c r="K90" s="31"/>
      <c r="L90" s="31"/>
      <c r="M90" s="31"/>
      <c r="N90" s="31"/>
      <c r="U90" s="138"/>
      <c r="V90" s="138"/>
      <c r="W90" s="138"/>
      <c r="X90" s="86"/>
    </row>
    <row r="91">
      <c r="A91" s="31"/>
      <c r="B91" s="31"/>
      <c r="C91" s="79"/>
      <c r="D91" s="79"/>
      <c r="E91" s="79"/>
      <c r="F91" s="31"/>
      <c r="G91" s="31"/>
      <c r="H91" s="31"/>
      <c r="I91" s="31"/>
      <c r="J91" s="31"/>
      <c r="K91" s="31"/>
      <c r="L91" s="31"/>
      <c r="M91" s="31"/>
      <c r="N91" s="31"/>
      <c r="U91" s="138"/>
      <c r="V91" s="138"/>
      <c r="W91" s="138"/>
      <c r="X91" s="86"/>
    </row>
    <row r="92">
      <c r="A92" s="31"/>
      <c r="B92" s="31"/>
      <c r="C92" s="79"/>
      <c r="D92" s="79"/>
      <c r="E92" s="79"/>
      <c r="F92" s="31"/>
      <c r="G92" s="31"/>
      <c r="H92" s="31"/>
      <c r="I92" s="31"/>
      <c r="J92" s="31"/>
      <c r="K92" s="31"/>
      <c r="L92" s="31"/>
      <c r="M92" s="31"/>
      <c r="N92" s="31"/>
      <c r="U92" s="138"/>
      <c r="V92" s="138"/>
      <c r="W92" s="138"/>
      <c r="X92" s="86"/>
    </row>
    <row r="93">
      <c r="A93" s="31"/>
      <c r="B93" s="31"/>
      <c r="C93" s="79"/>
      <c r="D93" s="79"/>
      <c r="E93" s="79"/>
      <c r="F93" s="31"/>
      <c r="G93" s="31"/>
      <c r="H93" s="31"/>
      <c r="I93" s="31"/>
      <c r="J93" s="31"/>
      <c r="K93" s="31"/>
      <c r="L93" s="31"/>
      <c r="M93" s="31"/>
      <c r="N93" s="31"/>
      <c r="U93" s="138"/>
      <c r="V93" s="138"/>
      <c r="W93" s="138"/>
      <c r="X93" s="86"/>
    </row>
    <row r="94">
      <c r="A94" s="31"/>
      <c r="B94" s="31"/>
      <c r="C94" s="79"/>
      <c r="D94" s="79"/>
      <c r="E94" s="79"/>
      <c r="F94" s="31"/>
      <c r="G94" s="31"/>
      <c r="H94" s="31"/>
      <c r="I94" s="31"/>
      <c r="J94" s="31"/>
      <c r="K94" s="31"/>
      <c r="L94" s="31"/>
      <c r="M94" s="31"/>
      <c r="N94" s="31"/>
      <c r="U94" s="138"/>
      <c r="V94" s="138"/>
      <c r="W94" s="138"/>
      <c r="X94" s="86"/>
    </row>
    <row r="95">
      <c r="A95" s="31"/>
      <c r="B95" s="31"/>
      <c r="C95" s="79"/>
      <c r="D95" s="79"/>
      <c r="E95" s="79"/>
      <c r="F95" s="31"/>
      <c r="G95" s="31"/>
      <c r="H95" s="31"/>
      <c r="I95" s="31"/>
      <c r="J95" s="31"/>
      <c r="K95" s="31"/>
      <c r="L95" s="31"/>
      <c r="M95" s="31"/>
      <c r="N95" s="31"/>
      <c r="U95" s="138"/>
      <c r="V95" s="138"/>
      <c r="W95" s="138"/>
      <c r="X95" s="86"/>
    </row>
    <row r="96">
      <c r="A96" s="31"/>
      <c r="B96" s="31"/>
      <c r="C96" s="79"/>
      <c r="D96" s="79"/>
      <c r="E96" s="79"/>
      <c r="F96" s="31"/>
      <c r="G96" s="31"/>
      <c r="H96" s="31"/>
      <c r="I96" s="31"/>
      <c r="J96" s="31"/>
      <c r="K96" s="31"/>
      <c r="L96" s="31"/>
      <c r="M96" s="31"/>
      <c r="N96" s="31"/>
      <c r="U96" s="138"/>
      <c r="V96" s="138"/>
      <c r="W96" s="138"/>
      <c r="X96" s="86"/>
    </row>
    <row r="97">
      <c r="A97" s="31"/>
      <c r="B97" s="31"/>
      <c r="C97" s="79"/>
      <c r="D97" s="79"/>
      <c r="E97" s="79"/>
      <c r="F97" s="31"/>
      <c r="G97" s="31"/>
      <c r="H97" s="31"/>
      <c r="I97" s="31"/>
      <c r="J97" s="31"/>
      <c r="K97" s="31"/>
      <c r="L97" s="31"/>
      <c r="M97" s="31"/>
      <c r="N97" s="31"/>
      <c r="U97" s="138"/>
      <c r="V97" s="138"/>
      <c r="W97" s="138"/>
      <c r="X97" s="86"/>
    </row>
    <row r="98">
      <c r="A98" s="31"/>
      <c r="B98" s="31"/>
      <c r="C98" s="79"/>
      <c r="D98" s="79"/>
      <c r="E98" s="79"/>
      <c r="F98" s="31"/>
      <c r="G98" s="31"/>
      <c r="H98" s="31"/>
      <c r="I98" s="31"/>
      <c r="J98" s="31"/>
      <c r="K98" s="31"/>
      <c r="L98" s="31"/>
      <c r="M98" s="31"/>
      <c r="N98" s="31"/>
      <c r="U98" s="138"/>
      <c r="V98" s="138"/>
      <c r="W98" s="138"/>
      <c r="X98" s="86"/>
    </row>
    <row r="99">
      <c r="A99" s="31"/>
      <c r="B99" s="31"/>
      <c r="C99" s="79"/>
      <c r="D99" s="79"/>
      <c r="E99" s="79"/>
      <c r="F99" s="31"/>
      <c r="G99" s="31"/>
      <c r="H99" s="31"/>
      <c r="I99" s="31"/>
      <c r="J99" s="31"/>
      <c r="K99" s="31"/>
      <c r="L99" s="31"/>
      <c r="M99" s="31"/>
      <c r="N99" s="31"/>
      <c r="U99" s="138"/>
      <c r="V99" s="138"/>
      <c r="W99" s="138"/>
      <c r="X99" s="86"/>
    </row>
    <row r="100">
      <c r="A100" s="31"/>
      <c r="B100" s="31"/>
      <c r="C100" s="79"/>
      <c r="D100" s="79"/>
      <c r="E100" s="79"/>
      <c r="F100" s="31"/>
      <c r="G100" s="31"/>
      <c r="H100" s="31"/>
      <c r="I100" s="31"/>
      <c r="J100" s="31"/>
      <c r="K100" s="31"/>
      <c r="L100" s="31"/>
      <c r="M100" s="31"/>
      <c r="N100" s="31"/>
      <c r="U100" s="138"/>
      <c r="V100" s="138"/>
      <c r="W100" s="138"/>
      <c r="X100" s="86"/>
    </row>
    <row r="101">
      <c r="A101" s="31"/>
      <c r="B101" s="31"/>
      <c r="C101" s="79"/>
      <c r="D101" s="79"/>
      <c r="E101" s="79"/>
      <c r="F101" s="31"/>
      <c r="G101" s="31"/>
      <c r="H101" s="31"/>
      <c r="I101" s="31"/>
      <c r="J101" s="31"/>
      <c r="K101" s="31"/>
      <c r="L101" s="31"/>
      <c r="M101" s="31"/>
      <c r="N101" s="31"/>
      <c r="U101" s="138"/>
      <c r="V101" s="138"/>
      <c r="W101" s="138"/>
      <c r="X101" s="86"/>
    </row>
    <row r="102">
      <c r="A102" s="31"/>
      <c r="B102" s="31"/>
      <c r="C102" s="79"/>
      <c r="D102" s="79"/>
      <c r="E102" s="79"/>
      <c r="F102" s="31"/>
      <c r="G102" s="31"/>
      <c r="H102" s="31"/>
      <c r="I102" s="31"/>
      <c r="J102" s="31"/>
      <c r="K102" s="31"/>
      <c r="L102" s="31"/>
      <c r="M102" s="31"/>
      <c r="N102" s="31"/>
      <c r="U102" s="138"/>
      <c r="V102" s="138"/>
      <c r="W102" s="138"/>
      <c r="X102" s="86"/>
    </row>
    <row r="103">
      <c r="A103" s="31"/>
      <c r="B103" s="31"/>
      <c r="C103" s="79"/>
      <c r="D103" s="79"/>
      <c r="E103" s="79"/>
      <c r="F103" s="31"/>
      <c r="G103" s="31"/>
      <c r="H103" s="31"/>
      <c r="I103" s="31"/>
      <c r="J103" s="31"/>
      <c r="K103" s="31"/>
      <c r="L103" s="31"/>
      <c r="M103" s="31"/>
      <c r="N103" s="31"/>
      <c r="U103" s="138"/>
      <c r="V103" s="138"/>
      <c r="W103" s="138"/>
      <c r="X103" s="86"/>
    </row>
    <row r="104">
      <c r="A104" s="31"/>
      <c r="B104" s="31"/>
      <c r="C104" s="79"/>
      <c r="D104" s="79"/>
      <c r="E104" s="79"/>
      <c r="F104" s="31"/>
      <c r="G104" s="31"/>
      <c r="H104" s="31"/>
      <c r="I104" s="31"/>
      <c r="J104" s="31"/>
      <c r="K104" s="31"/>
      <c r="L104" s="31"/>
      <c r="M104" s="31"/>
      <c r="N104" s="31"/>
      <c r="U104" s="138"/>
      <c r="V104" s="138"/>
      <c r="W104" s="138"/>
      <c r="X104" s="86"/>
    </row>
    <row r="105">
      <c r="A105" s="31"/>
      <c r="B105" s="31"/>
      <c r="C105" s="79"/>
      <c r="D105" s="79"/>
      <c r="E105" s="79"/>
      <c r="F105" s="31"/>
      <c r="G105" s="31"/>
      <c r="H105" s="31"/>
      <c r="I105" s="31"/>
      <c r="J105" s="31"/>
      <c r="K105" s="31"/>
      <c r="L105" s="31"/>
      <c r="M105" s="31"/>
      <c r="N105" s="31"/>
      <c r="U105" s="138"/>
      <c r="V105" s="138"/>
      <c r="W105" s="138"/>
      <c r="X105" s="86"/>
    </row>
    <row r="106">
      <c r="A106" s="31"/>
      <c r="B106" s="31"/>
      <c r="C106" s="79"/>
      <c r="D106" s="79"/>
      <c r="E106" s="79"/>
      <c r="F106" s="31"/>
      <c r="G106" s="31"/>
      <c r="H106" s="31"/>
      <c r="I106" s="31"/>
      <c r="J106" s="31"/>
      <c r="K106" s="31"/>
      <c r="L106" s="31"/>
      <c r="M106" s="31"/>
      <c r="N106" s="31"/>
      <c r="U106" s="138"/>
      <c r="V106" s="138"/>
      <c r="W106" s="138"/>
      <c r="X106" s="86"/>
    </row>
    <row r="107">
      <c r="A107" s="31"/>
      <c r="B107" s="31"/>
      <c r="C107" s="79"/>
      <c r="D107" s="79"/>
      <c r="E107" s="79"/>
      <c r="F107" s="31"/>
      <c r="G107" s="31"/>
      <c r="H107" s="31"/>
      <c r="I107" s="31"/>
      <c r="J107" s="31"/>
      <c r="K107" s="31"/>
      <c r="L107" s="31"/>
      <c r="M107" s="31"/>
      <c r="N107" s="31"/>
      <c r="U107" s="138"/>
      <c r="V107" s="138"/>
      <c r="W107" s="138"/>
      <c r="X107" s="86"/>
    </row>
    <row r="108">
      <c r="A108" s="31"/>
      <c r="B108" s="31"/>
      <c r="C108" s="79"/>
      <c r="D108" s="79"/>
      <c r="E108" s="79"/>
      <c r="F108" s="31"/>
      <c r="G108" s="31"/>
      <c r="H108" s="31"/>
      <c r="I108" s="31"/>
      <c r="J108" s="31"/>
      <c r="K108" s="31"/>
      <c r="L108" s="31"/>
      <c r="M108" s="31"/>
      <c r="N108" s="31"/>
      <c r="U108" s="138"/>
      <c r="V108" s="138"/>
      <c r="W108" s="138"/>
      <c r="X108" s="86"/>
    </row>
    <row r="109">
      <c r="A109" s="31"/>
      <c r="B109" s="31"/>
      <c r="C109" s="79"/>
      <c r="D109" s="79"/>
      <c r="E109" s="79"/>
      <c r="F109" s="31"/>
      <c r="G109" s="31"/>
      <c r="H109" s="31"/>
      <c r="I109" s="31"/>
      <c r="J109" s="31"/>
      <c r="K109" s="31"/>
      <c r="L109" s="31"/>
      <c r="M109" s="31"/>
      <c r="N109" s="31"/>
      <c r="U109" s="138"/>
      <c r="V109" s="138"/>
      <c r="W109" s="138"/>
      <c r="X109" s="86"/>
    </row>
    <row r="110">
      <c r="A110" s="31"/>
      <c r="B110" s="31"/>
      <c r="C110" s="79"/>
      <c r="D110" s="79"/>
      <c r="E110" s="79"/>
      <c r="F110" s="31"/>
      <c r="G110" s="31"/>
      <c r="H110" s="31"/>
      <c r="I110" s="31"/>
      <c r="J110" s="31"/>
      <c r="K110" s="31"/>
      <c r="L110" s="31"/>
      <c r="M110" s="31"/>
      <c r="N110" s="31"/>
      <c r="U110" s="138"/>
      <c r="V110" s="138"/>
      <c r="W110" s="138"/>
      <c r="X110" s="86"/>
    </row>
    <row r="111">
      <c r="A111" s="31"/>
      <c r="B111" s="31"/>
      <c r="C111" s="79"/>
      <c r="D111" s="79"/>
      <c r="E111" s="79"/>
      <c r="F111" s="31"/>
      <c r="G111" s="31"/>
      <c r="H111" s="31"/>
      <c r="I111" s="31"/>
      <c r="J111" s="31"/>
      <c r="K111" s="31"/>
      <c r="L111" s="31"/>
      <c r="M111" s="31"/>
      <c r="N111" s="31"/>
      <c r="U111" s="138"/>
      <c r="V111" s="138"/>
      <c r="W111" s="138"/>
      <c r="X111" s="86"/>
    </row>
    <row r="112">
      <c r="A112" s="31"/>
      <c r="B112" s="31"/>
      <c r="C112" s="79"/>
      <c r="D112" s="79"/>
      <c r="E112" s="79"/>
      <c r="F112" s="31"/>
      <c r="G112" s="31"/>
      <c r="H112" s="31"/>
      <c r="I112" s="31"/>
      <c r="J112" s="31"/>
      <c r="K112" s="31"/>
      <c r="L112" s="31"/>
      <c r="M112" s="31"/>
      <c r="N112" s="31"/>
      <c r="U112" s="138"/>
      <c r="V112" s="138"/>
      <c r="W112" s="138"/>
      <c r="X112" s="86"/>
    </row>
    <row r="113">
      <c r="A113" s="31"/>
      <c r="B113" s="31"/>
      <c r="C113" s="79"/>
      <c r="D113" s="79"/>
      <c r="E113" s="79"/>
      <c r="F113" s="31"/>
      <c r="G113" s="31"/>
      <c r="H113" s="31"/>
      <c r="I113" s="31"/>
      <c r="J113" s="31"/>
      <c r="K113" s="31"/>
      <c r="L113" s="31"/>
      <c r="M113" s="31"/>
      <c r="N113" s="31"/>
      <c r="U113" s="138"/>
      <c r="V113" s="138"/>
      <c r="W113" s="138"/>
      <c r="X113" s="86"/>
    </row>
    <row r="114">
      <c r="A114" s="31"/>
      <c r="B114" s="31"/>
      <c r="C114" s="79"/>
      <c r="D114" s="79"/>
      <c r="E114" s="79"/>
      <c r="F114" s="31"/>
      <c r="G114" s="31"/>
      <c r="H114" s="31"/>
      <c r="I114" s="31"/>
      <c r="J114" s="31"/>
      <c r="K114" s="31"/>
      <c r="L114" s="31"/>
      <c r="M114" s="31"/>
      <c r="N114" s="31"/>
      <c r="U114" s="138"/>
      <c r="V114" s="138"/>
      <c r="W114" s="138"/>
      <c r="X114" s="86"/>
    </row>
    <row r="115">
      <c r="A115" s="31"/>
      <c r="B115" s="31"/>
      <c r="C115" s="79"/>
      <c r="D115" s="79"/>
      <c r="E115" s="79"/>
      <c r="F115" s="31"/>
      <c r="G115" s="31"/>
      <c r="H115" s="31"/>
      <c r="I115" s="31"/>
      <c r="J115" s="31"/>
      <c r="K115" s="31"/>
      <c r="L115" s="31"/>
      <c r="M115" s="31"/>
      <c r="N115" s="31"/>
      <c r="U115" s="138"/>
      <c r="V115" s="138"/>
      <c r="W115" s="138"/>
      <c r="X115" s="86"/>
    </row>
    <row r="116">
      <c r="A116" s="31"/>
      <c r="B116" s="31"/>
      <c r="C116" s="79"/>
      <c r="D116" s="79"/>
      <c r="E116" s="79"/>
      <c r="F116" s="31"/>
      <c r="G116" s="31"/>
      <c r="H116" s="31"/>
      <c r="I116" s="31"/>
      <c r="J116" s="31"/>
      <c r="K116" s="31"/>
      <c r="L116" s="31"/>
      <c r="M116" s="31"/>
      <c r="N116" s="31"/>
      <c r="U116" s="138"/>
      <c r="V116" s="138"/>
      <c r="W116" s="138"/>
      <c r="X116" s="86"/>
    </row>
    <row r="117">
      <c r="A117" s="31"/>
      <c r="B117" s="31"/>
      <c r="C117" s="79"/>
      <c r="D117" s="79"/>
      <c r="E117" s="79"/>
      <c r="F117" s="31"/>
      <c r="G117" s="31"/>
      <c r="H117" s="31"/>
      <c r="I117" s="31"/>
      <c r="J117" s="31"/>
      <c r="K117" s="31"/>
      <c r="L117" s="31"/>
      <c r="M117" s="31"/>
      <c r="N117" s="31"/>
      <c r="U117" s="138"/>
      <c r="V117" s="138"/>
      <c r="W117" s="138"/>
      <c r="X117" s="86"/>
    </row>
    <row r="118">
      <c r="A118" s="31"/>
      <c r="B118" s="31"/>
      <c r="C118" s="79"/>
      <c r="D118" s="79"/>
      <c r="E118" s="79"/>
      <c r="F118" s="31"/>
      <c r="G118" s="31"/>
      <c r="H118" s="31"/>
      <c r="I118" s="31"/>
      <c r="J118" s="31"/>
      <c r="K118" s="31"/>
      <c r="L118" s="31"/>
      <c r="M118" s="31"/>
      <c r="N118" s="31"/>
      <c r="U118" s="138"/>
      <c r="V118" s="138"/>
      <c r="W118" s="138"/>
      <c r="X118" s="86"/>
    </row>
    <row r="119">
      <c r="A119" s="31"/>
      <c r="B119" s="31"/>
      <c r="C119" s="79"/>
      <c r="D119" s="79"/>
      <c r="E119" s="79"/>
      <c r="F119" s="31"/>
      <c r="G119" s="31"/>
      <c r="H119" s="31"/>
      <c r="I119" s="31"/>
      <c r="J119" s="31"/>
      <c r="K119" s="31"/>
      <c r="L119" s="31"/>
      <c r="M119" s="31"/>
      <c r="N119" s="31"/>
      <c r="U119" s="138"/>
      <c r="V119" s="138"/>
      <c r="W119" s="138"/>
      <c r="X119" s="86"/>
    </row>
    <row r="120">
      <c r="A120" s="31"/>
      <c r="B120" s="31"/>
      <c r="C120" s="79"/>
      <c r="D120" s="79"/>
      <c r="E120" s="79"/>
      <c r="F120" s="31"/>
      <c r="G120" s="31"/>
      <c r="H120" s="31"/>
      <c r="I120" s="31"/>
      <c r="J120" s="31"/>
      <c r="K120" s="31"/>
      <c r="L120" s="31"/>
      <c r="M120" s="31"/>
      <c r="N120" s="31"/>
      <c r="U120" s="138"/>
      <c r="V120" s="138"/>
      <c r="W120" s="138"/>
      <c r="X120" s="86"/>
    </row>
    <row r="121">
      <c r="A121" s="31"/>
      <c r="B121" s="31"/>
      <c r="C121" s="79"/>
      <c r="D121" s="79"/>
      <c r="E121" s="79"/>
      <c r="F121" s="31"/>
      <c r="G121" s="31"/>
      <c r="H121" s="31"/>
      <c r="I121" s="31"/>
      <c r="J121" s="31"/>
      <c r="K121" s="31"/>
      <c r="L121" s="31"/>
      <c r="M121" s="31"/>
      <c r="N121" s="31"/>
      <c r="U121" s="138"/>
      <c r="V121" s="138"/>
      <c r="W121" s="138"/>
      <c r="X121" s="86"/>
    </row>
    <row r="122">
      <c r="A122" s="31"/>
      <c r="B122" s="31"/>
      <c r="C122" s="79"/>
      <c r="D122" s="79"/>
      <c r="E122" s="79"/>
      <c r="F122" s="31"/>
      <c r="G122" s="31"/>
      <c r="H122" s="31"/>
      <c r="I122" s="31"/>
      <c r="J122" s="31"/>
      <c r="K122" s="31"/>
      <c r="L122" s="31"/>
      <c r="M122" s="31"/>
      <c r="N122" s="31"/>
      <c r="U122" s="138"/>
      <c r="V122" s="138"/>
      <c r="W122" s="138"/>
      <c r="X122" s="86"/>
    </row>
    <row r="123">
      <c r="A123" s="31"/>
      <c r="B123" s="31"/>
      <c r="C123" s="79"/>
      <c r="D123" s="79"/>
      <c r="E123" s="79"/>
      <c r="F123" s="31"/>
      <c r="G123" s="31"/>
      <c r="H123" s="31"/>
      <c r="I123" s="31"/>
      <c r="J123" s="31"/>
      <c r="K123" s="31"/>
      <c r="L123" s="31"/>
      <c r="M123" s="31"/>
      <c r="N123" s="31"/>
      <c r="U123" s="138"/>
      <c r="V123" s="138"/>
      <c r="W123" s="138"/>
      <c r="X123" s="86"/>
    </row>
    <row r="124">
      <c r="A124" s="31"/>
      <c r="B124" s="31"/>
      <c r="C124" s="79"/>
      <c r="D124" s="79"/>
      <c r="E124" s="79"/>
      <c r="F124" s="31"/>
      <c r="G124" s="31"/>
      <c r="H124" s="31"/>
      <c r="I124" s="31"/>
      <c r="J124" s="31"/>
      <c r="K124" s="31"/>
      <c r="L124" s="31"/>
      <c r="M124" s="31"/>
      <c r="N124" s="31"/>
      <c r="U124" s="138"/>
      <c r="V124" s="138"/>
      <c r="W124" s="138"/>
      <c r="X124" s="86"/>
    </row>
    <row r="125">
      <c r="A125" s="31"/>
      <c r="B125" s="31"/>
      <c r="C125" s="79"/>
      <c r="D125" s="79"/>
      <c r="E125" s="79"/>
      <c r="F125" s="31"/>
      <c r="G125" s="31"/>
      <c r="H125" s="31"/>
      <c r="I125" s="31"/>
      <c r="J125" s="31"/>
      <c r="K125" s="31"/>
      <c r="L125" s="31"/>
      <c r="M125" s="31"/>
      <c r="N125" s="31"/>
      <c r="U125" s="138"/>
      <c r="V125" s="138"/>
      <c r="W125" s="138"/>
      <c r="X125" s="86"/>
    </row>
    <row r="126">
      <c r="A126" s="31"/>
      <c r="B126" s="31"/>
      <c r="C126" s="79"/>
      <c r="D126" s="79"/>
      <c r="E126" s="79"/>
      <c r="F126" s="31"/>
      <c r="G126" s="31"/>
      <c r="H126" s="31"/>
      <c r="I126" s="31"/>
      <c r="J126" s="31"/>
      <c r="K126" s="31"/>
      <c r="L126" s="31"/>
      <c r="M126" s="31"/>
      <c r="N126" s="31"/>
      <c r="U126" s="138"/>
      <c r="V126" s="138"/>
      <c r="W126" s="138"/>
      <c r="X126" s="86"/>
    </row>
    <row r="127">
      <c r="A127" s="31"/>
      <c r="B127" s="31"/>
      <c r="C127" s="79"/>
      <c r="D127" s="79"/>
      <c r="E127" s="79"/>
      <c r="F127" s="31"/>
      <c r="G127" s="31"/>
      <c r="H127" s="31"/>
      <c r="I127" s="31"/>
      <c r="J127" s="31"/>
      <c r="K127" s="31"/>
      <c r="L127" s="31"/>
      <c r="M127" s="31"/>
      <c r="N127" s="31"/>
      <c r="U127" s="138"/>
      <c r="V127" s="138"/>
      <c r="W127" s="138"/>
      <c r="X127" s="86"/>
    </row>
    <row r="128">
      <c r="A128" s="31"/>
      <c r="B128" s="31"/>
      <c r="C128" s="79"/>
      <c r="D128" s="79"/>
      <c r="E128" s="79"/>
      <c r="F128" s="31"/>
      <c r="G128" s="31"/>
      <c r="H128" s="31"/>
      <c r="I128" s="31"/>
      <c r="J128" s="31"/>
      <c r="K128" s="31"/>
      <c r="L128" s="31"/>
      <c r="M128" s="31"/>
      <c r="N128" s="31"/>
      <c r="U128" s="138"/>
      <c r="V128" s="138"/>
      <c r="W128" s="138"/>
      <c r="X128" s="86"/>
    </row>
    <row r="129">
      <c r="A129" s="31"/>
      <c r="B129" s="31"/>
      <c r="C129" s="79"/>
      <c r="D129" s="79"/>
      <c r="E129" s="79"/>
      <c r="F129" s="31"/>
      <c r="G129" s="31"/>
      <c r="H129" s="31"/>
      <c r="I129" s="31"/>
      <c r="J129" s="31"/>
      <c r="K129" s="31"/>
      <c r="L129" s="31"/>
      <c r="M129" s="31"/>
      <c r="N129" s="31"/>
      <c r="U129" s="138"/>
      <c r="V129" s="138"/>
      <c r="W129" s="138"/>
      <c r="X129" s="86"/>
    </row>
    <row r="130">
      <c r="A130" s="31"/>
      <c r="B130" s="31"/>
      <c r="C130" s="79"/>
      <c r="D130" s="79"/>
      <c r="E130" s="79"/>
      <c r="F130" s="31"/>
      <c r="G130" s="31"/>
      <c r="H130" s="31"/>
      <c r="I130" s="31"/>
      <c r="J130" s="31"/>
      <c r="K130" s="31"/>
      <c r="L130" s="31"/>
      <c r="M130" s="31"/>
      <c r="N130" s="31"/>
      <c r="U130" s="138"/>
      <c r="V130" s="138"/>
      <c r="W130" s="138"/>
      <c r="X130" s="86"/>
    </row>
    <row r="131">
      <c r="A131" s="31"/>
      <c r="B131" s="31"/>
      <c r="C131" s="79"/>
      <c r="D131" s="79"/>
      <c r="E131" s="79"/>
      <c r="F131" s="31"/>
      <c r="G131" s="31"/>
      <c r="H131" s="31"/>
      <c r="I131" s="31"/>
      <c r="J131" s="31"/>
      <c r="K131" s="31"/>
      <c r="L131" s="31"/>
      <c r="M131" s="31"/>
      <c r="N131" s="31"/>
      <c r="U131" s="138"/>
      <c r="V131" s="138"/>
      <c r="W131" s="138"/>
      <c r="X131" s="86"/>
    </row>
    <row r="132">
      <c r="A132" s="31"/>
      <c r="B132" s="31"/>
      <c r="C132" s="79"/>
      <c r="D132" s="79"/>
      <c r="E132" s="79"/>
      <c r="F132" s="31"/>
      <c r="G132" s="31"/>
      <c r="H132" s="31"/>
      <c r="I132" s="31"/>
      <c r="J132" s="31"/>
      <c r="K132" s="31"/>
      <c r="L132" s="31"/>
      <c r="M132" s="31"/>
      <c r="N132" s="31"/>
      <c r="U132" s="138"/>
      <c r="V132" s="138"/>
      <c r="W132" s="138"/>
      <c r="X132" s="86"/>
    </row>
    <row r="133">
      <c r="A133" s="31"/>
      <c r="B133" s="31"/>
      <c r="C133" s="79"/>
      <c r="D133" s="79"/>
      <c r="E133" s="79"/>
      <c r="F133" s="31"/>
      <c r="G133" s="31"/>
      <c r="H133" s="31"/>
      <c r="I133" s="31"/>
      <c r="J133" s="31"/>
      <c r="K133" s="31"/>
      <c r="L133" s="31"/>
      <c r="M133" s="31"/>
      <c r="N133" s="31"/>
      <c r="U133" s="138"/>
      <c r="V133" s="138"/>
      <c r="W133" s="138"/>
      <c r="X133" s="86"/>
    </row>
    <row r="134">
      <c r="A134" s="31"/>
      <c r="B134" s="31"/>
      <c r="C134" s="79"/>
      <c r="D134" s="79"/>
      <c r="E134" s="79"/>
      <c r="F134" s="31"/>
      <c r="G134" s="31"/>
      <c r="H134" s="31"/>
      <c r="I134" s="31"/>
      <c r="J134" s="31"/>
      <c r="K134" s="31"/>
      <c r="L134" s="31"/>
      <c r="M134" s="31"/>
      <c r="N134" s="31"/>
      <c r="U134" s="138"/>
      <c r="V134" s="138"/>
      <c r="W134" s="138"/>
      <c r="X134" s="86"/>
    </row>
    <row r="135">
      <c r="A135" s="31"/>
      <c r="B135" s="31"/>
      <c r="C135" s="79"/>
      <c r="D135" s="79"/>
      <c r="E135" s="79"/>
      <c r="F135" s="31"/>
      <c r="G135" s="31"/>
      <c r="H135" s="31"/>
      <c r="I135" s="31"/>
      <c r="J135" s="31"/>
      <c r="K135" s="31"/>
      <c r="L135" s="31"/>
      <c r="M135" s="31"/>
      <c r="N135" s="31"/>
      <c r="U135" s="138"/>
      <c r="V135" s="138"/>
      <c r="W135" s="138"/>
      <c r="X135" s="86"/>
    </row>
    <row r="136">
      <c r="A136" s="31"/>
      <c r="B136" s="31"/>
      <c r="C136" s="79"/>
      <c r="D136" s="79"/>
      <c r="E136" s="79"/>
      <c r="F136" s="31"/>
      <c r="G136" s="31"/>
      <c r="H136" s="31"/>
      <c r="I136" s="31"/>
      <c r="J136" s="31"/>
      <c r="K136" s="31"/>
      <c r="L136" s="31"/>
      <c r="M136" s="31"/>
      <c r="N136" s="31"/>
      <c r="U136" s="138"/>
      <c r="V136" s="138"/>
      <c r="W136" s="138"/>
      <c r="X136" s="86"/>
    </row>
    <row r="137">
      <c r="A137" s="31"/>
      <c r="B137" s="31"/>
      <c r="C137" s="79"/>
      <c r="D137" s="79"/>
      <c r="E137" s="79"/>
      <c r="F137" s="31"/>
      <c r="G137" s="31"/>
      <c r="H137" s="31"/>
      <c r="I137" s="31"/>
      <c r="J137" s="31"/>
      <c r="K137" s="31"/>
      <c r="L137" s="31"/>
      <c r="M137" s="31"/>
      <c r="N137" s="31"/>
      <c r="U137" s="138"/>
      <c r="V137" s="138"/>
      <c r="W137" s="138"/>
      <c r="X137" s="86"/>
    </row>
    <row r="138">
      <c r="A138" s="31"/>
      <c r="B138" s="31"/>
      <c r="C138" s="79"/>
      <c r="D138" s="79"/>
      <c r="E138" s="79"/>
      <c r="F138" s="31"/>
      <c r="G138" s="31"/>
      <c r="H138" s="31"/>
      <c r="I138" s="31"/>
      <c r="J138" s="31"/>
      <c r="K138" s="31"/>
      <c r="L138" s="31"/>
      <c r="M138" s="31"/>
      <c r="N138" s="31"/>
      <c r="U138" s="138"/>
      <c r="V138" s="138"/>
      <c r="W138" s="138"/>
      <c r="X138" s="86"/>
    </row>
    <row r="139">
      <c r="A139" s="31"/>
      <c r="B139" s="31"/>
      <c r="C139" s="79"/>
      <c r="D139" s="79"/>
      <c r="E139" s="79"/>
      <c r="F139" s="31"/>
      <c r="G139" s="31"/>
      <c r="H139" s="31"/>
      <c r="I139" s="31"/>
      <c r="J139" s="31"/>
      <c r="K139" s="31"/>
      <c r="L139" s="31"/>
      <c r="M139" s="31"/>
      <c r="N139" s="31"/>
      <c r="U139" s="138"/>
      <c r="V139" s="138"/>
      <c r="W139" s="138"/>
      <c r="X139" s="86"/>
    </row>
    <row r="140">
      <c r="A140" s="31"/>
      <c r="B140" s="31"/>
      <c r="C140" s="79"/>
      <c r="D140" s="79"/>
      <c r="E140" s="79"/>
      <c r="F140" s="31"/>
      <c r="G140" s="31"/>
      <c r="H140" s="31"/>
      <c r="I140" s="31"/>
      <c r="J140" s="31"/>
      <c r="K140" s="31"/>
      <c r="L140" s="31"/>
      <c r="M140" s="31"/>
      <c r="N140" s="31"/>
      <c r="U140" s="138"/>
      <c r="V140" s="138"/>
      <c r="W140" s="138"/>
      <c r="X140" s="86"/>
    </row>
    <row r="141">
      <c r="A141" s="31"/>
      <c r="B141" s="31"/>
      <c r="C141" s="79"/>
      <c r="D141" s="79"/>
      <c r="E141" s="79"/>
      <c r="F141" s="31"/>
      <c r="G141" s="31"/>
      <c r="H141" s="31"/>
      <c r="I141" s="31"/>
      <c r="J141" s="31"/>
      <c r="K141" s="31"/>
      <c r="L141" s="31"/>
      <c r="M141" s="31"/>
      <c r="N141" s="31"/>
      <c r="U141" s="138"/>
      <c r="V141" s="138"/>
      <c r="W141" s="138"/>
      <c r="X141" s="86"/>
    </row>
    <row r="142">
      <c r="A142" s="31"/>
      <c r="B142" s="31"/>
      <c r="C142" s="79"/>
      <c r="D142" s="79"/>
      <c r="E142" s="79"/>
      <c r="F142" s="31"/>
      <c r="G142" s="31"/>
      <c r="H142" s="31"/>
      <c r="I142" s="31"/>
      <c r="J142" s="31"/>
      <c r="K142" s="31"/>
      <c r="L142" s="31"/>
      <c r="M142" s="31"/>
      <c r="N142" s="31"/>
      <c r="U142" s="138"/>
      <c r="V142" s="138"/>
      <c r="W142" s="138"/>
      <c r="X142" s="86"/>
    </row>
    <row r="143">
      <c r="A143" s="31"/>
      <c r="B143" s="31"/>
      <c r="C143" s="79"/>
      <c r="D143" s="79"/>
      <c r="E143" s="79"/>
      <c r="F143" s="31"/>
      <c r="G143" s="31"/>
      <c r="H143" s="31"/>
      <c r="I143" s="31"/>
      <c r="J143" s="31"/>
      <c r="K143" s="31"/>
      <c r="L143" s="31"/>
      <c r="M143" s="31"/>
      <c r="N143" s="31"/>
      <c r="U143" s="138"/>
      <c r="V143" s="138"/>
      <c r="W143" s="138"/>
      <c r="X143" s="86"/>
    </row>
    <row r="144">
      <c r="A144" s="31"/>
      <c r="B144" s="31"/>
      <c r="C144" s="79"/>
      <c r="D144" s="79"/>
      <c r="E144" s="79"/>
      <c r="F144" s="31"/>
      <c r="G144" s="31"/>
      <c r="H144" s="31"/>
      <c r="I144" s="31"/>
      <c r="J144" s="31"/>
      <c r="K144" s="31"/>
      <c r="L144" s="31"/>
      <c r="M144" s="31"/>
      <c r="N144" s="31"/>
      <c r="U144" s="138"/>
      <c r="V144" s="138"/>
      <c r="W144" s="138"/>
      <c r="X144" s="86"/>
    </row>
    <row r="145">
      <c r="A145" s="31"/>
      <c r="B145" s="31"/>
      <c r="C145" s="79"/>
      <c r="D145" s="79"/>
      <c r="E145" s="79"/>
      <c r="F145" s="31"/>
      <c r="G145" s="31"/>
      <c r="H145" s="31"/>
      <c r="I145" s="31"/>
      <c r="J145" s="31"/>
      <c r="K145" s="31"/>
      <c r="L145" s="31"/>
      <c r="M145" s="31"/>
      <c r="N145" s="31"/>
      <c r="U145" s="138"/>
      <c r="V145" s="138"/>
      <c r="W145" s="138"/>
      <c r="X145" s="86"/>
    </row>
    <row r="146">
      <c r="A146" s="31"/>
      <c r="B146" s="31"/>
      <c r="C146" s="79"/>
      <c r="D146" s="79"/>
      <c r="E146" s="79"/>
      <c r="F146" s="31"/>
      <c r="G146" s="31"/>
      <c r="H146" s="31"/>
      <c r="I146" s="31"/>
      <c r="J146" s="31"/>
      <c r="K146" s="31"/>
      <c r="L146" s="31"/>
      <c r="M146" s="31"/>
      <c r="N146" s="31"/>
      <c r="U146" s="138"/>
      <c r="V146" s="138"/>
      <c r="W146" s="138"/>
      <c r="X146" s="86"/>
    </row>
    <row r="147">
      <c r="A147" s="31"/>
      <c r="B147" s="31"/>
      <c r="C147" s="79"/>
      <c r="D147" s="79"/>
      <c r="E147" s="79"/>
      <c r="F147" s="31"/>
      <c r="G147" s="31"/>
      <c r="H147" s="31"/>
      <c r="I147" s="31"/>
      <c r="J147" s="31"/>
      <c r="K147" s="31"/>
      <c r="L147" s="31"/>
      <c r="M147" s="31"/>
      <c r="N147" s="31"/>
      <c r="U147" s="138"/>
      <c r="V147" s="138"/>
      <c r="W147" s="138"/>
      <c r="X147" s="86"/>
    </row>
    <row r="148">
      <c r="A148" s="31"/>
      <c r="B148" s="31"/>
      <c r="C148" s="79"/>
      <c r="D148" s="79"/>
      <c r="E148" s="79"/>
      <c r="F148" s="31"/>
      <c r="G148" s="31"/>
      <c r="H148" s="31"/>
      <c r="I148" s="31"/>
      <c r="J148" s="31"/>
      <c r="K148" s="31"/>
      <c r="L148" s="31"/>
      <c r="M148" s="31"/>
      <c r="N148" s="31"/>
      <c r="U148" s="138"/>
      <c r="V148" s="138"/>
      <c r="W148" s="138"/>
      <c r="X148" s="86"/>
    </row>
    <row r="149">
      <c r="A149" s="31"/>
      <c r="B149" s="31"/>
      <c r="C149" s="79"/>
      <c r="D149" s="79"/>
      <c r="E149" s="79"/>
      <c r="F149" s="31"/>
      <c r="G149" s="31"/>
      <c r="H149" s="31"/>
      <c r="I149" s="31"/>
      <c r="J149" s="31"/>
      <c r="K149" s="31"/>
      <c r="L149" s="31"/>
      <c r="M149" s="31"/>
      <c r="N149" s="31"/>
      <c r="U149" s="138"/>
      <c r="V149" s="138"/>
      <c r="W149" s="138"/>
      <c r="X149" s="86"/>
    </row>
    <row r="150">
      <c r="A150" s="31"/>
      <c r="B150" s="31"/>
      <c r="C150" s="79"/>
      <c r="D150" s="79"/>
      <c r="E150" s="79"/>
      <c r="F150" s="31"/>
      <c r="G150" s="31"/>
      <c r="H150" s="31"/>
      <c r="I150" s="31"/>
      <c r="J150" s="31"/>
      <c r="K150" s="31"/>
      <c r="L150" s="31"/>
      <c r="M150" s="31"/>
      <c r="N150" s="31"/>
      <c r="U150" s="138"/>
      <c r="V150" s="138"/>
      <c r="W150" s="138"/>
      <c r="X150" s="86"/>
    </row>
    <row r="151">
      <c r="A151" s="31"/>
      <c r="B151" s="31"/>
      <c r="C151" s="79"/>
      <c r="D151" s="79"/>
      <c r="E151" s="79"/>
      <c r="F151" s="31"/>
      <c r="G151" s="31"/>
      <c r="H151" s="31"/>
      <c r="I151" s="31"/>
      <c r="J151" s="31"/>
      <c r="K151" s="31"/>
      <c r="L151" s="31"/>
      <c r="M151" s="31"/>
      <c r="N151" s="31"/>
      <c r="U151" s="138"/>
      <c r="V151" s="138"/>
      <c r="W151" s="138"/>
      <c r="X151" s="86"/>
    </row>
    <row r="152">
      <c r="A152" s="31"/>
      <c r="B152" s="31"/>
      <c r="C152" s="79"/>
      <c r="D152" s="79"/>
      <c r="E152" s="79"/>
      <c r="F152" s="31"/>
      <c r="G152" s="31"/>
      <c r="H152" s="31"/>
      <c r="I152" s="31"/>
      <c r="J152" s="31"/>
      <c r="K152" s="31"/>
      <c r="L152" s="31"/>
      <c r="M152" s="31"/>
      <c r="N152" s="31"/>
      <c r="U152" s="138"/>
      <c r="V152" s="138"/>
      <c r="W152" s="138"/>
      <c r="X152" s="86"/>
    </row>
    <row r="153">
      <c r="A153" s="31"/>
      <c r="B153" s="31"/>
      <c r="C153" s="79"/>
      <c r="D153" s="79"/>
      <c r="E153" s="79"/>
      <c r="F153" s="31"/>
      <c r="G153" s="31"/>
      <c r="H153" s="31"/>
      <c r="I153" s="31"/>
      <c r="J153" s="31"/>
      <c r="K153" s="31"/>
      <c r="L153" s="31"/>
      <c r="M153" s="31"/>
      <c r="N153" s="31"/>
      <c r="U153" s="138"/>
      <c r="V153" s="138"/>
      <c r="W153" s="138"/>
      <c r="X153" s="86"/>
    </row>
    <row r="154">
      <c r="A154" s="31"/>
      <c r="B154" s="31"/>
      <c r="C154" s="79"/>
      <c r="D154" s="79"/>
      <c r="E154" s="79"/>
      <c r="F154" s="31"/>
      <c r="G154" s="31"/>
      <c r="H154" s="31"/>
      <c r="I154" s="31"/>
      <c r="J154" s="31"/>
      <c r="K154" s="31"/>
      <c r="L154" s="31"/>
      <c r="M154" s="31"/>
      <c r="N154" s="31"/>
      <c r="U154" s="138"/>
      <c r="V154" s="138"/>
      <c r="W154" s="138"/>
      <c r="X154" s="86"/>
    </row>
    <row r="155">
      <c r="A155" s="31"/>
      <c r="B155" s="31"/>
      <c r="C155" s="79"/>
      <c r="D155" s="79"/>
      <c r="E155" s="79"/>
      <c r="F155" s="31"/>
      <c r="G155" s="31"/>
      <c r="H155" s="31"/>
      <c r="I155" s="31"/>
      <c r="J155" s="31"/>
      <c r="K155" s="31"/>
      <c r="L155" s="31"/>
      <c r="M155" s="31"/>
      <c r="N155" s="31"/>
      <c r="U155" s="138"/>
      <c r="V155" s="138"/>
      <c r="W155" s="138"/>
      <c r="X155" s="86"/>
    </row>
    <row r="156">
      <c r="A156" s="31"/>
      <c r="B156" s="31"/>
      <c r="C156" s="79"/>
      <c r="D156" s="79"/>
      <c r="E156" s="79"/>
      <c r="F156" s="31"/>
      <c r="G156" s="31"/>
      <c r="H156" s="31"/>
      <c r="I156" s="31"/>
      <c r="J156" s="31"/>
      <c r="K156" s="31"/>
      <c r="L156" s="31"/>
      <c r="M156" s="31"/>
      <c r="N156" s="31"/>
      <c r="U156" s="138"/>
      <c r="V156" s="138"/>
      <c r="W156" s="138"/>
      <c r="X156" s="86"/>
    </row>
    <row r="157">
      <c r="A157" s="31"/>
      <c r="B157" s="31"/>
      <c r="C157" s="79"/>
      <c r="D157" s="79"/>
      <c r="E157" s="79"/>
      <c r="F157" s="31"/>
      <c r="G157" s="31"/>
      <c r="H157" s="31"/>
      <c r="I157" s="31"/>
      <c r="J157" s="31"/>
      <c r="K157" s="31"/>
      <c r="L157" s="31"/>
      <c r="M157" s="31"/>
      <c r="N157" s="31"/>
      <c r="U157" s="138"/>
      <c r="V157" s="138"/>
      <c r="W157" s="138"/>
      <c r="X157" s="86"/>
    </row>
    <row r="158">
      <c r="A158" s="31"/>
      <c r="B158" s="31"/>
      <c r="C158" s="79"/>
      <c r="D158" s="79"/>
      <c r="E158" s="79"/>
      <c r="F158" s="31"/>
      <c r="G158" s="31"/>
      <c r="H158" s="31"/>
      <c r="I158" s="31"/>
      <c r="J158" s="31"/>
      <c r="K158" s="31"/>
      <c r="L158" s="31"/>
      <c r="M158" s="31"/>
      <c r="N158" s="31"/>
      <c r="U158" s="138"/>
      <c r="V158" s="138"/>
      <c r="W158" s="138"/>
      <c r="X158" s="86"/>
    </row>
    <row r="159">
      <c r="A159" s="31"/>
      <c r="B159" s="31"/>
      <c r="C159" s="79"/>
      <c r="D159" s="79"/>
      <c r="E159" s="79"/>
      <c r="F159" s="31"/>
      <c r="G159" s="31"/>
      <c r="H159" s="31"/>
      <c r="I159" s="31"/>
      <c r="J159" s="31"/>
      <c r="K159" s="31"/>
      <c r="L159" s="31"/>
      <c r="M159" s="31"/>
      <c r="N159" s="31"/>
      <c r="U159" s="138"/>
      <c r="V159" s="138"/>
      <c r="W159" s="138"/>
      <c r="X159" s="86"/>
    </row>
    <row r="160">
      <c r="A160" s="31"/>
      <c r="B160" s="31"/>
      <c r="C160" s="79"/>
      <c r="D160" s="79"/>
      <c r="E160" s="79"/>
      <c r="F160" s="31"/>
      <c r="G160" s="31"/>
      <c r="H160" s="31"/>
      <c r="I160" s="31"/>
      <c r="J160" s="31"/>
      <c r="K160" s="31"/>
      <c r="L160" s="31"/>
      <c r="M160" s="31"/>
      <c r="N160" s="31"/>
      <c r="U160" s="138"/>
      <c r="V160" s="138"/>
      <c r="W160" s="138"/>
      <c r="X160" s="86"/>
    </row>
    <row r="161">
      <c r="A161" s="31"/>
      <c r="B161" s="31"/>
      <c r="C161" s="79"/>
      <c r="D161" s="79"/>
      <c r="E161" s="79"/>
      <c r="F161" s="31"/>
      <c r="G161" s="31"/>
      <c r="H161" s="31"/>
      <c r="I161" s="31"/>
      <c r="J161" s="31"/>
      <c r="K161" s="31"/>
      <c r="L161" s="31"/>
      <c r="M161" s="31"/>
      <c r="N161" s="31"/>
      <c r="U161" s="138"/>
      <c r="V161" s="138"/>
      <c r="W161" s="138"/>
      <c r="X161" s="86"/>
    </row>
    <row r="162">
      <c r="A162" s="31"/>
      <c r="B162" s="31"/>
      <c r="C162" s="79"/>
      <c r="D162" s="79"/>
      <c r="E162" s="79"/>
      <c r="F162" s="31"/>
      <c r="G162" s="31"/>
      <c r="H162" s="31"/>
      <c r="I162" s="31"/>
      <c r="J162" s="31"/>
      <c r="K162" s="31"/>
      <c r="L162" s="31"/>
      <c r="M162" s="31"/>
      <c r="N162" s="31"/>
      <c r="U162" s="138"/>
      <c r="V162" s="138"/>
      <c r="W162" s="138"/>
      <c r="X162" s="86"/>
    </row>
    <row r="163">
      <c r="A163" s="31"/>
      <c r="B163" s="31"/>
      <c r="C163" s="79"/>
      <c r="D163" s="79"/>
      <c r="E163" s="79"/>
      <c r="F163" s="31"/>
      <c r="G163" s="31"/>
      <c r="H163" s="31"/>
      <c r="I163" s="31"/>
      <c r="J163" s="31"/>
      <c r="K163" s="31"/>
      <c r="L163" s="31"/>
      <c r="M163" s="31"/>
      <c r="N163" s="31"/>
      <c r="U163" s="138"/>
      <c r="V163" s="138"/>
      <c r="W163" s="138"/>
      <c r="X163" s="86"/>
    </row>
    <row r="164">
      <c r="A164" s="31"/>
      <c r="B164" s="31"/>
      <c r="C164" s="79"/>
      <c r="D164" s="79"/>
      <c r="E164" s="79"/>
      <c r="F164" s="31"/>
      <c r="G164" s="31"/>
      <c r="H164" s="31"/>
      <c r="I164" s="31"/>
      <c r="J164" s="31"/>
      <c r="K164" s="31"/>
      <c r="L164" s="31"/>
      <c r="M164" s="31"/>
      <c r="N164" s="31"/>
      <c r="U164" s="138"/>
      <c r="V164" s="138"/>
      <c r="W164" s="138"/>
      <c r="X164" s="86"/>
    </row>
    <row r="165">
      <c r="A165" s="31"/>
      <c r="B165" s="31"/>
      <c r="C165" s="79"/>
      <c r="D165" s="79"/>
      <c r="E165" s="79"/>
      <c r="F165" s="31"/>
      <c r="G165" s="31"/>
      <c r="H165" s="31"/>
      <c r="I165" s="31"/>
      <c r="J165" s="31"/>
      <c r="K165" s="31"/>
      <c r="L165" s="31"/>
      <c r="M165" s="31"/>
      <c r="N165" s="31"/>
      <c r="U165" s="138"/>
      <c r="V165" s="138"/>
      <c r="W165" s="138"/>
      <c r="X165" s="86"/>
    </row>
    <row r="166">
      <c r="A166" s="31"/>
      <c r="B166" s="31"/>
      <c r="C166" s="79"/>
      <c r="D166" s="79"/>
      <c r="E166" s="79"/>
      <c r="F166" s="31"/>
      <c r="G166" s="31"/>
      <c r="H166" s="31"/>
      <c r="I166" s="31"/>
      <c r="J166" s="31"/>
      <c r="K166" s="31"/>
      <c r="L166" s="31"/>
      <c r="M166" s="31"/>
      <c r="N166" s="31"/>
      <c r="U166" s="138"/>
      <c r="V166" s="138"/>
      <c r="W166" s="138"/>
      <c r="X166" s="86"/>
    </row>
    <row r="167">
      <c r="A167" s="31"/>
      <c r="B167" s="31"/>
      <c r="C167" s="79"/>
      <c r="D167" s="79"/>
      <c r="E167" s="79"/>
      <c r="F167" s="31"/>
      <c r="G167" s="31"/>
      <c r="H167" s="31"/>
      <c r="I167" s="31"/>
      <c r="J167" s="31"/>
      <c r="K167" s="31"/>
      <c r="L167" s="31"/>
      <c r="M167" s="31"/>
      <c r="N167" s="31"/>
      <c r="U167" s="138"/>
      <c r="V167" s="138"/>
      <c r="W167" s="138"/>
      <c r="X167" s="86"/>
    </row>
    <row r="168">
      <c r="A168" s="31"/>
      <c r="B168" s="31"/>
      <c r="C168" s="79"/>
      <c r="D168" s="79"/>
      <c r="E168" s="79"/>
      <c r="F168" s="31"/>
      <c r="G168" s="31"/>
      <c r="H168" s="31"/>
      <c r="I168" s="31"/>
      <c r="J168" s="31"/>
      <c r="K168" s="31"/>
      <c r="L168" s="31"/>
      <c r="M168" s="31"/>
      <c r="N168" s="31"/>
      <c r="U168" s="138"/>
      <c r="V168" s="138"/>
      <c r="W168" s="138"/>
      <c r="X168" s="86"/>
    </row>
    <row r="169">
      <c r="A169" s="31"/>
      <c r="B169" s="31"/>
      <c r="C169" s="79"/>
      <c r="D169" s="79"/>
      <c r="E169" s="79"/>
      <c r="F169" s="31"/>
      <c r="G169" s="31"/>
      <c r="H169" s="31"/>
      <c r="I169" s="31"/>
      <c r="J169" s="31"/>
      <c r="K169" s="31"/>
      <c r="L169" s="31"/>
      <c r="M169" s="31"/>
      <c r="N169" s="31"/>
      <c r="U169" s="138"/>
      <c r="V169" s="138"/>
      <c r="W169" s="138"/>
      <c r="X169" s="86"/>
    </row>
    <row r="170">
      <c r="A170" s="31"/>
      <c r="B170" s="31"/>
      <c r="C170" s="79"/>
      <c r="D170" s="79"/>
      <c r="E170" s="79"/>
      <c r="F170" s="31"/>
      <c r="G170" s="31"/>
      <c r="H170" s="31"/>
      <c r="I170" s="31"/>
      <c r="J170" s="31"/>
      <c r="K170" s="31"/>
      <c r="L170" s="31"/>
      <c r="M170" s="31"/>
      <c r="N170" s="31"/>
      <c r="U170" s="138"/>
      <c r="V170" s="138"/>
      <c r="W170" s="138"/>
      <c r="X170" s="86"/>
    </row>
    <row r="171">
      <c r="A171" s="31"/>
      <c r="B171" s="31"/>
      <c r="C171" s="79"/>
      <c r="D171" s="79"/>
      <c r="E171" s="79"/>
      <c r="F171" s="31"/>
      <c r="G171" s="31"/>
      <c r="H171" s="31"/>
      <c r="I171" s="31"/>
      <c r="J171" s="31"/>
      <c r="K171" s="31"/>
      <c r="L171" s="31"/>
      <c r="M171" s="31"/>
      <c r="N171" s="31"/>
      <c r="U171" s="138"/>
      <c r="V171" s="138"/>
      <c r="W171" s="138"/>
      <c r="X171" s="86"/>
    </row>
    <row r="172">
      <c r="A172" s="31"/>
      <c r="B172" s="31"/>
      <c r="C172" s="79"/>
      <c r="D172" s="79"/>
      <c r="E172" s="79"/>
      <c r="F172" s="31"/>
      <c r="G172" s="31"/>
      <c r="H172" s="31"/>
      <c r="I172" s="31"/>
      <c r="J172" s="31"/>
      <c r="K172" s="31"/>
      <c r="L172" s="31"/>
      <c r="M172" s="31"/>
      <c r="N172" s="31"/>
      <c r="U172" s="138"/>
      <c r="V172" s="138"/>
      <c r="W172" s="138"/>
      <c r="X172" s="86"/>
    </row>
    <row r="173">
      <c r="A173" s="31"/>
      <c r="B173" s="31"/>
      <c r="C173" s="79"/>
      <c r="D173" s="79"/>
      <c r="E173" s="79"/>
      <c r="F173" s="31"/>
      <c r="G173" s="31"/>
      <c r="H173" s="31"/>
      <c r="I173" s="31"/>
      <c r="J173" s="31"/>
      <c r="K173" s="31"/>
      <c r="L173" s="31"/>
      <c r="M173" s="31"/>
      <c r="N173" s="31"/>
      <c r="U173" s="138"/>
      <c r="V173" s="138"/>
      <c r="W173" s="138"/>
      <c r="X173" s="86"/>
    </row>
    <row r="174">
      <c r="A174" s="31"/>
      <c r="B174" s="31"/>
      <c r="C174" s="79"/>
      <c r="D174" s="79"/>
      <c r="E174" s="79"/>
      <c r="F174" s="31"/>
      <c r="G174" s="31"/>
      <c r="H174" s="31"/>
      <c r="I174" s="31"/>
      <c r="J174" s="31"/>
      <c r="K174" s="31"/>
      <c r="L174" s="31"/>
      <c r="M174" s="31"/>
      <c r="N174" s="31"/>
      <c r="U174" s="138"/>
      <c r="V174" s="138"/>
      <c r="W174" s="138"/>
      <c r="X174" s="86"/>
    </row>
    <row r="175">
      <c r="A175" s="31"/>
      <c r="B175" s="31"/>
      <c r="C175" s="79"/>
      <c r="D175" s="79"/>
      <c r="E175" s="79"/>
      <c r="F175" s="31"/>
      <c r="G175" s="31"/>
      <c r="H175" s="31"/>
      <c r="I175" s="31"/>
      <c r="J175" s="31"/>
      <c r="K175" s="31"/>
      <c r="L175" s="31"/>
      <c r="M175" s="31"/>
      <c r="N175" s="31"/>
      <c r="U175" s="138"/>
      <c r="V175" s="138"/>
      <c r="W175" s="138"/>
      <c r="X175" s="86"/>
    </row>
    <row r="176">
      <c r="A176" s="31"/>
      <c r="B176" s="31"/>
      <c r="C176" s="79"/>
      <c r="D176" s="79"/>
      <c r="E176" s="79"/>
      <c r="F176" s="31"/>
      <c r="G176" s="31"/>
      <c r="H176" s="31"/>
      <c r="I176" s="31"/>
      <c r="J176" s="31"/>
      <c r="K176" s="31"/>
      <c r="L176" s="31"/>
      <c r="M176" s="31"/>
      <c r="N176" s="31"/>
      <c r="U176" s="138"/>
      <c r="V176" s="138"/>
      <c r="W176" s="138"/>
      <c r="X176" s="86"/>
    </row>
    <row r="177">
      <c r="A177" s="31"/>
      <c r="B177" s="31"/>
      <c r="C177" s="79"/>
      <c r="D177" s="79"/>
      <c r="E177" s="79"/>
      <c r="F177" s="31"/>
      <c r="G177" s="31"/>
      <c r="H177" s="31"/>
      <c r="I177" s="31"/>
      <c r="J177" s="31"/>
      <c r="K177" s="31"/>
      <c r="L177" s="31"/>
      <c r="M177" s="31"/>
      <c r="N177" s="31"/>
      <c r="U177" s="138"/>
      <c r="V177" s="138"/>
      <c r="W177" s="138"/>
      <c r="X177" s="86"/>
    </row>
    <row r="178">
      <c r="A178" s="31"/>
      <c r="B178" s="31"/>
      <c r="C178" s="79"/>
      <c r="D178" s="79"/>
      <c r="E178" s="79"/>
      <c r="F178" s="31"/>
      <c r="G178" s="31"/>
      <c r="H178" s="31"/>
      <c r="I178" s="31"/>
      <c r="J178" s="31"/>
      <c r="K178" s="31"/>
      <c r="L178" s="31"/>
      <c r="M178" s="31"/>
      <c r="N178" s="31"/>
      <c r="U178" s="138"/>
      <c r="V178" s="138"/>
      <c r="W178" s="138"/>
      <c r="X178" s="86"/>
    </row>
    <row r="179">
      <c r="A179" s="31"/>
      <c r="B179" s="31"/>
      <c r="C179" s="79"/>
      <c r="D179" s="79"/>
      <c r="E179" s="79"/>
      <c r="F179" s="31"/>
      <c r="G179" s="31"/>
      <c r="H179" s="31"/>
      <c r="I179" s="31"/>
      <c r="J179" s="31"/>
      <c r="K179" s="31"/>
      <c r="L179" s="31"/>
      <c r="M179" s="31"/>
      <c r="N179" s="31"/>
      <c r="U179" s="138"/>
      <c r="V179" s="138"/>
      <c r="W179" s="138"/>
      <c r="X179" s="86"/>
    </row>
    <row r="180">
      <c r="A180" s="31"/>
      <c r="B180" s="31"/>
      <c r="C180" s="79"/>
      <c r="D180" s="79"/>
      <c r="E180" s="79"/>
      <c r="F180" s="31"/>
      <c r="G180" s="31"/>
      <c r="H180" s="31"/>
      <c r="I180" s="31"/>
      <c r="J180" s="31"/>
      <c r="K180" s="31"/>
      <c r="L180" s="31"/>
      <c r="M180" s="31"/>
      <c r="N180" s="31"/>
      <c r="U180" s="138"/>
      <c r="V180" s="138"/>
      <c r="W180" s="138"/>
      <c r="X180" s="86"/>
    </row>
    <row r="181">
      <c r="A181" s="31"/>
      <c r="B181" s="31"/>
      <c r="C181" s="79"/>
      <c r="D181" s="79"/>
      <c r="E181" s="79"/>
      <c r="F181" s="31"/>
      <c r="G181" s="31"/>
      <c r="H181" s="31"/>
      <c r="I181" s="31"/>
      <c r="J181" s="31"/>
      <c r="K181" s="31"/>
      <c r="L181" s="31"/>
      <c r="M181" s="31"/>
      <c r="N181" s="31"/>
      <c r="U181" s="138"/>
      <c r="V181" s="138"/>
      <c r="W181" s="138"/>
      <c r="X181" s="86"/>
    </row>
    <row r="182">
      <c r="A182" s="31"/>
      <c r="B182" s="31"/>
      <c r="C182" s="79"/>
      <c r="D182" s="79"/>
      <c r="E182" s="79"/>
      <c r="F182" s="31"/>
      <c r="G182" s="31"/>
      <c r="H182" s="31"/>
      <c r="I182" s="31"/>
      <c r="J182" s="31"/>
      <c r="K182" s="31"/>
      <c r="L182" s="31"/>
      <c r="M182" s="31"/>
      <c r="N182" s="31"/>
      <c r="U182" s="138"/>
      <c r="V182" s="138"/>
      <c r="W182" s="138"/>
      <c r="X182" s="86"/>
    </row>
    <row r="183">
      <c r="A183" s="31"/>
      <c r="B183" s="31"/>
      <c r="C183" s="79"/>
      <c r="D183" s="79"/>
      <c r="E183" s="79"/>
      <c r="F183" s="31"/>
      <c r="G183" s="31"/>
      <c r="H183" s="31"/>
      <c r="I183" s="31"/>
      <c r="J183" s="31"/>
      <c r="K183" s="31"/>
      <c r="L183" s="31"/>
      <c r="M183" s="31"/>
      <c r="N183" s="31"/>
      <c r="U183" s="138"/>
      <c r="V183" s="138"/>
      <c r="W183" s="138"/>
      <c r="X183" s="86"/>
    </row>
    <row r="184">
      <c r="A184" s="31"/>
      <c r="B184" s="31"/>
      <c r="C184" s="79"/>
      <c r="D184" s="79"/>
      <c r="E184" s="79"/>
      <c r="F184" s="31"/>
      <c r="G184" s="31"/>
      <c r="H184" s="31"/>
      <c r="I184" s="31"/>
      <c r="J184" s="31"/>
      <c r="K184" s="31"/>
      <c r="L184" s="31"/>
      <c r="M184" s="31"/>
      <c r="N184" s="31"/>
      <c r="U184" s="138"/>
      <c r="V184" s="138"/>
      <c r="W184" s="138"/>
      <c r="X184" s="86"/>
    </row>
    <row r="185">
      <c r="A185" s="31"/>
      <c r="B185" s="31"/>
      <c r="C185" s="79"/>
      <c r="D185" s="79"/>
      <c r="E185" s="79"/>
      <c r="F185" s="31"/>
      <c r="G185" s="31"/>
      <c r="H185" s="31"/>
      <c r="I185" s="31"/>
      <c r="J185" s="31"/>
      <c r="K185" s="31"/>
      <c r="L185" s="31"/>
      <c r="M185" s="31"/>
      <c r="N185" s="31"/>
      <c r="U185" s="138"/>
      <c r="V185" s="138"/>
      <c r="W185" s="138"/>
      <c r="X185" s="86"/>
    </row>
    <row r="186">
      <c r="A186" s="31"/>
      <c r="B186" s="31"/>
      <c r="C186" s="79"/>
      <c r="D186" s="79"/>
      <c r="E186" s="79"/>
      <c r="F186" s="31"/>
      <c r="G186" s="31"/>
      <c r="H186" s="31"/>
      <c r="I186" s="31"/>
      <c r="J186" s="31"/>
      <c r="K186" s="31"/>
      <c r="L186" s="31"/>
      <c r="M186" s="31"/>
      <c r="N186" s="31"/>
      <c r="U186" s="138"/>
      <c r="V186" s="138"/>
      <c r="W186" s="138"/>
      <c r="X186" s="86"/>
    </row>
    <row r="187">
      <c r="A187" s="31"/>
      <c r="B187" s="31"/>
      <c r="C187" s="79"/>
      <c r="D187" s="79"/>
      <c r="E187" s="79"/>
      <c r="F187" s="31"/>
      <c r="G187" s="31"/>
      <c r="H187" s="31"/>
      <c r="I187" s="31"/>
      <c r="J187" s="31"/>
      <c r="K187" s="31"/>
      <c r="L187" s="31"/>
      <c r="M187" s="31"/>
      <c r="N187" s="31"/>
      <c r="U187" s="138"/>
      <c r="V187" s="138"/>
      <c r="W187" s="138"/>
      <c r="X187" s="86"/>
    </row>
    <row r="188">
      <c r="A188" s="31"/>
      <c r="B188" s="31"/>
      <c r="C188" s="79"/>
      <c r="D188" s="79"/>
      <c r="E188" s="79"/>
      <c r="F188" s="31"/>
      <c r="G188" s="31"/>
      <c r="H188" s="31"/>
      <c r="I188" s="31"/>
      <c r="J188" s="31"/>
      <c r="K188" s="31"/>
      <c r="L188" s="31"/>
      <c r="M188" s="31"/>
      <c r="N188" s="31"/>
      <c r="U188" s="138"/>
      <c r="V188" s="138"/>
      <c r="W188" s="138"/>
      <c r="X188" s="86"/>
    </row>
    <row r="189">
      <c r="A189" s="31"/>
      <c r="B189" s="31"/>
      <c r="C189" s="79"/>
      <c r="D189" s="79"/>
      <c r="E189" s="79"/>
      <c r="F189" s="31"/>
      <c r="G189" s="31"/>
      <c r="H189" s="31"/>
      <c r="I189" s="31"/>
      <c r="J189" s="31"/>
      <c r="K189" s="31"/>
      <c r="L189" s="31"/>
      <c r="M189" s="31"/>
      <c r="N189" s="31"/>
      <c r="U189" s="138"/>
      <c r="V189" s="138"/>
      <c r="W189" s="138"/>
      <c r="X189" s="86"/>
    </row>
    <row r="190">
      <c r="A190" s="31"/>
      <c r="B190" s="31"/>
      <c r="C190" s="79"/>
      <c r="D190" s="79"/>
      <c r="E190" s="79"/>
      <c r="F190" s="31"/>
      <c r="G190" s="31"/>
      <c r="H190" s="31"/>
      <c r="I190" s="31"/>
      <c r="J190" s="31"/>
      <c r="K190" s="31"/>
      <c r="L190" s="31"/>
      <c r="M190" s="31"/>
      <c r="N190" s="31"/>
      <c r="U190" s="138"/>
      <c r="V190" s="138"/>
      <c r="W190" s="138"/>
      <c r="X190" s="86"/>
    </row>
    <row r="191">
      <c r="A191" s="31"/>
      <c r="B191" s="31"/>
      <c r="C191" s="79"/>
      <c r="D191" s="79"/>
      <c r="E191" s="79"/>
      <c r="F191" s="31"/>
      <c r="G191" s="31"/>
      <c r="H191" s="31"/>
      <c r="I191" s="31"/>
      <c r="J191" s="31"/>
      <c r="K191" s="31"/>
      <c r="L191" s="31"/>
      <c r="M191" s="31"/>
      <c r="N191" s="31"/>
      <c r="U191" s="138"/>
      <c r="V191" s="138"/>
      <c r="W191" s="138"/>
      <c r="X191" s="86"/>
    </row>
    <row r="192">
      <c r="A192" s="31"/>
      <c r="B192" s="31"/>
      <c r="C192" s="79"/>
      <c r="D192" s="79"/>
      <c r="E192" s="79"/>
      <c r="F192" s="31"/>
      <c r="G192" s="31"/>
      <c r="H192" s="31"/>
      <c r="I192" s="31"/>
      <c r="J192" s="31"/>
      <c r="K192" s="31"/>
      <c r="L192" s="31"/>
      <c r="M192" s="31"/>
      <c r="N192" s="31"/>
      <c r="U192" s="138"/>
      <c r="V192" s="138"/>
      <c r="W192" s="138"/>
      <c r="X192" s="86"/>
    </row>
    <row r="193">
      <c r="A193" s="31"/>
      <c r="B193" s="31"/>
      <c r="C193" s="79"/>
      <c r="D193" s="79"/>
      <c r="E193" s="79"/>
      <c r="F193" s="31"/>
      <c r="G193" s="31"/>
      <c r="H193" s="31"/>
      <c r="I193" s="31"/>
      <c r="J193" s="31"/>
      <c r="K193" s="31"/>
      <c r="L193" s="31"/>
      <c r="M193" s="31"/>
      <c r="N193" s="31"/>
      <c r="U193" s="138"/>
      <c r="V193" s="138"/>
      <c r="W193" s="138"/>
      <c r="X193" s="86"/>
    </row>
    <row r="194">
      <c r="A194" s="31"/>
      <c r="B194" s="31"/>
      <c r="C194" s="79"/>
      <c r="D194" s="79"/>
      <c r="E194" s="79"/>
      <c r="F194" s="31"/>
      <c r="G194" s="31"/>
      <c r="H194" s="31"/>
      <c r="I194" s="31"/>
      <c r="J194" s="31"/>
      <c r="K194" s="31"/>
      <c r="L194" s="31"/>
      <c r="M194" s="31"/>
      <c r="N194" s="31"/>
      <c r="U194" s="138"/>
      <c r="V194" s="138"/>
      <c r="W194" s="138"/>
      <c r="X194" s="86"/>
    </row>
    <row r="195">
      <c r="A195" s="31"/>
      <c r="B195" s="31"/>
      <c r="C195" s="79"/>
      <c r="D195" s="79"/>
      <c r="E195" s="79"/>
      <c r="F195" s="31"/>
      <c r="G195" s="31"/>
      <c r="H195" s="31"/>
      <c r="I195" s="31"/>
      <c r="J195" s="31"/>
      <c r="K195" s="31"/>
      <c r="L195" s="31"/>
      <c r="M195" s="31"/>
      <c r="N195" s="31"/>
      <c r="U195" s="138"/>
      <c r="V195" s="138"/>
      <c r="W195" s="138"/>
      <c r="X195" s="86"/>
    </row>
    <row r="196">
      <c r="A196" s="31"/>
      <c r="B196" s="31"/>
      <c r="C196" s="79"/>
      <c r="D196" s="79"/>
      <c r="E196" s="79"/>
      <c r="F196" s="31"/>
      <c r="G196" s="31"/>
      <c r="H196" s="31"/>
      <c r="I196" s="31"/>
      <c r="J196" s="31"/>
      <c r="K196" s="31"/>
      <c r="L196" s="31"/>
      <c r="M196" s="31"/>
      <c r="N196" s="31"/>
      <c r="U196" s="138"/>
      <c r="V196" s="138"/>
      <c r="W196" s="138"/>
      <c r="X196" s="86"/>
    </row>
    <row r="197">
      <c r="A197" s="31"/>
      <c r="B197" s="31"/>
      <c r="C197" s="79"/>
      <c r="D197" s="79"/>
      <c r="E197" s="79"/>
      <c r="F197" s="31"/>
      <c r="G197" s="31"/>
      <c r="H197" s="31"/>
      <c r="I197" s="31"/>
      <c r="J197" s="31"/>
      <c r="K197" s="31"/>
      <c r="L197" s="31"/>
      <c r="M197" s="31"/>
      <c r="N197" s="31"/>
      <c r="U197" s="138"/>
      <c r="V197" s="138"/>
      <c r="W197" s="138"/>
      <c r="X197" s="86"/>
    </row>
    <row r="198">
      <c r="A198" s="31"/>
      <c r="B198" s="31"/>
      <c r="C198" s="79"/>
      <c r="D198" s="79"/>
      <c r="E198" s="79"/>
      <c r="F198" s="31"/>
      <c r="G198" s="31"/>
      <c r="H198" s="31"/>
      <c r="I198" s="31"/>
      <c r="J198" s="31"/>
      <c r="K198" s="31"/>
      <c r="L198" s="31"/>
      <c r="M198" s="31"/>
      <c r="N198" s="31"/>
      <c r="U198" s="138"/>
      <c r="V198" s="138"/>
      <c r="W198" s="138"/>
      <c r="X198" s="86"/>
    </row>
    <row r="199">
      <c r="A199" s="31"/>
      <c r="B199" s="31"/>
      <c r="C199" s="79"/>
      <c r="D199" s="79"/>
      <c r="E199" s="79"/>
      <c r="F199" s="31"/>
      <c r="G199" s="31"/>
      <c r="H199" s="31"/>
      <c r="I199" s="31"/>
      <c r="J199" s="31"/>
      <c r="K199" s="31"/>
      <c r="L199" s="31"/>
      <c r="M199" s="31"/>
      <c r="N199" s="31"/>
      <c r="U199" s="138"/>
      <c r="V199" s="138"/>
      <c r="W199" s="138"/>
      <c r="X199" s="86"/>
    </row>
    <row r="200">
      <c r="A200" s="31"/>
      <c r="B200" s="31"/>
      <c r="C200" s="79"/>
      <c r="D200" s="79"/>
      <c r="E200" s="79"/>
      <c r="F200" s="31"/>
      <c r="G200" s="31"/>
      <c r="H200" s="31"/>
      <c r="I200" s="31"/>
      <c r="J200" s="31"/>
      <c r="K200" s="31"/>
      <c r="L200" s="31"/>
      <c r="M200" s="31"/>
      <c r="N200" s="31"/>
      <c r="U200" s="138"/>
      <c r="V200" s="138"/>
      <c r="W200" s="138"/>
      <c r="X200" s="86"/>
    </row>
    <row r="201">
      <c r="A201" s="31"/>
      <c r="B201" s="31"/>
      <c r="C201" s="79"/>
      <c r="D201" s="79"/>
      <c r="E201" s="79"/>
      <c r="F201" s="31"/>
      <c r="G201" s="31"/>
      <c r="H201" s="31"/>
      <c r="I201" s="31"/>
      <c r="J201" s="31"/>
      <c r="K201" s="31"/>
      <c r="L201" s="31"/>
      <c r="M201" s="31"/>
      <c r="N201" s="31"/>
      <c r="U201" s="138"/>
      <c r="V201" s="138"/>
      <c r="W201" s="138"/>
      <c r="X201" s="86"/>
    </row>
    <row r="202">
      <c r="A202" s="31"/>
      <c r="B202" s="31"/>
      <c r="C202" s="79"/>
      <c r="D202" s="79"/>
      <c r="E202" s="79"/>
      <c r="F202" s="31"/>
      <c r="G202" s="31"/>
      <c r="H202" s="31"/>
      <c r="I202" s="31"/>
      <c r="J202" s="31"/>
      <c r="K202" s="31"/>
      <c r="L202" s="31"/>
      <c r="M202" s="31"/>
      <c r="N202" s="31"/>
      <c r="U202" s="138"/>
      <c r="V202" s="138"/>
      <c r="W202" s="138"/>
      <c r="X202" s="86"/>
    </row>
    <row r="203">
      <c r="A203" s="31"/>
      <c r="B203" s="31"/>
      <c r="C203" s="79"/>
      <c r="D203" s="79"/>
      <c r="E203" s="79"/>
      <c r="F203" s="31"/>
      <c r="G203" s="31"/>
      <c r="H203" s="31"/>
      <c r="I203" s="31"/>
      <c r="J203" s="31"/>
      <c r="K203" s="31"/>
      <c r="L203" s="31"/>
      <c r="M203" s="31"/>
      <c r="N203" s="31"/>
      <c r="U203" s="138"/>
      <c r="V203" s="138"/>
      <c r="W203" s="138"/>
      <c r="X203" s="86"/>
    </row>
    <row r="204">
      <c r="A204" s="31"/>
      <c r="B204" s="31"/>
      <c r="C204" s="79"/>
      <c r="D204" s="79"/>
      <c r="E204" s="79"/>
      <c r="F204" s="31"/>
      <c r="G204" s="31"/>
      <c r="H204" s="31"/>
      <c r="I204" s="31"/>
      <c r="J204" s="31"/>
      <c r="K204" s="31"/>
      <c r="L204" s="31"/>
      <c r="M204" s="31"/>
      <c r="N204" s="31"/>
      <c r="U204" s="138"/>
      <c r="V204" s="138"/>
      <c r="W204" s="138"/>
      <c r="X204" s="86"/>
    </row>
    <row r="205">
      <c r="A205" s="31"/>
      <c r="B205" s="31"/>
      <c r="C205" s="79"/>
      <c r="D205" s="79"/>
      <c r="E205" s="79"/>
      <c r="F205" s="31"/>
      <c r="G205" s="31"/>
      <c r="H205" s="31"/>
      <c r="I205" s="31"/>
      <c r="J205" s="31"/>
      <c r="K205" s="31"/>
      <c r="L205" s="31"/>
      <c r="M205" s="31"/>
      <c r="N205" s="31"/>
      <c r="U205" s="138"/>
      <c r="V205" s="138"/>
      <c r="W205" s="138"/>
      <c r="X205" s="86"/>
    </row>
    <row r="206">
      <c r="A206" s="31"/>
      <c r="B206" s="31"/>
      <c r="C206" s="79"/>
      <c r="D206" s="79"/>
      <c r="E206" s="79"/>
      <c r="F206" s="31"/>
      <c r="G206" s="31"/>
      <c r="H206" s="31"/>
      <c r="I206" s="31"/>
      <c r="J206" s="31"/>
      <c r="K206" s="31"/>
      <c r="L206" s="31"/>
      <c r="M206" s="31"/>
      <c r="N206" s="31"/>
      <c r="U206" s="138"/>
      <c r="V206" s="138"/>
      <c r="W206" s="138"/>
      <c r="X206" s="86"/>
    </row>
    <row r="207">
      <c r="A207" s="31"/>
      <c r="B207" s="31"/>
      <c r="C207" s="79"/>
      <c r="D207" s="79"/>
      <c r="E207" s="79"/>
      <c r="F207" s="31"/>
      <c r="G207" s="31"/>
      <c r="H207" s="31"/>
      <c r="I207" s="31"/>
      <c r="J207" s="31"/>
      <c r="K207" s="31"/>
      <c r="L207" s="31"/>
      <c r="M207" s="31"/>
      <c r="N207" s="31"/>
      <c r="U207" s="138"/>
      <c r="V207" s="138"/>
      <c r="W207" s="138"/>
      <c r="X207" s="86"/>
    </row>
    <row r="208">
      <c r="A208" s="31"/>
      <c r="B208" s="31"/>
      <c r="C208" s="79"/>
      <c r="D208" s="79"/>
      <c r="E208" s="79"/>
      <c r="F208" s="31"/>
      <c r="G208" s="31"/>
      <c r="H208" s="31"/>
      <c r="I208" s="31"/>
      <c r="J208" s="31"/>
      <c r="K208" s="31"/>
      <c r="L208" s="31"/>
      <c r="M208" s="31"/>
      <c r="N208" s="31"/>
      <c r="U208" s="138"/>
      <c r="V208" s="138"/>
      <c r="W208" s="138"/>
      <c r="X208" s="86"/>
    </row>
    <row r="209">
      <c r="A209" s="31"/>
      <c r="B209" s="31"/>
      <c r="C209" s="79"/>
      <c r="D209" s="79"/>
      <c r="E209" s="79"/>
      <c r="F209" s="31"/>
      <c r="G209" s="31"/>
      <c r="H209" s="31"/>
      <c r="I209" s="31"/>
      <c r="J209" s="31"/>
      <c r="K209" s="31"/>
      <c r="L209" s="31"/>
      <c r="M209" s="31"/>
      <c r="N209" s="31"/>
      <c r="U209" s="138"/>
      <c r="V209" s="138"/>
      <c r="W209" s="138"/>
      <c r="X209" s="86"/>
    </row>
    <row r="210">
      <c r="A210" s="31"/>
      <c r="B210" s="31"/>
      <c r="C210" s="79"/>
      <c r="D210" s="79"/>
      <c r="E210" s="79"/>
      <c r="F210" s="31"/>
      <c r="G210" s="31"/>
      <c r="H210" s="31"/>
      <c r="I210" s="31"/>
      <c r="J210" s="31"/>
      <c r="K210" s="31"/>
      <c r="L210" s="31"/>
      <c r="M210" s="31"/>
      <c r="N210" s="31"/>
      <c r="U210" s="138"/>
      <c r="V210" s="138"/>
      <c r="W210" s="138"/>
      <c r="X210" s="86"/>
    </row>
    <row r="211">
      <c r="A211" s="31"/>
      <c r="B211" s="31"/>
      <c r="C211" s="79"/>
      <c r="D211" s="79"/>
      <c r="E211" s="79"/>
      <c r="F211" s="31"/>
      <c r="G211" s="31"/>
      <c r="H211" s="31"/>
      <c r="I211" s="31"/>
      <c r="J211" s="31"/>
      <c r="K211" s="31"/>
      <c r="L211" s="31"/>
      <c r="M211" s="31"/>
      <c r="N211" s="31"/>
      <c r="U211" s="138"/>
      <c r="V211" s="138"/>
      <c r="W211" s="138"/>
      <c r="X211" s="86"/>
    </row>
    <row r="212">
      <c r="A212" s="31"/>
      <c r="B212" s="31"/>
      <c r="C212" s="79"/>
      <c r="D212" s="79"/>
      <c r="E212" s="79"/>
      <c r="F212" s="31"/>
      <c r="G212" s="31"/>
      <c r="H212" s="31"/>
      <c r="I212" s="31"/>
      <c r="J212" s="31"/>
      <c r="K212" s="31"/>
      <c r="L212" s="31"/>
      <c r="M212" s="31"/>
      <c r="N212" s="31"/>
      <c r="U212" s="138"/>
      <c r="V212" s="138"/>
      <c r="W212" s="138"/>
      <c r="X212" s="86"/>
    </row>
    <row r="213">
      <c r="A213" s="31"/>
      <c r="B213" s="31"/>
      <c r="C213" s="79"/>
      <c r="D213" s="79"/>
      <c r="E213" s="79"/>
      <c r="F213" s="31"/>
      <c r="G213" s="31"/>
      <c r="H213" s="31"/>
      <c r="I213" s="31"/>
      <c r="J213" s="31"/>
      <c r="K213" s="31"/>
      <c r="L213" s="31"/>
      <c r="M213" s="31"/>
      <c r="N213" s="31"/>
      <c r="U213" s="138"/>
      <c r="V213" s="138"/>
      <c r="W213" s="138"/>
      <c r="X213" s="86"/>
    </row>
    <row r="214">
      <c r="A214" s="31"/>
      <c r="B214" s="31"/>
      <c r="C214" s="79"/>
      <c r="D214" s="79"/>
      <c r="E214" s="79"/>
      <c r="F214" s="31"/>
      <c r="G214" s="31"/>
      <c r="H214" s="31"/>
      <c r="I214" s="31"/>
      <c r="J214" s="31"/>
      <c r="K214" s="31"/>
      <c r="L214" s="31"/>
      <c r="M214" s="31"/>
      <c r="N214" s="31"/>
      <c r="U214" s="138"/>
      <c r="V214" s="138"/>
      <c r="W214" s="138"/>
      <c r="X214" s="86"/>
    </row>
    <row r="215">
      <c r="A215" s="31"/>
      <c r="B215" s="31"/>
      <c r="C215" s="79"/>
      <c r="D215" s="79"/>
      <c r="E215" s="79"/>
      <c r="F215" s="31"/>
      <c r="G215" s="31"/>
      <c r="H215" s="31"/>
      <c r="I215" s="31"/>
      <c r="J215" s="31"/>
      <c r="K215" s="31"/>
      <c r="L215" s="31"/>
      <c r="M215" s="31"/>
      <c r="N215" s="31"/>
      <c r="U215" s="138"/>
      <c r="V215" s="138"/>
      <c r="W215" s="138"/>
      <c r="X215" s="86"/>
    </row>
    <row r="216">
      <c r="A216" s="31"/>
      <c r="B216" s="31"/>
      <c r="C216" s="79"/>
      <c r="D216" s="79"/>
      <c r="E216" s="79"/>
      <c r="F216" s="31"/>
      <c r="G216" s="31"/>
      <c r="H216" s="31"/>
      <c r="I216" s="31"/>
      <c r="J216" s="31"/>
      <c r="K216" s="31"/>
      <c r="L216" s="31"/>
      <c r="M216" s="31"/>
      <c r="N216" s="31"/>
      <c r="U216" s="138"/>
      <c r="V216" s="138"/>
      <c r="W216" s="138"/>
      <c r="X216" s="86"/>
    </row>
    <row r="217">
      <c r="A217" s="31"/>
      <c r="B217" s="31"/>
      <c r="C217" s="79"/>
      <c r="D217" s="79"/>
      <c r="E217" s="79"/>
      <c r="F217" s="31"/>
      <c r="G217" s="31"/>
      <c r="H217" s="31"/>
      <c r="I217" s="31"/>
      <c r="J217" s="31"/>
      <c r="K217" s="31"/>
      <c r="L217" s="31"/>
      <c r="M217" s="31"/>
      <c r="N217" s="31"/>
      <c r="U217" s="138"/>
      <c r="V217" s="138"/>
      <c r="W217" s="138"/>
      <c r="X217" s="86"/>
    </row>
    <row r="218">
      <c r="A218" s="31"/>
      <c r="B218" s="31"/>
      <c r="C218" s="79"/>
      <c r="D218" s="79"/>
      <c r="E218" s="79"/>
      <c r="F218" s="31"/>
      <c r="G218" s="31"/>
      <c r="H218" s="31"/>
      <c r="I218" s="31"/>
      <c r="J218" s="31"/>
      <c r="K218" s="31"/>
      <c r="L218" s="31"/>
      <c r="M218" s="31"/>
      <c r="N218" s="31"/>
      <c r="U218" s="138"/>
      <c r="V218" s="138"/>
      <c r="W218" s="138"/>
      <c r="X218" s="86"/>
    </row>
    <row r="219">
      <c r="A219" s="31"/>
      <c r="B219" s="31"/>
      <c r="C219" s="79"/>
      <c r="D219" s="79"/>
      <c r="E219" s="79"/>
      <c r="F219" s="31"/>
      <c r="G219" s="31"/>
      <c r="H219" s="31"/>
      <c r="I219" s="31"/>
      <c r="J219" s="31"/>
      <c r="K219" s="31"/>
      <c r="L219" s="31"/>
      <c r="M219" s="31"/>
      <c r="N219" s="31"/>
      <c r="U219" s="138"/>
      <c r="V219" s="138"/>
      <c r="W219" s="138"/>
      <c r="X219" s="86"/>
    </row>
    <row r="220">
      <c r="A220" s="31"/>
      <c r="B220" s="31"/>
      <c r="C220" s="79"/>
      <c r="D220" s="79"/>
      <c r="E220" s="79"/>
      <c r="F220" s="31"/>
      <c r="G220" s="31"/>
      <c r="H220" s="31"/>
      <c r="I220" s="31"/>
      <c r="J220" s="31"/>
      <c r="K220" s="31"/>
      <c r="L220" s="31"/>
      <c r="M220" s="31"/>
      <c r="N220" s="31"/>
      <c r="U220" s="138"/>
      <c r="V220" s="138"/>
      <c r="W220" s="138"/>
      <c r="X220" s="86"/>
    </row>
    <row r="221">
      <c r="A221" s="31"/>
      <c r="B221" s="31"/>
      <c r="C221" s="79"/>
      <c r="D221" s="79"/>
      <c r="E221" s="79"/>
      <c r="F221" s="31"/>
      <c r="G221" s="31"/>
      <c r="H221" s="31"/>
      <c r="I221" s="31"/>
      <c r="J221" s="31"/>
      <c r="K221" s="31"/>
      <c r="L221" s="31"/>
      <c r="M221" s="31"/>
      <c r="N221" s="31"/>
      <c r="U221" s="138"/>
      <c r="V221" s="138"/>
      <c r="W221" s="138"/>
      <c r="X221" s="86"/>
    </row>
    <row r="222">
      <c r="A222" s="31"/>
      <c r="B222" s="31"/>
      <c r="C222" s="79"/>
      <c r="D222" s="79"/>
      <c r="E222" s="79"/>
      <c r="F222" s="31"/>
      <c r="G222" s="31"/>
      <c r="H222" s="31"/>
      <c r="I222" s="31"/>
      <c r="J222" s="31"/>
      <c r="K222" s="31"/>
      <c r="L222" s="31"/>
      <c r="M222" s="31"/>
      <c r="N222" s="31"/>
      <c r="U222" s="138"/>
      <c r="V222" s="138"/>
      <c r="W222" s="138"/>
      <c r="X222" s="86"/>
    </row>
    <row r="223">
      <c r="A223" s="31"/>
      <c r="B223" s="31"/>
      <c r="C223" s="79"/>
      <c r="D223" s="79"/>
      <c r="E223" s="79"/>
      <c r="F223" s="31"/>
      <c r="G223" s="31"/>
      <c r="H223" s="31"/>
      <c r="I223" s="31"/>
      <c r="J223" s="31"/>
      <c r="K223" s="31"/>
      <c r="L223" s="31"/>
      <c r="M223" s="31"/>
      <c r="N223" s="31"/>
      <c r="U223" s="138"/>
      <c r="V223" s="138"/>
      <c r="W223" s="138"/>
      <c r="X223" s="86"/>
    </row>
    <row r="224">
      <c r="A224" s="31"/>
      <c r="B224" s="31"/>
      <c r="C224" s="79"/>
      <c r="D224" s="79"/>
      <c r="E224" s="79"/>
      <c r="F224" s="31"/>
      <c r="G224" s="31"/>
      <c r="H224" s="31"/>
      <c r="I224" s="31"/>
      <c r="J224" s="31"/>
      <c r="K224" s="31"/>
      <c r="L224" s="31"/>
      <c r="M224" s="31"/>
      <c r="N224" s="31"/>
      <c r="U224" s="138"/>
      <c r="V224" s="138"/>
      <c r="W224" s="138"/>
      <c r="X224" s="86"/>
    </row>
    <row r="225">
      <c r="A225" s="31"/>
      <c r="B225" s="31"/>
      <c r="C225" s="79"/>
      <c r="D225" s="79"/>
      <c r="E225" s="79"/>
      <c r="F225" s="31"/>
      <c r="G225" s="31"/>
      <c r="H225" s="31"/>
      <c r="I225" s="31"/>
      <c r="J225" s="31"/>
      <c r="K225" s="31"/>
      <c r="L225" s="31"/>
      <c r="M225" s="31"/>
      <c r="N225" s="31"/>
      <c r="U225" s="138"/>
      <c r="V225" s="138"/>
      <c r="W225" s="138"/>
      <c r="X225" s="86"/>
    </row>
    <row r="226">
      <c r="A226" s="31"/>
      <c r="B226" s="31"/>
      <c r="C226" s="79"/>
      <c r="D226" s="79"/>
      <c r="E226" s="79"/>
      <c r="F226" s="31"/>
      <c r="G226" s="31"/>
      <c r="H226" s="31"/>
      <c r="I226" s="31"/>
      <c r="J226" s="31"/>
      <c r="K226" s="31"/>
      <c r="L226" s="31"/>
      <c r="M226" s="31"/>
      <c r="N226" s="31"/>
      <c r="U226" s="138"/>
      <c r="V226" s="138"/>
      <c r="W226" s="138"/>
      <c r="X226" s="86"/>
    </row>
    <row r="227">
      <c r="A227" s="31"/>
      <c r="B227" s="31"/>
      <c r="C227" s="79"/>
      <c r="D227" s="79"/>
      <c r="E227" s="79"/>
      <c r="F227" s="31"/>
      <c r="G227" s="31"/>
      <c r="H227" s="31"/>
      <c r="I227" s="31"/>
      <c r="J227" s="31"/>
      <c r="K227" s="31"/>
      <c r="L227" s="31"/>
      <c r="M227" s="31"/>
      <c r="N227" s="31"/>
      <c r="U227" s="138"/>
      <c r="V227" s="138"/>
      <c r="W227" s="138"/>
      <c r="X227" s="86"/>
    </row>
    <row r="228">
      <c r="A228" s="31"/>
      <c r="B228" s="31"/>
      <c r="C228" s="79"/>
      <c r="D228" s="79"/>
      <c r="E228" s="79"/>
      <c r="F228" s="31"/>
      <c r="G228" s="31"/>
      <c r="H228" s="31"/>
      <c r="I228" s="31"/>
      <c r="J228" s="31"/>
      <c r="K228" s="31"/>
      <c r="L228" s="31"/>
      <c r="M228" s="31"/>
      <c r="N228" s="31"/>
      <c r="U228" s="138"/>
      <c r="V228" s="138"/>
      <c r="W228" s="138"/>
      <c r="X228" s="86"/>
    </row>
    <row r="229">
      <c r="A229" s="31"/>
      <c r="B229" s="31"/>
      <c r="C229" s="79"/>
      <c r="D229" s="79"/>
      <c r="E229" s="79"/>
      <c r="F229" s="31"/>
      <c r="G229" s="31"/>
      <c r="H229" s="31"/>
      <c r="I229" s="31"/>
      <c r="J229" s="31"/>
      <c r="K229" s="31"/>
      <c r="L229" s="31"/>
      <c r="M229" s="31"/>
      <c r="N229" s="31"/>
      <c r="U229" s="138"/>
      <c r="V229" s="138"/>
      <c r="W229" s="138"/>
      <c r="X229" s="86"/>
    </row>
    <row r="230">
      <c r="A230" s="31"/>
      <c r="B230" s="31"/>
      <c r="C230" s="79"/>
      <c r="D230" s="79"/>
      <c r="E230" s="79"/>
      <c r="F230" s="31"/>
      <c r="G230" s="31"/>
      <c r="H230" s="31"/>
      <c r="I230" s="31"/>
      <c r="J230" s="31"/>
      <c r="K230" s="31"/>
      <c r="L230" s="31"/>
      <c r="M230" s="31"/>
      <c r="N230" s="31"/>
      <c r="U230" s="138"/>
      <c r="V230" s="138"/>
      <c r="W230" s="138"/>
      <c r="X230" s="86"/>
    </row>
    <row r="231">
      <c r="A231" s="31"/>
      <c r="B231" s="31"/>
      <c r="C231" s="79"/>
      <c r="D231" s="79"/>
      <c r="E231" s="79"/>
      <c r="F231" s="31"/>
      <c r="G231" s="31"/>
      <c r="H231" s="31"/>
      <c r="I231" s="31"/>
      <c r="J231" s="31"/>
      <c r="K231" s="31"/>
      <c r="L231" s="31"/>
      <c r="M231" s="31"/>
      <c r="N231" s="31"/>
      <c r="U231" s="138"/>
      <c r="V231" s="138"/>
      <c r="W231" s="138"/>
      <c r="X231" s="86"/>
    </row>
    <row r="232">
      <c r="A232" s="31"/>
      <c r="B232" s="31"/>
      <c r="C232" s="79"/>
      <c r="D232" s="79"/>
      <c r="E232" s="79"/>
      <c r="F232" s="31"/>
      <c r="G232" s="31"/>
      <c r="H232" s="31"/>
      <c r="I232" s="31"/>
      <c r="J232" s="31"/>
      <c r="K232" s="31"/>
      <c r="L232" s="31"/>
      <c r="M232" s="31"/>
      <c r="N232" s="31"/>
      <c r="U232" s="138"/>
      <c r="V232" s="138"/>
      <c r="W232" s="138"/>
      <c r="X232" s="86"/>
    </row>
    <row r="233">
      <c r="A233" s="31"/>
      <c r="B233" s="31"/>
      <c r="C233" s="79"/>
      <c r="D233" s="79"/>
      <c r="E233" s="79"/>
      <c r="F233" s="31"/>
      <c r="G233" s="31"/>
      <c r="H233" s="31"/>
      <c r="I233" s="31"/>
      <c r="J233" s="31"/>
      <c r="K233" s="31"/>
      <c r="L233" s="31"/>
      <c r="M233" s="31"/>
      <c r="N233" s="31"/>
      <c r="U233" s="138"/>
      <c r="V233" s="138"/>
      <c r="W233" s="138"/>
      <c r="X233" s="86"/>
    </row>
    <row r="234">
      <c r="A234" s="31"/>
      <c r="B234" s="31"/>
      <c r="C234" s="79"/>
      <c r="D234" s="79"/>
      <c r="E234" s="79"/>
      <c r="F234" s="31"/>
      <c r="G234" s="31"/>
      <c r="H234" s="31"/>
      <c r="I234" s="31"/>
      <c r="J234" s="31"/>
      <c r="K234" s="31"/>
      <c r="L234" s="31"/>
      <c r="M234" s="31"/>
      <c r="N234" s="31"/>
      <c r="U234" s="138"/>
      <c r="V234" s="138"/>
      <c r="W234" s="138"/>
      <c r="X234" s="86"/>
    </row>
    <row r="235">
      <c r="A235" s="31"/>
      <c r="B235" s="31"/>
      <c r="C235" s="79"/>
      <c r="D235" s="79"/>
      <c r="E235" s="79"/>
      <c r="F235" s="31"/>
      <c r="G235" s="31"/>
      <c r="H235" s="31"/>
      <c r="I235" s="31"/>
      <c r="J235" s="31"/>
      <c r="K235" s="31"/>
      <c r="L235" s="31"/>
      <c r="M235" s="31"/>
      <c r="N235" s="31"/>
      <c r="U235" s="138"/>
      <c r="V235" s="138"/>
      <c r="W235" s="138"/>
      <c r="X235" s="86"/>
    </row>
    <row r="236">
      <c r="A236" s="31"/>
      <c r="B236" s="31"/>
      <c r="C236" s="79"/>
      <c r="D236" s="79"/>
      <c r="E236" s="79"/>
      <c r="F236" s="31"/>
      <c r="G236" s="31"/>
      <c r="H236" s="31"/>
      <c r="I236" s="31"/>
      <c r="J236" s="31"/>
      <c r="K236" s="31"/>
      <c r="L236" s="31"/>
      <c r="M236" s="31"/>
      <c r="N236" s="31"/>
      <c r="U236" s="138"/>
      <c r="V236" s="138"/>
      <c r="W236" s="138"/>
      <c r="X236" s="86"/>
    </row>
    <row r="237">
      <c r="A237" s="31"/>
      <c r="B237" s="31"/>
      <c r="C237" s="79"/>
      <c r="D237" s="79"/>
      <c r="E237" s="79"/>
      <c r="F237" s="31"/>
      <c r="G237" s="31"/>
      <c r="H237" s="31"/>
      <c r="I237" s="31"/>
      <c r="J237" s="31"/>
      <c r="K237" s="31"/>
      <c r="L237" s="31"/>
      <c r="M237" s="31"/>
      <c r="N237" s="31"/>
      <c r="U237" s="138"/>
      <c r="V237" s="138"/>
      <c r="W237" s="138"/>
      <c r="X237" s="86"/>
    </row>
    <row r="238">
      <c r="A238" s="31"/>
      <c r="B238" s="31"/>
      <c r="C238" s="79"/>
      <c r="D238" s="79"/>
      <c r="E238" s="79"/>
      <c r="F238" s="31"/>
      <c r="G238" s="31"/>
      <c r="H238" s="31"/>
      <c r="I238" s="31"/>
      <c r="J238" s="31"/>
      <c r="K238" s="31"/>
      <c r="L238" s="31"/>
      <c r="M238" s="31"/>
      <c r="N238" s="31"/>
      <c r="U238" s="138"/>
      <c r="V238" s="138"/>
      <c r="W238" s="138"/>
      <c r="X238" s="86"/>
    </row>
    <row r="239">
      <c r="A239" s="31"/>
      <c r="B239" s="31"/>
      <c r="C239" s="79"/>
      <c r="D239" s="79"/>
      <c r="E239" s="79"/>
      <c r="F239" s="31"/>
      <c r="G239" s="31"/>
      <c r="H239" s="31"/>
      <c r="I239" s="31"/>
      <c r="J239" s="31"/>
      <c r="K239" s="31"/>
      <c r="L239" s="31"/>
      <c r="M239" s="31"/>
      <c r="N239" s="31"/>
      <c r="U239" s="138"/>
      <c r="V239" s="138"/>
      <c r="W239" s="138"/>
      <c r="X239" s="86"/>
    </row>
    <row r="240">
      <c r="A240" s="31"/>
      <c r="B240" s="31"/>
      <c r="C240" s="79"/>
      <c r="D240" s="79"/>
      <c r="E240" s="79"/>
      <c r="F240" s="31"/>
      <c r="G240" s="31"/>
      <c r="H240" s="31"/>
      <c r="I240" s="31"/>
      <c r="J240" s="31"/>
      <c r="K240" s="31"/>
      <c r="L240" s="31"/>
      <c r="M240" s="31"/>
      <c r="N240" s="31"/>
      <c r="U240" s="138"/>
      <c r="V240" s="138"/>
      <c r="W240" s="138"/>
      <c r="X240" s="86"/>
    </row>
    <row r="241">
      <c r="A241" s="31"/>
      <c r="B241" s="31"/>
      <c r="C241" s="79"/>
      <c r="D241" s="79"/>
      <c r="E241" s="79"/>
      <c r="F241" s="31"/>
      <c r="G241" s="31"/>
      <c r="H241" s="31"/>
      <c r="I241" s="31"/>
      <c r="J241" s="31"/>
      <c r="K241" s="31"/>
      <c r="L241" s="31"/>
      <c r="M241" s="31"/>
      <c r="N241" s="31"/>
      <c r="U241" s="138"/>
      <c r="V241" s="138"/>
      <c r="W241" s="138"/>
      <c r="X241" s="86"/>
    </row>
    <row r="242">
      <c r="A242" s="31"/>
      <c r="B242" s="31"/>
      <c r="C242" s="79"/>
      <c r="D242" s="79"/>
      <c r="E242" s="79"/>
      <c r="F242" s="31"/>
      <c r="G242" s="31"/>
      <c r="H242" s="31"/>
      <c r="I242" s="31"/>
      <c r="J242" s="31"/>
      <c r="K242" s="31"/>
      <c r="L242" s="31"/>
      <c r="M242" s="31"/>
      <c r="N242" s="31"/>
      <c r="U242" s="138"/>
      <c r="V242" s="138"/>
      <c r="W242" s="138"/>
      <c r="X242" s="86"/>
    </row>
    <row r="243">
      <c r="A243" s="31"/>
      <c r="B243" s="31"/>
      <c r="C243" s="79"/>
      <c r="D243" s="79"/>
      <c r="E243" s="79"/>
      <c r="F243" s="31"/>
      <c r="G243" s="31"/>
      <c r="H243" s="31"/>
      <c r="I243" s="31"/>
      <c r="J243" s="31"/>
      <c r="K243" s="31"/>
      <c r="L243" s="31"/>
      <c r="M243" s="31"/>
      <c r="N243" s="31"/>
      <c r="U243" s="138"/>
      <c r="V243" s="138"/>
      <c r="W243" s="138"/>
      <c r="X243" s="86"/>
    </row>
    <row r="244">
      <c r="A244" s="31"/>
      <c r="B244" s="31"/>
      <c r="C244" s="79"/>
      <c r="D244" s="79"/>
      <c r="E244" s="79"/>
      <c r="F244" s="31"/>
      <c r="G244" s="31"/>
      <c r="H244" s="31"/>
      <c r="I244" s="31"/>
      <c r="J244" s="31"/>
      <c r="K244" s="31"/>
      <c r="L244" s="31"/>
      <c r="M244" s="31"/>
      <c r="N244" s="31"/>
      <c r="U244" s="138"/>
      <c r="V244" s="138"/>
      <c r="W244" s="138"/>
      <c r="X244" s="86"/>
    </row>
    <row r="245">
      <c r="A245" s="31"/>
      <c r="B245" s="31"/>
      <c r="C245" s="79"/>
      <c r="D245" s="79"/>
      <c r="E245" s="79"/>
      <c r="F245" s="31"/>
      <c r="G245" s="31"/>
      <c r="H245" s="31"/>
      <c r="I245" s="31"/>
      <c r="J245" s="31"/>
      <c r="K245" s="31"/>
      <c r="L245" s="31"/>
      <c r="M245" s="31"/>
      <c r="N245" s="31"/>
      <c r="U245" s="138"/>
      <c r="V245" s="138"/>
      <c r="W245" s="138"/>
      <c r="X245" s="86"/>
    </row>
    <row r="246">
      <c r="A246" s="31"/>
      <c r="B246" s="31"/>
      <c r="C246" s="79"/>
      <c r="D246" s="79"/>
      <c r="E246" s="79"/>
      <c r="F246" s="31"/>
      <c r="G246" s="31"/>
      <c r="H246" s="31"/>
      <c r="I246" s="31"/>
      <c r="J246" s="31"/>
      <c r="K246" s="31"/>
      <c r="L246" s="31"/>
      <c r="M246" s="31"/>
      <c r="N246" s="31"/>
      <c r="U246" s="138"/>
      <c r="V246" s="138"/>
      <c r="W246" s="138"/>
      <c r="X246" s="86"/>
    </row>
    <row r="247">
      <c r="A247" s="31"/>
      <c r="B247" s="31"/>
      <c r="C247" s="79"/>
      <c r="D247" s="79"/>
      <c r="E247" s="79"/>
      <c r="F247" s="31"/>
      <c r="G247" s="31"/>
      <c r="H247" s="31"/>
      <c r="I247" s="31"/>
      <c r="J247" s="31"/>
      <c r="K247" s="31"/>
      <c r="L247" s="31"/>
      <c r="M247" s="31"/>
      <c r="N247" s="31"/>
      <c r="U247" s="138"/>
      <c r="V247" s="138"/>
      <c r="W247" s="138"/>
      <c r="X247" s="86"/>
    </row>
    <row r="248">
      <c r="A248" s="31"/>
      <c r="B248" s="31"/>
      <c r="C248" s="79"/>
      <c r="D248" s="79"/>
      <c r="E248" s="79"/>
      <c r="F248" s="31"/>
      <c r="G248" s="31"/>
      <c r="H248" s="31"/>
      <c r="I248" s="31"/>
      <c r="J248" s="31"/>
      <c r="K248" s="31"/>
      <c r="L248" s="31"/>
      <c r="M248" s="31"/>
      <c r="N248" s="31"/>
      <c r="U248" s="138"/>
      <c r="V248" s="138"/>
      <c r="W248" s="138"/>
      <c r="X248" s="86"/>
    </row>
    <row r="249">
      <c r="A249" s="31"/>
      <c r="B249" s="31"/>
      <c r="C249" s="79"/>
      <c r="D249" s="79"/>
      <c r="E249" s="79"/>
      <c r="F249" s="31"/>
      <c r="G249" s="31"/>
      <c r="H249" s="31"/>
      <c r="I249" s="31"/>
      <c r="J249" s="31"/>
      <c r="K249" s="31"/>
      <c r="L249" s="31"/>
      <c r="M249" s="31"/>
      <c r="N249" s="31"/>
      <c r="U249" s="138"/>
      <c r="V249" s="138"/>
      <c r="W249" s="138"/>
      <c r="X249" s="86"/>
    </row>
    <row r="250">
      <c r="A250" s="31"/>
      <c r="B250" s="31"/>
      <c r="C250" s="79"/>
      <c r="D250" s="79"/>
      <c r="E250" s="79"/>
      <c r="F250" s="31"/>
      <c r="G250" s="31"/>
      <c r="H250" s="31"/>
      <c r="I250" s="31"/>
      <c r="J250" s="31"/>
      <c r="K250" s="31"/>
      <c r="L250" s="31"/>
      <c r="M250" s="31"/>
      <c r="N250" s="31"/>
      <c r="U250" s="138"/>
      <c r="V250" s="138"/>
      <c r="W250" s="138"/>
      <c r="X250" s="86"/>
    </row>
    <row r="251">
      <c r="A251" s="31"/>
      <c r="B251" s="31"/>
      <c r="C251" s="79"/>
      <c r="D251" s="79"/>
      <c r="E251" s="79"/>
      <c r="F251" s="31"/>
      <c r="G251" s="31"/>
      <c r="H251" s="31"/>
      <c r="I251" s="31"/>
      <c r="J251" s="31"/>
      <c r="K251" s="31"/>
      <c r="L251" s="31"/>
      <c r="M251" s="31"/>
      <c r="N251" s="31"/>
      <c r="U251" s="138"/>
      <c r="V251" s="138"/>
      <c r="W251" s="138"/>
      <c r="X251" s="86"/>
    </row>
    <row r="252">
      <c r="A252" s="31"/>
      <c r="B252" s="31"/>
      <c r="C252" s="79"/>
      <c r="D252" s="79"/>
      <c r="E252" s="79"/>
      <c r="F252" s="31"/>
      <c r="G252" s="31"/>
      <c r="H252" s="31"/>
      <c r="I252" s="31"/>
      <c r="J252" s="31"/>
      <c r="K252" s="31"/>
      <c r="L252" s="31"/>
      <c r="M252" s="31"/>
      <c r="N252" s="31"/>
      <c r="U252" s="138"/>
      <c r="V252" s="138"/>
      <c r="W252" s="138"/>
      <c r="X252" s="86"/>
    </row>
    <row r="253">
      <c r="A253" s="31"/>
      <c r="B253" s="31"/>
      <c r="C253" s="79"/>
      <c r="D253" s="79"/>
      <c r="E253" s="79"/>
      <c r="F253" s="31"/>
      <c r="G253" s="31"/>
      <c r="H253" s="31"/>
      <c r="I253" s="31"/>
      <c r="J253" s="31"/>
      <c r="K253" s="31"/>
      <c r="L253" s="31"/>
      <c r="M253" s="31"/>
      <c r="N253" s="31"/>
      <c r="U253" s="138"/>
      <c r="V253" s="138"/>
      <c r="W253" s="138"/>
      <c r="X253" s="86"/>
    </row>
    <row r="254">
      <c r="A254" s="31"/>
      <c r="B254" s="31"/>
      <c r="C254" s="79"/>
      <c r="D254" s="79"/>
      <c r="E254" s="79"/>
      <c r="F254" s="31"/>
      <c r="G254" s="31"/>
      <c r="H254" s="31"/>
      <c r="I254" s="31"/>
      <c r="J254" s="31"/>
      <c r="K254" s="31"/>
      <c r="L254" s="31"/>
      <c r="M254" s="31"/>
      <c r="N254" s="31"/>
      <c r="U254" s="138"/>
      <c r="V254" s="138"/>
      <c r="W254" s="138"/>
      <c r="X254" s="86"/>
    </row>
    <row r="255">
      <c r="A255" s="31"/>
      <c r="B255" s="31"/>
      <c r="C255" s="79"/>
      <c r="D255" s="79"/>
      <c r="E255" s="79"/>
      <c r="F255" s="31"/>
      <c r="G255" s="31"/>
      <c r="H255" s="31"/>
      <c r="I255" s="31"/>
      <c r="J255" s="31"/>
      <c r="K255" s="31"/>
      <c r="L255" s="31"/>
      <c r="M255" s="31"/>
      <c r="N255" s="31"/>
      <c r="U255" s="138"/>
      <c r="V255" s="138"/>
      <c r="W255" s="138"/>
      <c r="X255" s="86"/>
    </row>
    <row r="256">
      <c r="A256" s="31"/>
      <c r="B256" s="31"/>
      <c r="C256" s="79"/>
      <c r="D256" s="79"/>
      <c r="E256" s="79"/>
      <c r="F256" s="31"/>
      <c r="G256" s="31"/>
      <c r="H256" s="31"/>
      <c r="I256" s="31"/>
      <c r="J256" s="31"/>
      <c r="K256" s="31"/>
      <c r="L256" s="31"/>
      <c r="M256" s="31"/>
      <c r="N256" s="31"/>
      <c r="U256" s="138"/>
      <c r="V256" s="138"/>
      <c r="W256" s="138"/>
      <c r="X256" s="86"/>
    </row>
    <row r="257">
      <c r="A257" s="31"/>
      <c r="B257" s="31"/>
      <c r="C257" s="79"/>
      <c r="D257" s="79"/>
      <c r="E257" s="79"/>
      <c r="F257" s="31"/>
      <c r="G257" s="31"/>
      <c r="H257" s="31"/>
      <c r="I257" s="31"/>
      <c r="J257" s="31"/>
      <c r="K257" s="31"/>
      <c r="L257" s="31"/>
      <c r="M257" s="31"/>
      <c r="N257" s="31"/>
      <c r="U257" s="138"/>
      <c r="V257" s="138"/>
      <c r="W257" s="138"/>
      <c r="X257" s="86"/>
    </row>
    <row r="258">
      <c r="A258" s="31"/>
      <c r="B258" s="31"/>
      <c r="C258" s="79"/>
      <c r="D258" s="79"/>
      <c r="E258" s="79"/>
      <c r="F258" s="31"/>
      <c r="G258" s="31"/>
      <c r="H258" s="31"/>
      <c r="I258" s="31"/>
      <c r="J258" s="31"/>
      <c r="K258" s="31"/>
      <c r="L258" s="31"/>
      <c r="M258" s="31"/>
      <c r="N258" s="31"/>
      <c r="U258" s="138"/>
      <c r="V258" s="138"/>
      <c r="W258" s="138"/>
      <c r="X258" s="86"/>
    </row>
    <row r="259">
      <c r="A259" s="31"/>
      <c r="B259" s="31"/>
      <c r="C259" s="79"/>
      <c r="D259" s="79"/>
      <c r="E259" s="79"/>
      <c r="F259" s="31"/>
      <c r="G259" s="31"/>
      <c r="H259" s="31"/>
      <c r="I259" s="31"/>
      <c r="J259" s="31"/>
      <c r="K259" s="31"/>
      <c r="L259" s="31"/>
      <c r="M259" s="31"/>
      <c r="N259" s="31"/>
      <c r="U259" s="138"/>
      <c r="V259" s="138"/>
      <c r="W259" s="138"/>
      <c r="X259" s="86"/>
    </row>
    <row r="260">
      <c r="A260" s="31"/>
      <c r="B260" s="31"/>
      <c r="C260" s="79"/>
      <c r="D260" s="79"/>
      <c r="E260" s="79"/>
      <c r="F260" s="31"/>
      <c r="G260" s="31"/>
      <c r="H260" s="31"/>
      <c r="I260" s="31"/>
      <c r="J260" s="31"/>
      <c r="K260" s="31"/>
      <c r="L260" s="31"/>
      <c r="M260" s="31"/>
      <c r="N260" s="31"/>
      <c r="U260" s="138"/>
      <c r="V260" s="138"/>
      <c r="W260" s="138"/>
      <c r="X260" s="86"/>
    </row>
    <row r="261">
      <c r="A261" s="31"/>
      <c r="B261" s="31"/>
      <c r="C261" s="79"/>
      <c r="D261" s="79"/>
      <c r="E261" s="79"/>
      <c r="F261" s="31"/>
      <c r="G261" s="31"/>
      <c r="H261" s="31"/>
      <c r="I261" s="31"/>
      <c r="J261" s="31"/>
      <c r="K261" s="31"/>
      <c r="L261" s="31"/>
      <c r="M261" s="31"/>
      <c r="N261" s="31"/>
      <c r="U261" s="138"/>
      <c r="V261" s="138"/>
      <c r="W261" s="138"/>
      <c r="X261" s="86"/>
    </row>
    <row r="262">
      <c r="A262" s="31"/>
      <c r="B262" s="31"/>
      <c r="C262" s="79"/>
      <c r="D262" s="79"/>
      <c r="E262" s="79"/>
      <c r="F262" s="31"/>
      <c r="G262" s="31"/>
      <c r="H262" s="31"/>
      <c r="I262" s="31"/>
      <c r="J262" s="31"/>
      <c r="K262" s="31"/>
      <c r="L262" s="31"/>
      <c r="M262" s="31"/>
      <c r="N262" s="31"/>
      <c r="U262" s="138"/>
      <c r="V262" s="138"/>
      <c r="W262" s="138"/>
    </row>
    <row r="263">
      <c r="A263" s="31"/>
      <c r="B263" s="31"/>
      <c r="C263" s="79"/>
      <c r="D263" s="79"/>
      <c r="E263" s="79"/>
      <c r="F263" s="31"/>
      <c r="G263" s="31"/>
      <c r="H263" s="31"/>
      <c r="I263" s="31"/>
      <c r="J263" s="31"/>
      <c r="K263" s="31"/>
      <c r="L263" s="31"/>
      <c r="M263" s="31"/>
      <c r="N263" s="31"/>
      <c r="U263" s="138"/>
      <c r="V263" s="138"/>
      <c r="W263" s="138"/>
    </row>
    <row r="264">
      <c r="A264" s="31"/>
      <c r="B264" s="31"/>
      <c r="C264" s="79"/>
      <c r="D264" s="79"/>
      <c r="E264" s="79"/>
      <c r="F264" s="31"/>
      <c r="G264" s="31"/>
      <c r="H264" s="31"/>
      <c r="I264" s="31"/>
      <c r="J264" s="31"/>
      <c r="K264" s="31"/>
      <c r="L264" s="31"/>
      <c r="M264" s="31"/>
      <c r="N264" s="31"/>
      <c r="U264" s="138"/>
      <c r="V264" s="138"/>
      <c r="W264" s="138"/>
    </row>
    <row r="265">
      <c r="A265" s="31"/>
      <c r="B265" s="31"/>
      <c r="C265" s="79"/>
      <c r="D265" s="79"/>
      <c r="E265" s="79"/>
      <c r="F265" s="31"/>
      <c r="G265" s="31"/>
      <c r="H265" s="31"/>
      <c r="I265" s="31"/>
      <c r="J265" s="31"/>
      <c r="K265" s="31"/>
      <c r="L265" s="31"/>
      <c r="M265" s="31"/>
      <c r="N265" s="31"/>
      <c r="U265" s="138"/>
      <c r="V265" s="138"/>
      <c r="W265" s="138"/>
    </row>
    <row r="266">
      <c r="A266" s="31"/>
      <c r="B266" s="31"/>
      <c r="C266" s="79"/>
      <c r="D266" s="79"/>
      <c r="E266" s="79"/>
      <c r="F266" s="31"/>
      <c r="G266" s="31"/>
      <c r="H266" s="31"/>
      <c r="I266" s="31"/>
      <c r="J266" s="31"/>
      <c r="K266" s="31"/>
      <c r="L266" s="31"/>
      <c r="M266" s="31"/>
      <c r="N266" s="31"/>
      <c r="U266" s="138"/>
      <c r="V266" s="138"/>
      <c r="W266" s="138"/>
    </row>
    <row r="267">
      <c r="A267" s="31"/>
      <c r="B267" s="31"/>
      <c r="C267" s="79"/>
      <c r="D267" s="79"/>
      <c r="E267" s="79"/>
      <c r="F267" s="31"/>
      <c r="G267" s="31"/>
      <c r="H267" s="31"/>
      <c r="I267" s="31"/>
      <c r="J267" s="31"/>
      <c r="K267" s="31"/>
      <c r="L267" s="31"/>
      <c r="M267" s="31"/>
      <c r="N267" s="31"/>
      <c r="U267" s="138"/>
      <c r="V267" s="138"/>
      <c r="W267" s="138"/>
    </row>
    <row r="268">
      <c r="A268" s="31"/>
      <c r="B268" s="31"/>
      <c r="C268" s="79"/>
      <c r="D268" s="79"/>
      <c r="E268" s="79"/>
      <c r="F268" s="31"/>
      <c r="G268" s="31"/>
      <c r="H268" s="31"/>
      <c r="I268" s="31"/>
      <c r="J268" s="31"/>
      <c r="K268" s="31"/>
      <c r="L268" s="31"/>
      <c r="M268" s="31"/>
      <c r="N268" s="31"/>
      <c r="U268" s="138"/>
      <c r="V268" s="138"/>
      <c r="W268" s="138"/>
    </row>
    <row r="269">
      <c r="A269" s="31"/>
      <c r="B269" s="31"/>
      <c r="C269" s="79"/>
      <c r="D269" s="79"/>
      <c r="E269" s="79"/>
      <c r="F269" s="31"/>
      <c r="G269" s="31"/>
      <c r="H269" s="31"/>
      <c r="I269" s="31"/>
      <c r="J269" s="31"/>
      <c r="K269" s="31"/>
      <c r="L269" s="31"/>
      <c r="M269" s="31"/>
      <c r="N269" s="31"/>
      <c r="U269" s="138"/>
      <c r="V269" s="138"/>
      <c r="W269" s="138"/>
    </row>
    <row r="270">
      <c r="A270" s="31"/>
      <c r="B270" s="31"/>
      <c r="C270" s="79"/>
      <c r="D270" s="79"/>
      <c r="E270" s="79"/>
      <c r="F270" s="31"/>
      <c r="G270" s="31"/>
      <c r="H270" s="31"/>
      <c r="I270" s="31"/>
      <c r="J270" s="31"/>
      <c r="K270" s="31"/>
      <c r="L270" s="31"/>
      <c r="M270" s="31"/>
      <c r="N270" s="31"/>
      <c r="U270" s="138"/>
      <c r="V270" s="138"/>
      <c r="W270" s="138"/>
    </row>
    <row r="271">
      <c r="A271" s="31"/>
      <c r="B271" s="31"/>
      <c r="C271" s="79"/>
      <c r="D271" s="79"/>
      <c r="E271" s="79"/>
      <c r="F271" s="31"/>
      <c r="G271" s="31"/>
      <c r="H271" s="31"/>
      <c r="I271" s="31"/>
      <c r="J271" s="31"/>
      <c r="K271" s="31"/>
      <c r="L271" s="31"/>
      <c r="M271" s="31"/>
      <c r="N271" s="31"/>
      <c r="U271" s="138"/>
      <c r="V271" s="138"/>
      <c r="W271" s="138"/>
    </row>
    <row r="272">
      <c r="A272" s="31"/>
      <c r="B272" s="31"/>
      <c r="C272" s="79"/>
      <c r="D272" s="79"/>
      <c r="E272" s="79"/>
      <c r="F272" s="31"/>
      <c r="G272" s="31"/>
      <c r="H272" s="31"/>
      <c r="I272" s="31"/>
      <c r="J272" s="31"/>
      <c r="K272" s="31"/>
      <c r="L272" s="31"/>
      <c r="M272" s="31"/>
      <c r="N272" s="31"/>
      <c r="U272" s="138"/>
      <c r="V272" s="138"/>
      <c r="W272" s="138"/>
    </row>
    <row r="273">
      <c r="A273" s="31"/>
      <c r="B273" s="31"/>
      <c r="C273" s="79"/>
      <c r="D273" s="79"/>
      <c r="E273" s="79"/>
      <c r="F273" s="31"/>
      <c r="G273" s="31"/>
      <c r="H273" s="31"/>
      <c r="I273" s="31"/>
      <c r="J273" s="31"/>
      <c r="K273" s="31"/>
      <c r="L273" s="31"/>
      <c r="M273" s="31"/>
      <c r="N273" s="31"/>
      <c r="U273" s="138"/>
      <c r="V273" s="138"/>
      <c r="W273" s="138"/>
    </row>
    <row r="274">
      <c r="A274" s="31"/>
      <c r="B274" s="31"/>
      <c r="C274" s="79"/>
      <c r="D274" s="79"/>
      <c r="E274" s="79"/>
      <c r="F274" s="31"/>
      <c r="G274" s="31"/>
      <c r="H274" s="31"/>
      <c r="I274" s="31"/>
      <c r="J274" s="31"/>
      <c r="K274" s="31"/>
      <c r="L274" s="31"/>
      <c r="M274" s="31"/>
      <c r="N274" s="31"/>
      <c r="U274" s="138"/>
      <c r="V274" s="138"/>
      <c r="W274" s="138"/>
    </row>
    <row r="275">
      <c r="A275" s="31"/>
      <c r="B275" s="31"/>
      <c r="C275" s="79"/>
      <c r="D275" s="79"/>
      <c r="E275" s="79"/>
      <c r="F275" s="31"/>
      <c r="G275" s="31"/>
      <c r="H275" s="31"/>
      <c r="I275" s="31"/>
      <c r="J275" s="31"/>
      <c r="K275" s="31"/>
      <c r="L275" s="31"/>
      <c r="M275" s="31"/>
      <c r="N275" s="31"/>
      <c r="U275" s="138"/>
      <c r="V275" s="138"/>
      <c r="W275" s="138"/>
    </row>
    <row r="276">
      <c r="A276" s="31"/>
      <c r="B276" s="31"/>
      <c r="C276" s="79"/>
      <c r="D276" s="79"/>
      <c r="E276" s="79"/>
      <c r="F276" s="31"/>
      <c r="G276" s="31"/>
      <c r="H276" s="31"/>
      <c r="I276" s="31"/>
      <c r="J276" s="31"/>
      <c r="K276" s="31"/>
      <c r="L276" s="31"/>
      <c r="M276" s="31"/>
      <c r="N276" s="31"/>
      <c r="U276" s="138"/>
      <c r="V276" s="138"/>
      <c r="W276" s="138"/>
    </row>
    <row r="277">
      <c r="A277" s="31"/>
      <c r="B277" s="31"/>
      <c r="C277" s="79"/>
      <c r="D277" s="79"/>
      <c r="E277" s="79"/>
      <c r="F277" s="31"/>
      <c r="G277" s="31"/>
      <c r="H277" s="31"/>
      <c r="I277" s="31"/>
      <c r="J277" s="31"/>
      <c r="K277" s="31"/>
      <c r="L277" s="31"/>
      <c r="M277" s="31"/>
      <c r="N277" s="31"/>
      <c r="U277" s="138"/>
      <c r="V277" s="138"/>
      <c r="W277" s="138"/>
    </row>
    <row r="278">
      <c r="A278" s="31"/>
      <c r="B278" s="31"/>
      <c r="C278" s="79"/>
      <c r="D278" s="79"/>
      <c r="E278" s="79"/>
      <c r="F278" s="31"/>
      <c r="G278" s="31"/>
      <c r="H278" s="31"/>
      <c r="I278" s="31"/>
      <c r="J278" s="31"/>
      <c r="K278" s="31"/>
      <c r="L278" s="31"/>
      <c r="M278" s="31"/>
      <c r="N278" s="31"/>
      <c r="U278" s="138"/>
      <c r="V278" s="138"/>
      <c r="W278" s="138"/>
    </row>
    <row r="279">
      <c r="A279" s="31"/>
      <c r="B279" s="31"/>
      <c r="C279" s="79"/>
      <c r="D279" s="79"/>
      <c r="E279" s="79"/>
      <c r="F279" s="31"/>
      <c r="G279" s="31"/>
      <c r="H279" s="31"/>
      <c r="I279" s="31"/>
      <c r="J279" s="31"/>
      <c r="K279" s="31"/>
      <c r="L279" s="31"/>
      <c r="M279" s="31"/>
      <c r="N279" s="31"/>
      <c r="U279" s="138"/>
      <c r="V279" s="138"/>
      <c r="W279" s="138"/>
    </row>
    <row r="280">
      <c r="A280" s="31"/>
      <c r="B280" s="31"/>
      <c r="C280" s="79"/>
      <c r="D280" s="79"/>
      <c r="E280" s="79"/>
      <c r="F280" s="31"/>
      <c r="G280" s="31"/>
      <c r="H280" s="31"/>
      <c r="I280" s="31"/>
      <c r="J280" s="31"/>
      <c r="K280" s="31"/>
      <c r="L280" s="31"/>
      <c r="M280" s="31"/>
      <c r="N280" s="31"/>
      <c r="U280" s="138"/>
      <c r="V280" s="138"/>
      <c r="W280" s="138"/>
    </row>
    <row r="281">
      <c r="A281" s="31"/>
      <c r="B281" s="31"/>
      <c r="C281" s="79"/>
      <c r="D281" s="79"/>
      <c r="E281" s="79"/>
      <c r="F281" s="31"/>
      <c r="G281" s="31"/>
      <c r="H281" s="31"/>
      <c r="I281" s="31"/>
      <c r="J281" s="31"/>
      <c r="K281" s="31"/>
      <c r="L281" s="31"/>
      <c r="M281" s="31"/>
      <c r="N281" s="31"/>
      <c r="U281" s="138"/>
      <c r="V281" s="138"/>
      <c r="W281" s="138"/>
    </row>
    <row r="282">
      <c r="A282" s="31"/>
      <c r="B282" s="31"/>
      <c r="C282" s="79"/>
      <c r="D282" s="79"/>
      <c r="E282" s="79"/>
      <c r="F282" s="31"/>
      <c r="G282" s="31"/>
      <c r="H282" s="31"/>
      <c r="I282" s="31"/>
      <c r="J282" s="31"/>
      <c r="K282" s="31"/>
      <c r="L282" s="31"/>
      <c r="M282" s="31"/>
      <c r="N282" s="31"/>
      <c r="U282" s="138"/>
      <c r="V282" s="138"/>
      <c r="W282" s="138"/>
    </row>
    <row r="283">
      <c r="A283" s="31"/>
      <c r="B283" s="31"/>
      <c r="C283" s="79"/>
      <c r="D283" s="79"/>
      <c r="E283" s="79"/>
      <c r="F283" s="31"/>
      <c r="G283" s="31"/>
      <c r="H283" s="31"/>
      <c r="I283" s="31"/>
      <c r="J283" s="31"/>
      <c r="K283" s="31"/>
      <c r="L283" s="31"/>
      <c r="M283" s="31"/>
      <c r="N283" s="31"/>
      <c r="U283" s="138"/>
      <c r="V283" s="138"/>
      <c r="W283" s="138"/>
    </row>
    <row r="284">
      <c r="A284" s="31"/>
      <c r="B284" s="31"/>
      <c r="C284" s="79"/>
      <c r="D284" s="79"/>
      <c r="E284" s="79"/>
      <c r="F284" s="31"/>
      <c r="G284" s="31"/>
      <c r="H284" s="31"/>
      <c r="I284" s="31"/>
      <c r="J284" s="31"/>
      <c r="K284" s="31"/>
      <c r="L284" s="31"/>
      <c r="M284" s="31"/>
      <c r="N284" s="31"/>
      <c r="U284" s="138"/>
      <c r="V284" s="138"/>
      <c r="W284" s="138"/>
    </row>
    <row r="285">
      <c r="A285" s="31"/>
      <c r="B285" s="31"/>
      <c r="C285" s="79"/>
      <c r="D285" s="79"/>
      <c r="E285" s="79"/>
      <c r="F285" s="31"/>
      <c r="G285" s="31"/>
      <c r="H285" s="31"/>
      <c r="I285" s="31"/>
      <c r="J285" s="31"/>
      <c r="K285" s="31"/>
      <c r="L285" s="31"/>
      <c r="M285" s="31"/>
      <c r="N285" s="31"/>
      <c r="U285" s="138"/>
      <c r="V285" s="138"/>
      <c r="W285" s="138"/>
    </row>
    <row r="286">
      <c r="A286" s="31"/>
      <c r="B286" s="31"/>
      <c r="C286" s="79"/>
      <c r="D286" s="79"/>
      <c r="E286" s="79"/>
      <c r="F286" s="31"/>
      <c r="G286" s="31"/>
      <c r="H286" s="31"/>
      <c r="I286" s="31"/>
      <c r="J286" s="31"/>
      <c r="K286" s="31"/>
      <c r="L286" s="31"/>
      <c r="M286" s="31"/>
      <c r="N286" s="31"/>
      <c r="U286" s="138"/>
      <c r="V286" s="138"/>
      <c r="W286" s="138"/>
    </row>
    <row r="287">
      <c r="A287" s="31"/>
      <c r="B287" s="31"/>
      <c r="C287" s="79"/>
      <c r="D287" s="79"/>
      <c r="E287" s="79"/>
      <c r="F287" s="31"/>
      <c r="G287" s="31"/>
      <c r="H287" s="31"/>
      <c r="I287" s="31"/>
      <c r="J287" s="31"/>
      <c r="K287" s="31"/>
      <c r="L287" s="31"/>
      <c r="M287" s="31"/>
      <c r="N287" s="31"/>
      <c r="U287" s="138"/>
      <c r="V287" s="138"/>
      <c r="W287" s="138"/>
    </row>
    <row r="288">
      <c r="A288" s="31"/>
      <c r="B288" s="31"/>
      <c r="C288" s="79"/>
      <c r="D288" s="79"/>
      <c r="E288" s="79"/>
      <c r="F288" s="31"/>
      <c r="G288" s="31"/>
      <c r="H288" s="31"/>
      <c r="I288" s="31"/>
      <c r="J288" s="31"/>
      <c r="K288" s="31"/>
      <c r="L288" s="31"/>
      <c r="M288" s="31"/>
      <c r="N288" s="31"/>
      <c r="U288" s="138"/>
      <c r="V288" s="138"/>
      <c r="W288" s="138"/>
    </row>
    <row r="289">
      <c r="A289" s="31"/>
      <c r="B289" s="31"/>
      <c r="C289" s="79"/>
      <c r="D289" s="79"/>
      <c r="E289" s="79"/>
      <c r="F289" s="31"/>
      <c r="G289" s="31"/>
      <c r="H289" s="31"/>
      <c r="I289" s="31"/>
      <c r="J289" s="31"/>
      <c r="K289" s="31"/>
      <c r="L289" s="31"/>
      <c r="M289" s="31"/>
      <c r="N289" s="31"/>
      <c r="U289" s="138"/>
      <c r="V289" s="138"/>
      <c r="W289" s="138"/>
    </row>
    <row r="290">
      <c r="A290" s="31"/>
      <c r="B290" s="31"/>
      <c r="C290" s="79"/>
      <c r="D290" s="79"/>
      <c r="E290" s="79"/>
      <c r="F290" s="31"/>
      <c r="G290" s="31"/>
      <c r="H290" s="31"/>
      <c r="I290" s="31"/>
      <c r="J290" s="31"/>
      <c r="K290" s="31"/>
      <c r="L290" s="31"/>
      <c r="M290" s="31"/>
      <c r="N290" s="31"/>
      <c r="U290" s="138"/>
      <c r="V290" s="138"/>
      <c r="W290" s="138"/>
    </row>
    <row r="291">
      <c r="A291" s="31"/>
      <c r="B291" s="31"/>
      <c r="C291" s="79"/>
      <c r="D291" s="79"/>
      <c r="E291" s="79"/>
      <c r="F291" s="31"/>
      <c r="G291" s="31"/>
      <c r="H291" s="31"/>
      <c r="I291" s="31"/>
      <c r="J291" s="31"/>
      <c r="K291" s="31"/>
      <c r="L291" s="31"/>
      <c r="M291" s="31"/>
      <c r="N291" s="31"/>
      <c r="U291" s="138"/>
      <c r="V291" s="138"/>
      <c r="W291" s="138"/>
    </row>
    <row r="292">
      <c r="A292" s="31"/>
      <c r="B292" s="31"/>
      <c r="C292" s="79"/>
      <c r="D292" s="79"/>
      <c r="E292" s="79"/>
      <c r="F292" s="31"/>
      <c r="G292" s="31"/>
      <c r="H292" s="31"/>
      <c r="I292" s="31"/>
      <c r="J292" s="31"/>
      <c r="K292" s="31"/>
      <c r="L292" s="31"/>
      <c r="M292" s="31"/>
      <c r="N292" s="31"/>
      <c r="U292" s="138"/>
      <c r="V292" s="138"/>
      <c r="W292" s="138"/>
    </row>
    <row r="293">
      <c r="A293" s="31"/>
      <c r="B293" s="31"/>
      <c r="C293" s="79"/>
      <c r="D293" s="79"/>
      <c r="E293" s="79"/>
      <c r="F293" s="31"/>
      <c r="G293" s="31"/>
      <c r="H293" s="31"/>
      <c r="I293" s="31"/>
      <c r="J293" s="31"/>
      <c r="K293" s="31"/>
      <c r="L293" s="31"/>
      <c r="M293" s="31"/>
      <c r="N293" s="31"/>
      <c r="U293" s="138"/>
      <c r="V293" s="138"/>
      <c r="W293" s="138"/>
    </row>
    <row r="294">
      <c r="A294" s="31"/>
      <c r="B294" s="31"/>
      <c r="C294" s="79"/>
      <c r="D294" s="79"/>
      <c r="E294" s="79"/>
      <c r="F294" s="31"/>
      <c r="G294" s="31"/>
      <c r="H294" s="31"/>
      <c r="I294" s="31"/>
      <c r="J294" s="31"/>
      <c r="K294" s="31"/>
      <c r="L294" s="31"/>
      <c r="M294" s="31"/>
      <c r="N294" s="31"/>
      <c r="U294" s="138"/>
      <c r="V294" s="138"/>
      <c r="W294" s="138"/>
    </row>
    <row r="295">
      <c r="A295" s="31"/>
      <c r="B295" s="31"/>
      <c r="C295" s="79"/>
      <c r="D295" s="79"/>
      <c r="E295" s="79"/>
      <c r="F295" s="31"/>
      <c r="G295" s="31"/>
      <c r="H295" s="31"/>
      <c r="I295" s="31"/>
      <c r="J295" s="31"/>
      <c r="K295" s="31"/>
      <c r="L295" s="31"/>
      <c r="M295" s="31"/>
      <c r="N295" s="31"/>
      <c r="U295" s="138"/>
      <c r="V295" s="138"/>
      <c r="W295" s="138"/>
    </row>
    <row r="296">
      <c r="A296" s="31"/>
      <c r="B296" s="31"/>
      <c r="C296" s="79"/>
      <c r="D296" s="79"/>
      <c r="E296" s="79"/>
      <c r="F296" s="31"/>
      <c r="G296" s="31"/>
      <c r="H296" s="31"/>
      <c r="I296" s="31"/>
      <c r="J296" s="31"/>
      <c r="K296" s="31"/>
      <c r="L296" s="31"/>
      <c r="M296" s="31"/>
      <c r="N296" s="31"/>
      <c r="U296" s="138"/>
      <c r="V296" s="138"/>
      <c r="W296" s="138"/>
    </row>
    <row r="297">
      <c r="A297" s="31"/>
      <c r="B297" s="31"/>
      <c r="C297" s="79"/>
      <c r="D297" s="79"/>
      <c r="E297" s="79"/>
      <c r="F297" s="31"/>
      <c r="G297" s="31"/>
      <c r="H297" s="31"/>
      <c r="I297" s="31"/>
      <c r="J297" s="31"/>
      <c r="K297" s="31"/>
      <c r="L297" s="31"/>
      <c r="M297" s="31"/>
      <c r="N297" s="31"/>
      <c r="U297" s="138"/>
      <c r="V297" s="138"/>
      <c r="W297" s="138"/>
    </row>
    <row r="298">
      <c r="A298" s="31"/>
      <c r="B298" s="31"/>
      <c r="C298" s="79"/>
      <c r="D298" s="79"/>
      <c r="E298" s="79"/>
      <c r="F298" s="31"/>
      <c r="G298" s="31"/>
      <c r="H298" s="31"/>
      <c r="I298" s="31"/>
      <c r="J298" s="31"/>
      <c r="K298" s="31"/>
      <c r="L298" s="31"/>
      <c r="M298" s="31"/>
      <c r="N298" s="31"/>
      <c r="U298" s="138"/>
      <c r="V298" s="138"/>
      <c r="W298" s="138"/>
    </row>
    <row r="299">
      <c r="A299" s="31"/>
      <c r="B299" s="31"/>
      <c r="C299" s="79"/>
      <c r="D299" s="79"/>
      <c r="E299" s="79"/>
      <c r="F299" s="31"/>
      <c r="G299" s="31"/>
      <c r="H299" s="31"/>
      <c r="I299" s="31"/>
      <c r="J299" s="31"/>
      <c r="K299" s="31"/>
      <c r="L299" s="31"/>
      <c r="M299" s="31"/>
      <c r="N299" s="31"/>
      <c r="U299" s="138"/>
      <c r="V299" s="138"/>
      <c r="W299" s="138"/>
    </row>
    <row r="300">
      <c r="A300" s="31"/>
      <c r="B300" s="31"/>
      <c r="C300" s="79"/>
      <c r="D300" s="79"/>
      <c r="E300" s="79"/>
      <c r="F300" s="31"/>
      <c r="G300" s="31"/>
      <c r="H300" s="31"/>
      <c r="I300" s="31"/>
      <c r="J300" s="31"/>
      <c r="K300" s="31"/>
      <c r="L300" s="31"/>
      <c r="M300" s="31"/>
      <c r="N300" s="31"/>
      <c r="U300" s="138"/>
      <c r="V300" s="138"/>
      <c r="W300" s="138"/>
    </row>
    <row r="301">
      <c r="A301" s="31"/>
      <c r="B301" s="31"/>
      <c r="C301" s="79"/>
      <c r="D301" s="79"/>
      <c r="E301" s="79"/>
      <c r="F301" s="31"/>
      <c r="G301" s="31"/>
      <c r="H301" s="31"/>
      <c r="I301" s="31"/>
      <c r="J301" s="31"/>
      <c r="K301" s="31"/>
      <c r="L301" s="31"/>
      <c r="M301" s="31"/>
      <c r="N301" s="31"/>
      <c r="U301" s="138"/>
      <c r="V301" s="138"/>
      <c r="W301" s="138"/>
    </row>
    <row r="302">
      <c r="A302" s="31"/>
      <c r="B302" s="31"/>
      <c r="C302" s="79"/>
      <c r="D302" s="79"/>
      <c r="E302" s="79"/>
      <c r="F302" s="31"/>
      <c r="G302" s="31"/>
      <c r="H302" s="31"/>
      <c r="I302" s="31"/>
      <c r="J302" s="31"/>
      <c r="K302" s="31"/>
      <c r="L302" s="31"/>
      <c r="M302" s="31"/>
      <c r="N302" s="31"/>
      <c r="U302" s="138"/>
      <c r="V302" s="138"/>
      <c r="W302" s="138"/>
    </row>
    <row r="303">
      <c r="A303" s="31"/>
      <c r="B303" s="31"/>
      <c r="C303" s="79"/>
      <c r="D303" s="79"/>
      <c r="E303" s="79"/>
      <c r="F303" s="31"/>
      <c r="G303" s="31"/>
      <c r="H303" s="31"/>
      <c r="I303" s="31"/>
      <c r="J303" s="31"/>
      <c r="K303" s="31"/>
      <c r="L303" s="31"/>
      <c r="M303" s="31"/>
      <c r="N303" s="31"/>
      <c r="U303" s="138"/>
      <c r="V303" s="138"/>
      <c r="W303" s="138"/>
    </row>
    <row r="304">
      <c r="A304" s="31"/>
      <c r="B304" s="31"/>
      <c r="C304" s="79"/>
      <c r="D304" s="79"/>
      <c r="E304" s="79"/>
      <c r="F304" s="31"/>
      <c r="G304" s="31"/>
      <c r="H304" s="31"/>
      <c r="I304" s="31"/>
      <c r="J304" s="31"/>
      <c r="K304" s="31"/>
      <c r="L304" s="31"/>
      <c r="M304" s="31"/>
      <c r="N304" s="31"/>
      <c r="U304" s="138"/>
      <c r="V304" s="138"/>
      <c r="W304" s="138"/>
    </row>
    <row r="305">
      <c r="A305" s="31"/>
      <c r="B305" s="31"/>
      <c r="C305" s="79"/>
      <c r="D305" s="79"/>
      <c r="E305" s="79"/>
      <c r="F305" s="31"/>
      <c r="G305" s="31"/>
      <c r="H305" s="31"/>
      <c r="I305" s="31"/>
      <c r="J305" s="31"/>
      <c r="K305" s="31"/>
      <c r="L305" s="31"/>
      <c r="M305" s="31"/>
      <c r="N305" s="31"/>
      <c r="U305" s="138"/>
      <c r="V305" s="138"/>
      <c r="W305" s="138"/>
    </row>
    <row r="306">
      <c r="A306" s="31"/>
      <c r="B306" s="31"/>
      <c r="C306" s="79"/>
      <c r="D306" s="79"/>
      <c r="E306" s="79"/>
      <c r="F306" s="31"/>
      <c r="G306" s="31"/>
      <c r="H306" s="31"/>
      <c r="I306" s="31"/>
      <c r="J306" s="31"/>
      <c r="K306" s="31"/>
      <c r="L306" s="31"/>
      <c r="M306" s="31"/>
      <c r="N306" s="31"/>
      <c r="U306" s="138"/>
      <c r="V306" s="138"/>
      <c r="W306" s="138"/>
    </row>
    <row r="307">
      <c r="A307" s="31"/>
      <c r="B307" s="31"/>
      <c r="C307" s="79"/>
      <c r="D307" s="79"/>
      <c r="E307" s="79"/>
      <c r="F307" s="31"/>
      <c r="G307" s="31"/>
      <c r="H307" s="31"/>
      <c r="I307" s="31"/>
      <c r="J307" s="31"/>
      <c r="K307" s="31"/>
      <c r="L307" s="31"/>
      <c r="M307" s="31"/>
      <c r="N307" s="31"/>
      <c r="U307" s="138"/>
      <c r="V307" s="138"/>
      <c r="W307" s="138"/>
    </row>
    <row r="308">
      <c r="A308" s="31"/>
      <c r="B308" s="31"/>
      <c r="C308" s="79"/>
      <c r="D308" s="79"/>
      <c r="E308" s="79"/>
      <c r="F308" s="31"/>
      <c r="G308" s="31"/>
      <c r="H308" s="31"/>
      <c r="I308" s="31"/>
      <c r="J308" s="31"/>
      <c r="K308" s="31"/>
      <c r="L308" s="31"/>
      <c r="M308" s="31"/>
      <c r="N308" s="31"/>
      <c r="U308" s="138"/>
      <c r="V308" s="138"/>
      <c r="W308" s="138"/>
    </row>
    <row r="309">
      <c r="A309" s="31"/>
      <c r="B309" s="31"/>
      <c r="C309" s="79"/>
      <c r="D309" s="79"/>
      <c r="E309" s="79"/>
      <c r="F309" s="31"/>
      <c r="G309" s="31"/>
      <c r="H309" s="31"/>
      <c r="I309" s="31"/>
      <c r="J309" s="31"/>
      <c r="K309" s="31"/>
      <c r="L309" s="31"/>
      <c r="M309" s="31"/>
      <c r="N309" s="31"/>
      <c r="U309" s="138"/>
      <c r="V309" s="138"/>
      <c r="W309" s="138"/>
    </row>
    <row r="310">
      <c r="A310" s="31"/>
      <c r="B310" s="31"/>
      <c r="C310" s="79"/>
      <c r="D310" s="79"/>
      <c r="E310" s="79"/>
      <c r="F310" s="31"/>
      <c r="G310" s="31"/>
      <c r="H310" s="31"/>
      <c r="I310" s="31"/>
      <c r="J310" s="31"/>
      <c r="K310" s="31"/>
      <c r="L310" s="31"/>
      <c r="M310" s="31"/>
      <c r="N310" s="31"/>
      <c r="U310" s="138"/>
      <c r="V310" s="138"/>
      <c r="W310" s="138"/>
    </row>
    <row r="311">
      <c r="A311" s="31"/>
      <c r="B311" s="31"/>
      <c r="C311" s="79"/>
      <c r="D311" s="79"/>
      <c r="E311" s="79"/>
      <c r="F311" s="31"/>
      <c r="G311" s="31"/>
      <c r="H311" s="31"/>
      <c r="I311" s="31"/>
      <c r="J311" s="31"/>
      <c r="K311" s="31"/>
      <c r="L311" s="31"/>
      <c r="M311" s="31"/>
      <c r="N311" s="31"/>
      <c r="U311" s="138"/>
      <c r="V311" s="138"/>
      <c r="W311" s="138"/>
    </row>
    <row r="312">
      <c r="A312" s="31"/>
      <c r="B312" s="31"/>
      <c r="C312" s="79"/>
      <c r="D312" s="79"/>
      <c r="E312" s="79"/>
      <c r="F312" s="31"/>
      <c r="G312" s="31"/>
      <c r="H312" s="31"/>
      <c r="I312" s="31"/>
      <c r="J312" s="31"/>
      <c r="K312" s="31"/>
      <c r="L312" s="31"/>
      <c r="M312" s="31"/>
      <c r="N312" s="31"/>
      <c r="U312" s="138"/>
      <c r="V312" s="138"/>
      <c r="W312" s="138"/>
    </row>
    <row r="313">
      <c r="A313" s="31"/>
      <c r="B313" s="31"/>
      <c r="C313" s="79"/>
      <c r="D313" s="79"/>
      <c r="E313" s="79"/>
      <c r="F313" s="31"/>
      <c r="G313" s="31"/>
      <c r="H313" s="31"/>
      <c r="I313" s="31"/>
      <c r="J313" s="31"/>
      <c r="K313" s="31"/>
      <c r="L313" s="31"/>
      <c r="M313" s="31"/>
      <c r="N313" s="31"/>
      <c r="U313" s="138"/>
      <c r="V313" s="138"/>
      <c r="W313" s="138"/>
    </row>
    <row r="314">
      <c r="A314" s="31"/>
      <c r="B314" s="31"/>
      <c r="C314" s="79"/>
      <c r="D314" s="79"/>
      <c r="E314" s="79"/>
      <c r="F314" s="31"/>
      <c r="G314" s="31"/>
      <c r="H314" s="31"/>
      <c r="I314" s="31"/>
      <c r="J314" s="31"/>
      <c r="K314" s="31"/>
      <c r="L314" s="31"/>
      <c r="M314" s="31"/>
      <c r="N314" s="31"/>
      <c r="U314" s="138"/>
      <c r="V314" s="138"/>
      <c r="W314" s="138"/>
    </row>
    <row r="315">
      <c r="A315" s="31"/>
      <c r="B315" s="31"/>
      <c r="C315" s="79"/>
      <c r="D315" s="79"/>
      <c r="E315" s="79"/>
      <c r="F315" s="31"/>
      <c r="G315" s="31"/>
      <c r="H315" s="31"/>
      <c r="I315" s="31"/>
      <c r="J315" s="31"/>
      <c r="K315" s="31"/>
      <c r="L315" s="31"/>
      <c r="M315" s="31"/>
      <c r="N315" s="31"/>
      <c r="U315" s="138"/>
      <c r="V315" s="138"/>
      <c r="W315" s="138"/>
    </row>
    <row r="316">
      <c r="A316" s="31"/>
      <c r="B316" s="31"/>
      <c r="C316" s="79"/>
      <c r="D316" s="79"/>
      <c r="E316" s="79"/>
      <c r="F316" s="31"/>
      <c r="G316" s="31"/>
      <c r="H316" s="31"/>
      <c r="I316" s="31"/>
      <c r="J316" s="31"/>
      <c r="K316" s="31"/>
      <c r="L316" s="31"/>
      <c r="M316" s="31"/>
      <c r="N316" s="31"/>
      <c r="U316" s="138"/>
      <c r="V316" s="138"/>
      <c r="W316" s="138"/>
    </row>
    <row r="317">
      <c r="A317" s="31"/>
      <c r="B317" s="31"/>
      <c r="C317" s="79"/>
      <c r="D317" s="79"/>
      <c r="E317" s="79"/>
      <c r="F317" s="31"/>
      <c r="G317" s="31"/>
      <c r="H317" s="31"/>
      <c r="I317" s="31"/>
      <c r="J317" s="31"/>
      <c r="K317" s="31"/>
      <c r="L317" s="31"/>
      <c r="M317" s="31"/>
      <c r="N317" s="31"/>
      <c r="U317" s="138"/>
      <c r="V317" s="138"/>
      <c r="W317" s="138"/>
    </row>
    <row r="318">
      <c r="A318" s="31"/>
      <c r="B318" s="31"/>
      <c r="C318" s="79"/>
      <c r="D318" s="79"/>
      <c r="E318" s="79"/>
      <c r="F318" s="31"/>
      <c r="G318" s="31"/>
      <c r="H318" s="31"/>
      <c r="I318" s="31"/>
      <c r="J318" s="31"/>
      <c r="K318" s="31"/>
      <c r="L318" s="31"/>
      <c r="M318" s="31"/>
      <c r="N318" s="31"/>
      <c r="U318" s="138"/>
      <c r="V318" s="138"/>
      <c r="W318" s="138"/>
    </row>
    <row r="319">
      <c r="A319" s="31"/>
      <c r="B319" s="31"/>
      <c r="C319" s="79"/>
      <c r="D319" s="79"/>
      <c r="E319" s="79"/>
      <c r="F319" s="31"/>
      <c r="G319" s="31"/>
      <c r="H319" s="31"/>
      <c r="I319" s="31"/>
      <c r="J319" s="31"/>
      <c r="K319" s="31"/>
      <c r="L319" s="31"/>
      <c r="M319" s="31"/>
      <c r="N319" s="31"/>
      <c r="U319" s="138"/>
      <c r="V319" s="138"/>
      <c r="W319" s="138"/>
    </row>
    <row r="320">
      <c r="A320" s="31"/>
      <c r="B320" s="31"/>
      <c r="C320" s="79"/>
      <c r="D320" s="79"/>
      <c r="E320" s="79"/>
      <c r="F320" s="31"/>
      <c r="G320" s="31"/>
      <c r="H320" s="31"/>
      <c r="I320" s="31"/>
      <c r="J320" s="31"/>
      <c r="K320" s="31"/>
      <c r="L320" s="31"/>
      <c r="M320" s="31"/>
      <c r="N320" s="31"/>
      <c r="U320" s="138"/>
      <c r="V320" s="138"/>
      <c r="W320" s="138"/>
    </row>
    <row r="321">
      <c r="A321" s="31"/>
      <c r="B321" s="31"/>
      <c r="C321" s="79"/>
      <c r="D321" s="79"/>
      <c r="E321" s="79"/>
      <c r="F321" s="31"/>
      <c r="G321" s="31"/>
      <c r="H321" s="31"/>
      <c r="I321" s="31"/>
      <c r="J321" s="31"/>
      <c r="K321" s="31"/>
      <c r="L321" s="31"/>
      <c r="M321" s="31"/>
      <c r="N321" s="31"/>
      <c r="U321" s="138"/>
      <c r="V321" s="138"/>
      <c r="W321" s="138"/>
    </row>
    <row r="322">
      <c r="A322" s="31"/>
      <c r="B322" s="31"/>
      <c r="C322" s="79"/>
      <c r="D322" s="79"/>
      <c r="E322" s="79"/>
      <c r="F322" s="31"/>
      <c r="G322" s="31"/>
      <c r="H322" s="31"/>
      <c r="I322" s="31"/>
      <c r="J322" s="31"/>
      <c r="K322" s="31"/>
      <c r="L322" s="31"/>
      <c r="M322" s="31"/>
      <c r="N322" s="31"/>
      <c r="U322" s="138"/>
      <c r="V322" s="138"/>
      <c r="W322" s="138"/>
    </row>
    <row r="323">
      <c r="A323" s="31"/>
      <c r="B323" s="31"/>
      <c r="C323" s="79"/>
      <c r="D323" s="79"/>
      <c r="E323" s="79"/>
      <c r="F323" s="31"/>
      <c r="G323" s="31"/>
      <c r="H323" s="31"/>
      <c r="I323" s="31"/>
      <c r="J323" s="31"/>
      <c r="K323" s="31"/>
      <c r="L323" s="31"/>
      <c r="M323" s="31"/>
      <c r="N323" s="31"/>
      <c r="U323" s="138"/>
      <c r="V323" s="138"/>
      <c r="W323" s="138"/>
    </row>
    <row r="324">
      <c r="A324" s="31"/>
      <c r="B324" s="31"/>
      <c r="C324" s="79"/>
      <c r="D324" s="79"/>
      <c r="E324" s="79"/>
      <c r="F324" s="31"/>
      <c r="G324" s="31"/>
      <c r="H324" s="31"/>
      <c r="I324" s="31"/>
      <c r="J324" s="31"/>
      <c r="K324" s="31"/>
      <c r="L324" s="31"/>
      <c r="M324" s="31"/>
      <c r="N324" s="31"/>
      <c r="U324" s="138"/>
      <c r="V324" s="138"/>
      <c r="W324" s="138"/>
    </row>
    <row r="325">
      <c r="A325" s="31"/>
      <c r="B325" s="31"/>
      <c r="C325" s="79"/>
      <c r="D325" s="79"/>
      <c r="E325" s="79"/>
      <c r="F325" s="31"/>
      <c r="G325" s="31"/>
      <c r="H325" s="31"/>
      <c r="I325" s="31"/>
      <c r="J325" s="31"/>
      <c r="K325" s="31"/>
      <c r="L325" s="31"/>
      <c r="M325" s="31"/>
      <c r="N325" s="31"/>
      <c r="U325" s="138"/>
      <c r="V325" s="138"/>
      <c r="W325" s="138"/>
    </row>
    <row r="326">
      <c r="A326" s="31"/>
      <c r="B326" s="31"/>
      <c r="C326" s="79"/>
      <c r="D326" s="79"/>
      <c r="E326" s="79"/>
      <c r="F326" s="31"/>
      <c r="G326" s="31"/>
      <c r="H326" s="31"/>
      <c r="I326" s="31"/>
      <c r="J326" s="31"/>
      <c r="K326" s="31"/>
      <c r="L326" s="31"/>
      <c r="M326" s="31"/>
      <c r="N326" s="31"/>
      <c r="U326" s="138"/>
      <c r="V326" s="138"/>
      <c r="W326" s="138"/>
    </row>
    <row r="327">
      <c r="A327" s="31"/>
      <c r="B327" s="31"/>
      <c r="C327" s="79"/>
      <c r="D327" s="79"/>
      <c r="E327" s="79"/>
      <c r="F327" s="31"/>
      <c r="G327" s="31"/>
      <c r="H327" s="31"/>
      <c r="I327" s="31"/>
      <c r="J327" s="31"/>
      <c r="K327" s="31"/>
      <c r="L327" s="31"/>
      <c r="M327" s="31"/>
      <c r="N327" s="31"/>
      <c r="U327" s="138"/>
      <c r="V327" s="138"/>
      <c r="W327" s="138"/>
    </row>
    <row r="328">
      <c r="A328" s="31"/>
      <c r="B328" s="31"/>
      <c r="C328" s="79"/>
      <c r="D328" s="79"/>
      <c r="E328" s="79"/>
      <c r="F328" s="31"/>
      <c r="G328" s="31"/>
      <c r="H328" s="31"/>
      <c r="I328" s="31"/>
      <c r="J328" s="31"/>
      <c r="K328" s="31"/>
      <c r="L328" s="31"/>
      <c r="M328" s="31"/>
      <c r="N328" s="31"/>
      <c r="U328" s="138"/>
      <c r="V328" s="138"/>
      <c r="W328" s="138"/>
    </row>
    <row r="329">
      <c r="A329" s="31"/>
      <c r="B329" s="31"/>
      <c r="C329" s="79"/>
      <c r="D329" s="79"/>
      <c r="E329" s="79"/>
      <c r="F329" s="31"/>
      <c r="G329" s="31"/>
      <c r="H329" s="31"/>
      <c r="I329" s="31"/>
      <c r="J329" s="31"/>
      <c r="K329" s="31"/>
      <c r="L329" s="31"/>
      <c r="M329" s="31"/>
      <c r="N329" s="31"/>
      <c r="U329" s="138"/>
      <c r="V329" s="138"/>
      <c r="W329" s="138"/>
    </row>
    <row r="330">
      <c r="A330" s="31"/>
      <c r="B330" s="31"/>
      <c r="C330" s="79"/>
      <c r="D330" s="79"/>
      <c r="E330" s="79"/>
      <c r="F330" s="31"/>
      <c r="G330" s="31"/>
      <c r="H330" s="31"/>
      <c r="I330" s="31"/>
      <c r="J330" s="31"/>
      <c r="K330" s="31"/>
      <c r="L330" s="31"/>
      <c r="M330" s="31"/>
      <c r="N330" s="31"/>
      <c r="U330" s="138"/>
      <c r="V330" s="138"/>
      <c r="W330" s="138"/>
    </row>
    <row r="331">
      <c r="A331" s="31"/>
      <c r="B331" s="31"/>
      <c r="C331" s="79"/>
      <c r="D331" s="79"/>
      <c r="E331" s="79"/>
      <c r="F331" s="31"/>
      <c r="G331" s="31"/>
      <c r="H331" s="31"/>
      <c r="I331" s="31"/>
      <c r="J331" s="31"/>
      <c r="K331" s="31"/>
      <c r="L331" s="31"/>
      <c r="M331" s="31"/>
      <c r="N331" s="31"/>
      <c r="U331" s="138"/>
      <c r="V331" s="138"/>
      <c r="W331" s="138"/>
    </row>
    <row r="332">
      <c r="A332" s="31"/>
      <c r="B332" s="31"/>
      <c r="C332" s="79"/>
      <c r="D332" s="79"/>
      <c r="E332" s="79"/>
      <c r="F332" s="31"/>
      <c r="G332" s="31"/>
      <c r="H332" s="31"/>
      <c r="I332" s="31"/>
      <c r="J332" s="31"/>
      <c r="K332" s="31"/>
      <c r="L332" s="31"/>
      <c r="M332" s="31"/>
      <c r="N332" s="31"/>
      <c r="U332" s="138"/>
      <c r="V332" s="138"/>
      <c r="W332" s="138"/>
    </row>
    <row r="333">
      <c r="A333" s="31"/>
      <c r="B333" s="31"/>
      <c r="C333" s="79"/>
      <c r="D333" s="79"/>
      <c r="E333" s="79"/>
      <c r="F333" s="31"/>
      <c r="G333" s="31"/>
      <c r="H333" s="31"/>
      <c r="I333" s="31"/>
      <c r="J333" s="31"/>
      <c r="K333" s="31"/>
      <c r="L333" s="31"/>
      <c r="M333" s="31"/>
      <c r="N333" s="31"/>
      <c r="U333" s="138"/>
      <c r="V333" s="138"/>
      <c r="W333" s="138"/>
    </row>
    <row r="334">
      <c r="A334" s="31"/>
      <c r="B334" s="31"/>
      <c r="C334" s="79"/>
      <c r="D334" s="79"/>
      <c r="E334" s="79"/>
      <c r="F334" s="31"/>
      <c r="G334" s="31"/>
      <c r="H334" s="31"/>
      <c r="I334" s="31"/>
      <c r="J334" s="31"/>
      <c r="K334" s="31"/>
      <c r="L334" s="31"/>
      <c r="M334" s="31"/>
      <c r="N334" s="31"/>
      <c r="U334" s="138"/>
      <c r="V334" s="138"/>
      <c r="W334" s="138"/>
    </row>
    <row r="335">
      <c r="A335" s="31"/>
      <c r="B335" s="31"/>
      <c r="C335" s="79"/>
      <c r="D335" s="79"/>
      <c r="E335" s="79"/>
      <c r="F335" s="31"/>
      <c r="G335" s="31"/>
      <c r="H335" s="31"/>
      <c r="I335" s="31"/>
      <c r="J335" s="31"/>
      <c r="K335" s="31"/>
      <c r="L335" s="31"/>
      <c r="M335" s="31"/>
      <c r="N335" s="31"/>
      <c r="U335" s="138"/>
      <c r="V335" s="138"/>
      <c r="W335" s="138"/>
    </row>
    <row r="336">
      <c r="A336" s="31"/>
      <c r="B336" s="31"/>
      <c r="C336" s="79"/>
      <c r="D336" s="79"/>
      <c r="E336" s="79"/>
      <c r="F336" s="31"/>
      <c r="G336" s="31"/>
      <c r="H336" s="31"/>
      <c r="I336" s="31"/>
      <c r="J336" s="31"/>
      <c r="K336" s="31"/>
      <c r="L336" s="31"/>
      <c r="M336" s="31"/>
      <c r="N336" s="31"/>
      <c r="U336" s="138"/>
      <c r="V336" s="138"/>
      <c r="W336" s="138"/>
    </row>
    <row r="337">
      <c r="A337" s="31"/>
      <c r="B337" s="31"/>
      <c r="C337" s="79"/>
      <c r="D337" s="79"/>
      <c r="E337" s="79"/>
      <c r="F337" s="31"/>
      <c r="G337" s="31"/>
      <c r="H337" s="31"/>
      <c r="I337" s="31"/>
      <c r="J337" s="31"/>
      <c r="K337" s="31"/>
      <c r="L337" s="31"/>
      <c r="M337" s="31"/>
      <c r="N337" s="31"/>
      <c r="U337" s="138"/>
      <c r="V337" s="138"/>
      <c r="W337" s="138"/>
    </row>
    <row r="338">
      <c r="A338" s="31"/>
      <c r="B338" s="31"/>
      <c r="C338" s="79"/>
      <c r="D338" s="79"/>
      <c r="E338" s="79"/>
      <c r="F338" s="31"/>
      <c r="G338" s="31"/>
      <c r="H338" s="31"/>
      <c r="I338" s="31"/>
      <c r="J338" s="31"/>
      <c r="K338" s="31"/>
      <c r="L338" s="31"/>
      <c r="M338" s="31"/>
      <c r="N338" s="31"/>
      <c r="U338" s="138"/>
      <c r="V338" s="138"/>
      <c r="W338" s="138"/>
    </row>
    <row r="339">
      <c r="A339" s="31"/>
      <c r="B339" s="31"/>
      <c r="C339" s="79"/>
      <c r="D339" s="79"/>
      <c r="E339" s="79"/>
      <c r="F339" s="31"/>
      <c r="G339" s="31"/>
      <c r="H339" s="31"/>
      <c r="I339" s="31"/>
      <c r="J339" s="31"/>
      <c r="K339" s="31"/>
      <c r="L339" s="31"/>
      <c r="M339" s="31"/>
      <c r="N339" s="31"/>
      <c r="U339" s="138"/>
      <c r="V339" s="138"/>
      <c r="W339" s="138"/>
    </row>
    <row r="340">
      <c r="A340" s="31"/>
      <c r="B340" s="31"/>
      <c r="C340" s="79"/>
      <c r="D340" s="79"/>
      <c r="E340" s="79"/>
      <c r="F340" s="31"/>
      <c r="G340" s="31"/>
      <c r="H340" s="31"/>
      <c r="I340" s="31"/>
      <c r="J340" s="31"/>
      <c r="K340" s="31"/>
      <c r="L340" s="31"/>
      <c r="M340" s="31"/>
      <c r="N340" s="31"/>
      <c r="U340" s="138"/>
      <c r="V340" s="138"/>
      <c r="W340" s="138"/>
    </row>
    <row r="341">
      <c r="A341" s="31"/>
      <c r="B341" s="31"/>
      <c r="C341" s="79"/>
      <c r="D341" s="79"/>
      <c r="E341" s="79"/>
      <c r="F341" s="31"/>
      <c r="G341" s="31"/>
      <c r="H341" s="31"/>
      <c r="I341" s="31"/>
      <c r="J341" s="31"/>
      <c r="K341" s="31"/>
      <c r="L341" s="31"/>
      <c r="M341" s="31"/>
      <c r="N341" s="31"/>
      <c r="U341" s="138"/>
      <c r="V341" s="138"/>
      <c r="W341" s="138"/>
    </row>
    <row r="342">
      <c r="A342" s="31"/>
      <c r="B342" s="31"/>
      <c r="C342" s="79"/>
      <c r="D342" s="79"/>
      <c r="E342" s="79"/>
      <c r="F342" s="31"/>
      <c r="G342" s="31"/>
      <c r="H342" s="31"/>
      <c r="I342" s="31"/>
      <c r="J342" s="31"/>
      <c r="K342" s="31"/>
      <c r="L342" s="31"/>
      <c r="M342" s="31"/>
      <c r="N342" s="31"/>
      <c r="U342" s="138"/>
      <c r="V342" s="138"/>
      <c r="W342" s="138"/>
    </row>
    <row r="343">
      <c r="A343" s="31"/>
      <c r="B343" s="31"/>
      <c r="C343" s="79"/>
      <c r="D343" s="79"/>
      <c r="E343" s="79"/>
      <c r="F343" s="31"/>
      <c r="G343" s="31"/>
      <c r="H343" s="31"/>
      <c r="I343" s="31"/>
      <c r="J343" s="31"/>
      <c r="K343" s="31"/>
      <c r="L343" s="31"/>
      <c r="M343" s="31"/>
      <c r="N343" s="31"/>
      <c r="U343" s="138"/>
      <c r="V343" s="138"/>
      <c r="W343" s="138"/>
    </row>
    <row r="344">
      <c r="A344" s="31"/>
      <c r="B344" s="31"/>
      <c r="C344" s="79"/>
      <c r="D344" s="79"/>
      <c r="E344" s="79"/>
      <c r="F344" s="31"/>
      <c r="G344" s="31"/>
      <c r="H344" s="31"/>
      <c r="I344" s="31"/>
      <c r="J344" s="31"/>
      <c r="K344" s="31"/>
      <c r="L344" s="31"/>
      <c r="M344" s="31"/>
      <c r="N344" s="31"/>
      <c r="U344" s="138"/>
      <c r="V344" s="138"/>
      <c r="W344" s="138"/>
    </row>
    <row r="345">
      <c r="A345" s="31"/>
      <c r="B345" s="31"/>
      <c r="C345" s="79"/>
      <c r="D345" s="79"/>
      <c r="E345" s="79"/>
      <c r="F345" s="31"/>
      <c r="G345" s="31"/>
      <c r="H345" s="31"/>
      <c r="I345" s="31"/>
      <c r="J345" s="31"/>
      <c r="K345" s="31"/>
      <c r="L345" s="31"/>
      <c r="M345" s="31"/>
      <c r="N345" s="31"/>
      <c r="U345" s="138"/>
      <c r="V345" s="138"/>
      <c r="W345" s="138"/>
    </row>
    <row r="346">
      <c r="A346" s="31"/>
      <c r="B346" s="31"/>
      <c r="C346" s="79"/>
      <c r="D346" s="79"/>
      <c r="E346" s="79"/>
      <c r="F346" s="31"/>
      <c r="G346" s="31"/>
      <c r="H346" s="31"/>
      <c r="I346" s="31"/>
      <c r="J346" s="31"/>
      <c r="K346" s="31"/>
      <c r="L346" s="31"/>
      <c r="M346" s="31"/>
      <c r="N346" s="31"/>
      <c r="U346" s="138"/>
      <c r="V346" s="138"/>
      <c r="W346" s="138"/>
    </row>
    <row r="347">
      <c r="A347" s="31"/>
      <c r="B347" s="31"/>
      <c r="C347" s="79"/>
      <c r="D347" s="79"/>
      <c r="E347" s="79"/>
      <c r="F347" s="31"/>
      <c r="G347" s="31"/>
      <c r="H347" s="31"/>
      <c r="I347" s="31"/>
      <c r="J347" s="31"/>
      <c r="K347" s="31"/>
      <c r="L347" s="31"/>
      <c r="M347" s="31"/>
      <c r="N347" s="31"/>
      <c r="U347" s="138"/>
      <c r="V347" s="138"/>
      <c r="W347" s="138"/>
    </row>
    <row r="348">
      <c r="A348" s="31"/>
      <c r="B348" s="31"/>
      <c r="C348" s="79"/>
      <c r="D348" s="79"/>
      <c r="E348" s="79"/>
      <c r="F348" s="31"/>
      <c r="G348" s="31"/>
      <c r="H348" s="31"/>
      <c r="I348" s="31"/>
      <c r="J348" s="31"/>
      <c r="K348" s="31"/>
      <c r="L348" s="31"/>
      <c r="M348" s="31"/>
      <c r="N348" s="31"/>
      <c r="U348" s="138"/>
      <c r="V348" s="138"/>
      <c r="W348" s="138"/>
    </row>
    <row r="349">
      <c r="A349" s="31"/>
      <c r="B349" s="31"/>
      <c r="C349" s="79"/>
      <c r="D349" s="79"/>
      <c r="E349" s="79"/>
      <c r="F349" s="31"/>
      <c r="G349" s="31"/>
      <c r="H349" s="31"/>
      <c r="I349" s="31"/>
      <c r="J349" s="31"/>
      <c r="K349" s="31"/>
      <c r="L349" s="31"/>
      <c r="M349" s="31"/>
      <c r="N349" s="31"/>
      <c r="U349" s="138"/>
      <c r="V349" s="138"/>
      <c r="W349" s="138"/>
    </row>
    <row r="350">
      <c r="A350" s="31"/>
      <c r="B350" s="31"/>
      <c r="C350" s="79"/>
      <c r="D350" s="79"/>
      <c r="E350" s="79"/>
      <c r="F350" s="31"/>
      <c r="G350" s="31"/>
      <c r="H350" s="31"/>
      <c r="I350" s="31"/>
      <c r="J350" s="31"/>
      <c r="K350" s="31"/>
      <c r="L350" s="31"/>
      <c r="M350" s="31"/>
      <c r="N350" s="31"/>
      <c r="U350" s="138"/>
      <c r="V350" s="138"/>
      <c r="W350" s="138"/>
    </row>
    <row r="351">
      <c r="A351" s="31"/>
      <c r="B351" s="31"/>
      <c r="C351" s="79"/>
      <c r="D351" s="79"/>
      <c r="E351" s="79"/>
      <c r="F351" s="31"/>
      <c r="G351" s="31"/>
      <c r="H351" s="31"/>
      <c r="I351" s="31"/>
      <c r="J351" s="31"/>
      <c r="K351" s="31"/>
      <c r="L351" s="31"/>
      <c r="M351" s="31"/>
      <c r="N351" s="31"/>
      <c r="U351" s="138"/>
      <c r="V351" s="138"/>
      <c r="W351" s="138"/>
    </row>
    <row r="352">
      <c r="A352" s="31"/>
      <c r="B352" s="31"/>
      <c r="C352" s="79"/>
      <c r="D352" s="79"/>
      <c r="E352" s="79"/>
      <c r="F352" s="31"/>
      <c r="G352" s="31"/>
      <c r="H352" s="31"/>
      <c r="I352" s="31"/>
      <c r="J352" s="31"/>
      <c r="K352" s="31"/>
      <c r="L352" s="31"/>
      <c r="M352" s="31"/>
      <c r="N352" s="31"/>
      <c r="U352" s="138"/>
      <c r="V352" s="138"/>
      <c r="W352" s="138"/>
    </row>
    <row r="353">
      <c r="A353" s="31"/>
      <c r="B353" s="31"/>
      <c r="C353" s="79"/>
      <c r="D353" s="79"/>
      <c r="E353" s="79"/>
      <c r="F353" s="31"/>
      <c r="G353" s="31"/>
      <c r="H353" s="31"/>
      <c r="I353" s="31"/>
      <c r="J353" s="31"/>
      <c r="K353" s="31"/>
      <c r="L353" s="31"/>
      <c r="M353" s="31"/>
      <c r="N353" s="31"/>
      <c r="U353" s="138"/>
      <c r="V353" s="138"/>
      <c r="W353" s="138"/>
    </row>
    <row r="354">
      <c r="A354" s="31"/>
      <c r="B354" s="31"/>
      <c r="C354" s="79"/>
      <c r="D354" s="79"/>
      <c r="E354" s="79"/>
      <c r="F354" s="31"/>
      <c r="G354" s="31"/>
      <c r="H354" s="31"/>
      <c r="I354" s="31"/>
      <c r="J354" s="31"/>
      <c r="K354" s="31"/>
      <c r="L354" s="31"/>
      <c r="M354" s="31"/>
      <c r="N354" s="31"/>
      <c r="U354" s="138"/>
      <c r="V354" s="138"/>
      <c r="W354" s="138"/>
    </row>
    <row r="355">
      <c r="A355" s="31"/>
      <c r="B355" s="31"/>
      <c r="C355" s="79"/>
      <c r="D355" s="79"/>
      <c r="E355" s="79"/>
      <c r="F355" s="31"/>
      <c r="G355" s="31"/>
      <c r="H355" s="31"/>
      <c r="I355" s="31"/>
      <c r="J355" s="31"/>
      <c r="K355" s="31"/>
      <c r="L355" s="31"/>
      <c r="M355" s="31"/>
      <c r="N355" s="31"/>
      <c r="U355" s="138"/>
      <c r="V355" s="138"/>
      <c r="W355" s="138"/>
    </row>
    <row r="356">
      <c r="A356" s="31"/>
      <c r="B356" s="31"/>
      <c r="C356" s="79"/>
      <c r="D356" s="79"/>
      <c r="E356" s="79"/>
      <c r="F356" s="31"/>
      <c r="G356" s="31"/>
      <c r="H356" s="31"/>
      <c r="I356" s="31"/>
      <c r="J356" s="31"/>
      <c r="K356" s="31"/>
      <c r="L356" s="31"/>
      <c r="M356" s="31"/>
      <c r="N356" s="31"/>
      <c r="U356" s="138"/>
      <c r="V356" s="138"/>
      <c r="W356" s="138"/>
    </row>
    <row r="357">
      <c r="A357" s="31"/>
      <c r="B357" s="31"/>
      <c r="C357" s="79"/>
      <c r="D357" s="79"/>
      <c r="E357" s="79"/>
      <c r="F357" s="31"/>
      <c r="G357" s="31"/>
      <c r="H357" s="31"/>
      <c r="I357" s="31"/>
      <c r="J357" s="31"/>
      <c r="K357" s="31"/>
      <c r="L357" s="31"/>
      <c r="M357" s="31"/>
      <c r="N357" s="31"/>
      <c r="U357" s="138"/>
      <c r="V357" s="138"/>
      <c r="W357" s="138"/>
    </row>
    <row r="358">
      <c r="A358" s="31"/>
      <c r="B358" s="31"/>
      <c r="C358" s="79"/>
      <c r="D358" s="79"/>
      <c r="E358" s="79"/>
      <c r="F358" s="31"/>
      <c r="G358" s="31"/>
      <c r="H358" s="31"/>
      <c r="I358" s="31"/>
      <c r="J358" s="31"/>
      <c r="K358" s="31"/>
      <c r="L358" s="31"/>
      <c r="M358" s="31"/>
      <c r="N358" s="31"/>
      <c r="U358" s="138"/>
      <c r="V358" s="138"/>
      <c r="W358" s="138"/>
    </row>
    <row r="359">
      <c r="A359" s="31"/>
      <c r="B359" s="31"/>
      <c r="C359" s="79"/>
      <c r="D359" s="79"/>
      <c r="E359" s="79"/>
      <c r="F359" s="31"/>
      <c r="G359" s="31"/>
      <c r="H359" s="31"/>
      <c r="I359" s="31"/>
      <c r="J359" s="31"/>
      <c r="K359" s="31"/>
      <c r="L359" s="31"/>
      <c r="M359" s="31"/>
      <c r="N359" s="31"/>
      <c r="U359" s="138"/>
      <c r="V359" s="138"/>
      <c r="W359" s="138"/>
    </row>
    <row r="360">
      <c r="A360" s="31"/>
      <c r="B360" s="31"/>
      <c r="C360" s="79"/>
      <c r="D360" s="79"/>
      <c r="E360" s="79"/>
      <c r="F360" s="31"/>
      <c r="G360" s="31"/>
      <c r="H360" s="31"/>
      <c r="I360" s="31"/>
      <c r="J360" s="31"/>
      <c r="K360" s="31"/>
      <c r="L360" s="31"/>
      <c r="M360" s="31"/>
      <c r="N360" s="31"/>
      <c r="U360" s="138"/>
      <c r="V360" s="138"/>
      <c r="W360" s="138"/>
    </row>
    <row r="361">
      <c r="A361" s="31"/>
      <c r="B361" s="31"/>
      <c r="C361" s="79"/>
      <c r="D361" s="79"/>
      <c r="E361" s="79"/>
      <c r="F361" s="31"/>
      <c r="G361" s="31"/>
      <c r="H361" s="31"/>
      <c r="I361" s="31"/>
      <c r="J361" s="31"/>
      <c r="K361" s="31"/>
      <c r="L361" s="31"/>
      <c r="M361" s="31"/>
      <c r="N361" s="31"/>
      <c r="U361" s="138"/>
      <c r="V361" s="138"/>
      <c r="W361" s="138"/>
    </row>
    <row r="362">
      <c r="A362" s="31"/>
      <c r="B362" s="31"/>
      <c r="C362" s="79"/>
      <c r="D362" s="79"/>
      <c r="E362" s="79"/>
      <c r="F362" s="31"/>
      <c r="G362" s="31"/>
      <c r="H362" s="31"/>
      <c r="I362" s="31"/>
      <c r="J362" s="31"/>
      <c r="K362" s="31"/>
      <c r="L362" s="31"/>
      <c r="M362" s="31"/>
      <c r="N362" s="31"/>
      <c r="U362" s="138"/>
      <c r="V362" s="138"/>
      <c r="W362" s="138"/>
    </row>
    <row r="363">
      <c r="A363" s="31"/>
      <c r="B363" s="31"/>
      <c r="C363" s="79"/>
      <c r="D363" s="79"/>
      <c r="E363" s="79"/>
      <c r="F363" s="31"/>
      <c r="G363" s="31"/>
      <c r="H363" s="31"/>
      <c r="I363" s="31"/>
      <c r="J363" s="31"/>
      <c r="K363" s="31"/>
      <c r="L363" s="31"/>
      <c r="M363" s="31"/>
      <c r="N363" s="31"/>
      <c r="U363" s="138"/>
      <c r="V363" s="138"/>
      <c r="W363" s="138"/>
    </row>
    <row r="364">
      <c r="A364" s="31"/>
      <c r="B364" s="31"/>
      <c r="C364" s="79"/>
      <c r="D364" s="79"/>
      <c r="E364" s="79"/>
      <c r="F364" s="31"/>
      <c r="G364" s="31"/>
      <c r="H364" s="31"/>
      <c r="I364" s="31"/>
      <c r="J364" s="31"/>
      <c r="K364" s="31"/>
      <c r="L364" s="31"/>
      <c r="M364" s="31"/>
      <c r="N364" s="31"/>
      <c r="U364" s="138"/>
      <c r="V364" s="138"/>
      <c r="W364" s="138"/>
    </row>
    <row r="365">
      <c r="A365" s="31"/>
      <c r="B365" s="31"/>
      <c r="C365" s="79"/>
      <c r="D365" s="79"/>
      <c r="E365" s="79"/>
      <c r="F365" s="31"/>
      <c r="G365" s="31"/>
      <c r="H365" s="31"/>
      <c r="I365" s="31"/>
      <c r="J365" s="31"/>
      <c r="K365" s="31"/>
      <c r="L365" s="31"/>
      <c r="M365" s="31"/>
      <c r="N365" s="31"/>
      <c r="U365" s="138"/>
      <c r="V365" s="138"/>
      <c r="W365" s="138"/>
    </row>
    <row r="366">
      <c r="A366" s="31"/>
      <c r="B366" s="31"/>
      <c r="C366" s="79"/>
      <c r="D366" s="79"/>
      <c r="E366" s="79"/>
      <c r="F366" s="31"/>
      <c r="G366" s="31"/>
      <c r="H366" s="31"/>
      <c r="I366" s="31"/>
      <c r="J366" s="31"/>
      <c r="K366" s="31"/>
      <c r="L366" s="31"/>
      <c r="M366" s="31"/>
      <c r="N366" s="31"/>
      <c r="U366" s="138"/>
      <c r="V366" s="138"/>
      <c r="W366" s="138"/>
    </row>
    <row r="367">
      <c r="A367" s="31"/>
      <c r="B367" s="31"/>
      <c r="C367" s="79"/>
      <c r="D367" s="79"/>
      <c r="E367" s="79"/>
      <c r="F367" s="31"/>
      <c r="G367" s="31"/>
      <c r="H367" s="31"/>
      <c r="I367" s="31"/>
      <c r="J367" s="31"/>
      <c r="K367" s="31"/>
      <c r="L367" s="31"/>
      <c r="M367" s="31"/>
      <c r="N367" s="31"/>
      <c r="U367" s="138"/>
      <c r="V367" s="138"/>
      <c r="W367" s="138"/>
    </row>
    <row r="368">
      <c r="A368" s="31"/>
      <c r="B368" s="31"/>
      <c r="C368" s="79"/>
      <c r="D368" s="79"/>
      <c r="E368" s="79"/>
      <c r="F368" s="31"/>
      <c r="G368" s="31"/>
      <c r="H368" s="31"/>
      <c r="I368" s="31"/>
      <c r="J368" s="31"/>
      <c r="K368" s="31"/>
      <c r="L368" s="31"/>
      <c r="M368" s="31"/>
      <c r="N368" s="31"/>
      <c r="U368" s="138"/>
      <c r="V368" s="138"/>
      <c r="W368" s="138"/>
    </row>
    <row r="369">
      <c r="A369" s="31"/>
      <c r="B369" s="31"/>
      <c r="C369" s="79"/>
      <c r="D369" s="79"/>
      <c r="E369" s="79"/>
      <c r="F369" s="31"/>
      <c r="G369" s="31"/>
      <c r="H369" s="31"/>
      <c r="I369" s="31"/>
      <c r="J369" s="31"/>
      <c r="K369" s="31"/>
      <c r="L369" s="31"/>
      <c r="M369" s="31"/>
      <c r="N369" s="31"/>
      <c r="U369" s="138"/>
      <c r="V369" s="138"/>
      <c r="W369" s="138"/>
    </row>
    <row r="370">
      <c r="A370" s="31"/>
      <c r="B370" s="31"/>
      <c r="C370" s="79"/>
      <c r="D370" s="79"/>
      <c r="E370" s="79"/>
      <c r="F370" s="31"/>
      <c r="G370" s="31"/>
      <c r="H370" s="31"/>
      <c r="I370" s="31"/>
      <c r="J370" s="31"/>
      <c r="K370" s="31"/>
      <c r="L370" s="31"/>
      <c r="M370" s="31"/>
      <c r="N370" s="31"/>
      <c r="U370" s="138"/>
      <c r="V370" s="138"/>
      <c r="W370" s="138"/>
    </row>
    <row r="371">
      <c r="A371" s="31"/>
      <c r="B371" s="31"/>
      <c r="C371" s="79"/>
      <c r="D371" s="79"/>
      <c r="E371" s="79"/>
      <c r="F371" s="31"/>
      <c r="G371" s="31"/>
      <c r="H371" s="31"/>
      <c r="I371" s="31"/>
      <c r="J371" s="31"/>
      <c r="K371" s="31"/>
      <c r="L371" s="31"/>
      <c r="M371" s="31"/>
      <c r="N371" s="31"/>
      <c r="U371" s="138"/>
      <c r="V371" s="138"/>
      <c r="W371" s="138"/>
    </row>
    <row r="372">
      <c r="A372" s="31"/>
      <c r="B372" s="31"/>
      <c r="C372" s="79"/>
      <c r="D372" s="79"/>
      <c r="E372" s="79"/>
      <c r="F372" s="31"/>
      <c r="G372" s="31"/>
      <c r="H372" s="31"/>
      <c r="I372" s="31"/>
      <c r="J372" s="31"/>
      <c r="K372" s="31"/>
      <c r="L372" s="31"/>
      <c r="M372" s="31"/>
      <c r="N372" s="31"/>
      <c r="U372" s="138"/>
      <c r="V372" s="138"/>
      <c r="W372" s="138"/>
    </row>
    <row r="373">
      <c r="A373" s="31"/>
      <c r="B373" s="31"/>
      <c r="C373" s="79"/>
      <c r="D373" s="79"/>
      <c r="E373" s="79"/>
      <c r="F373" s="31"/>
      <c r="G373" s="31"/>
      <c r="H373" s="31"/>
      <c r="I373" s="31"/>
      <c r="J373" s="31"/>
      <c r="K373" s="31"/>
      <c r="L373" s="31"/>
      <c r="M373" s="31"/>
      <c r="N373" s="31"/>
      <c r="U373" s="138"/>
      <c r="V373" s="138"/>
      <c r="W373" s="138"/>
    </row>
    <row r="374">
      <c r="A374" s="31"/>
      <c r="B374" s="31"/>
      <c r="C374" s="79"/>
      <c r="D374" s="79"/>
      <c r="E374" s="79"/>
      <c r="F374" s="31"/>
      <c r="G374" s="31"/>
      <c r="H374" s="31"/>
      <c r="I374" s="31"/>
      <c r="J374" s="31"/>
      <c r="K374" s="31"/>
      <c r="L374" s="31"/>
      <c r="M374" s="31"/>
      <c r="N374" s="31"/>
      <c r="U374" s="138"/>
      <c r="V374" s="138"/>
      <c r="W374" s="138"/>
    </row>
    <row r="375">
      <c r="A375" s="31"/>
      <c r="B375" s="31"/>
      <c r="C375" s="79"/>
      <c r="D375" s="79"/>
      <c r="E375" s="79"/>
      <c r="F375" s="31"/>
      <c r="G375" s="31"/>
      <c r="H375" s="31"/>
      <c r="I375" s="31"/>
      <c r="J375" s="31"/>
      <c r="K375" s="31"/>
      <c r="L375" s="31"/>
      <c r="M375" s="31"/>
      <c r="N375" s="31"/>
      <c r="U375" s="138"/>
      <c r="V375" s="138"/>
      <c r="W375" s="138"/>
    </row>
    <row r="376">
      <c r="A376" s="31"/>
      <c r="B376" s="31"/>
      <c r="C376" s="79"/>
      <c r="D376" s="79"/>
      <c r="E376" s="79"/>
      <c r="F376" s="31"/>
      <c r="G376" s="31"/>
      <c r="H376" s="31"/>
      <c r="I376" s="31"/>
      <c r="J376" s="31"/>
      <c r="K376" s="31"/>
      <c r="L376" s="31"/>
      <c r="M376" s="31"/>
      <c r="N376" s="31"/>
      <c r="U376" s="138"/>
      <c r="V376" s="138"/>
      <c r="W376" s="138"/>
    </row>
    <row r="377">
      <c r="A377" s="31"/>
      <c r="B377" s="31"/>
      <c r="C377" s="79"/>
      <c r="D377" s="79"/>
      <c r="E377" s="79"/>
      <c r="F377" s="31"/>
      <c r="G377" s="31"/>
      <c r="H377" s="31"/>
      <c r="I377" s="31"/>
      <c r="J377" s="31"/>
      <c r="K377" s="31"/>
      <c r="L377" s="31"/>
      <c r="M377" s="31"/>
      <c r="N377" s="31"/>
      <c r="U377" s="138"/>
      <c r="V377" s="138"/>
      <c r="W377" s="138"/>
    </row>
    <row r="378">
      <c r="A378" s="31"/>
      <c r="B378" s="31"/>
      <c r="C378" s="79"/>
      <c r="D378" s="79"/>
      <c r="E378" s="79"/>
      <c r="F378" s="31"/>
      <c r="G378" s="31"/>
      <c r="H378" s="31"/>
      <c r="I378" s="31"/>
      <c r="J378" s="31"/>
      <c r="K378" s="31"/>
      <c r="L378" s="31"/>
      <c r="M378" s="31"/>
      <c r="N378" s="31"/>
      <c r="U378" s="138"/>
      <c r="V378" s="138"/>
      <c r="W378" s="138"/>
    </row>
    <row r="379">
      <c r="A379" s="31"/>
      <c r="B379" s="31"/>
      <c r="C379" s="79"/>
      <c r="D379" s="79"/>
      <c r="E379" s="79"/>
      <c r="F379" s="31"/>
      <c r="G379" s="31"/>
      <c r="H379" s="31"/>
      <c r="I379" s="31"/>
      <c r="J379" s="31"/>
      <c r="K379" s="31"/>
      <c r="L379" s="31"/>
      <c r="M379" s="31"/>
      <c r="N379" s="31"/>
      <c r="U379" s="138"/>
      <c r="V379" s="138"/>
      <c r="W379" s="138"/>
    </row>
    <row r="380">
      <c r="A380" s="31"/>
      <c r="B380" s="31"/>
      <c r="C380" s="79"/>
      <c r="D380" s="79"/>
      <c r="E380" s="79"/>
      <c r="F380" s="31"/>
      <c r="G380" s="31"/>
      <c r="H380" s="31"/>
      <c r="I380" s="31"/>
      <c r="J380" s="31"/>
      <c r="K380" s="31"/>
      <c r="L380" s="31"/>
      <c r="M380" s="31"/>
      <c r="N380" s="31"/>
      <c r="U380" s="138"/>
      <c r="V380" s="138"/>
      <c r="W380" s="138"/>
    </row>
    <row r="381">
      <c r="A381" s="31"/>
      <c r="B381" s="31"/>
      <c r="C381" s="79"/>
      <c r="D381" s="79"/>
      <c r="E381" s="79"/>
      <c r="F381" s="31"/>
      <c r="G381" s="31"/>
      <c r="H381" s="31"/>
      <c r="I381" s="31"/>
      <c r="J381" s="31"/>
      <c r="K381" s="31"/>
      <c r="L381" s="31"/>
      <c r="M381" s="31"/>
      <c r="N381" s="31"/>
      <c r="U381" s="138"/>
      <c r="V381" s="138"/>
      <c r="W381" s="138"/>
    </row>
    <row r="382">
      <c r="A382" s="31"/>
      <c r="B382" s="31"/>
      <c r="C382" s="79"/>
      <c r="D382" s="79"/>
      <c r="E382" s="79"/>
      <c r="F382" s="31"/>
      <c r="G382" s="31"/>
      <c r="H382" s="31"/>
      <c r="I382" s="31"/>
      <c r="J382" s="31"/>
      <c r="K382" s="31"/>
      <c r="L382" s="31"/>
      <c r="M382" s="31"/>
      <c r="N382" s="31"/>
      <c r="U382" s="138"/>
      <c r="V382" s="138"/>
      <c r="W382" s="138"/>
    </row>
    <row r="383">
      <c r="A383" s="31"/>
      <c r="B383" s="31"/>
      <c r="C383" s="79"/>
      <c r="D383" s="79"/>
      <c r="E383" s="79"/>
      <c r="F383" s="31"/>
      <c r="G383" s="31"/>
      <c r="H383" s="31"/>
      <c r="I383" s="31"/>
      <c r="J383" s="31"/>
      <c r="K383" s="31"/>
      <c r="L383" s="31"/>
      <c r="M383" s="31"/>
      <c r="N383" s="31"/>
      <c r="U383" s="138"/>
      <c r="V383" s="138"/>
      <c r="W383" s="138"/>
    </row>
    <row r="384">
      <c r="A384" s="31"/>
      <c r="B384" s="31"/>
      <c r="C384" s="79"/>
      <c r="D384" s="79"/>
      <c r="E384" s="79"/>
      <c r="F384" s="31"/>
      <c r="G384" s="31"/>
      <c r="H384" s="31"/>
      <c r="I384" s="31"/>
      <c r="J384" s="31"/>
      <c r="K384" s="31"/>
      <c r="L384" s="31"/>
      <c r="M384" s="31"/>
      <c r="N384" s="31"/>
      <c r="U384" s="138"/>
      <c r="V384" s="138"/>
      <c r="W384" s="138"/>
    </row>
    <row r="385">
      <c r="A385" s="31"/>
      <c r="B385" s="31"/>
      <c r="C385" s="79"/>
      <c r="D385" s="79"/>
      <c r="E385" s="79"/>
      <c r="F385" s="31"/>
      <c r="G385" s="31"/>
      <c r="H385" s="31"/>
      <c r="I385" s="31"/>
      <c r="J385" s="31"/>
      <c r="K385" s="31"/>
      <c r="L385" s="31"/>
      <c r="M385" s="31"/>
      <c r="N385" s="31"/>
      <c r="U385" s="138"/>
      <c r="V385" s="138"/>
      <c r="W385" s="138"/>
    </row>
    <row r="386">
      <c r="A386" s="31"/>
      <c r="B386" s="31"/>
      <c r="C386" s="79"/>
      <c r="D386" s="79"/>
      <c r="E386" s="79"/>
      <c r="F386" s="31"/>
      <c r="G386" s="31"/>
      <c r="H386" s="31"/>
      <c r="I386" s="31"/>
      <c r="J386" s="31"/>
      <c r="K386" s="31"/>
      <c r="L386" s="31"/>
      <c r="M386" s="31"/>
      <c r="N386" s="31"/>
      <c r="U386" s="138"/>
      <c r="V386" s="138"/>
      <c r="W386" s="138"/>
    </row>
    <row r="387">
      <c r="A387" s="31"/>
      <c r="B387" s="31"/>
      <c r="C387" s="79"/>
      <c r="D387" s="79"/>
      <c r="E387" s="79"/>
      <c r="F387" s="31"/>
      <c r="G387" s="31"/>
      <c r="H387" s="31"/>
      <c r="I387" s="31"/>
      <c r="J387" s="31"/>
      <c r="K387" s="31"/>
      <c r="L387" s="31"/>
      <c r="M387" s="31"/>
      <c r="N387" s="31"/>
      <c r="U387" s="138"/>
      <c r="V387" s="138"/>
      <c r="W387" s="138"/>
    </row>
    <row r="388">
      <c r="A388" s="31"/>
      <c r="B388" s="31"/>
      <c r="C388" s="79"/>
      <c r="D388" s="79"/>
      <c r="E388" s="79"/>
      <c r="F388" s="31"/>
      <c r="G388" s="31"/>
      <c r="H388" s="31"/>
      <c r="I388" s="31"/>
      <c r="J388" s="31"/>
      <c r="K388" s="31"/>
      <c r="L388" s="31"/>
      <c r="M388" s="31"/>
      <c r="N388" s="31"/>
      <c r="U388" s="138"/>
      <c r="V388" s="138"/>
      <c r="W388" s="138"/>
    </row>
    <row r="389">
      <c r="A389" s="31"/>
      <c r="B389" s="31"/>
      <c r="C389" s="79"/>
      <c r="D389" s="79"/>
      <c r="E389" s="79"/>
      <c r="F389" s="31"/>
      <c r="G389" s="31"/>
      <c r="H389" s="31"/>
      <c r="I389" s="31"/>
      <c r="J389" s="31"/>
      <c r="K389" s="31"/>
      <c r="L389" s="31"/>
      <c r="M389" s="31"/>
      <c r="N389" s="31"/>
      <c r="U389" s="138"/>
      <c r="V389" s="138"/>
      <c r="W389" s="138"/>
    </row>
    <row r="390">
      <c r="A390" s="31"/>
      <c r="B390" s="31"/>
      <c r="C390" s="79"/>
      <c r="D390" s="79"/>
      <c r="E390" s="79"/>
      <c r="F390" s="31"/>
      <c r="G390" s="31"/>
      <c r="H390" s="31"/>
      <c r="I390" s="31"/>
      <c r="J390" s="31"/>
      <c r="K390" s="31"/>
      <c r="L390" s="31"/>
      <c r="M390" s="31"/>
      <c r="N390" s="31"/>
      <c r="U390" s="138"/>
      <c r="V390" s="138"/>
      <c r="W390" s="138"/>
    </row>
    <row r="391">
      <c r="A391" s="31"/>
      <c r="B391" s="31"/>
      <c r="C391" s="79"/>
      <c r="D391" s="79"/>
      <c r="E391" s="79"/>
      <c r="F391" s="31"/>
      <c r="G391" s="31"/>
      <c r="H391" s="31"/>
      <c r="I391" s="31"/>
      <c r="J391" s="31"/>
      <c r="K391" s="31"/>
      <c r="L391" s="31"/>
      <c r="M391" s="31"/>
      <c r="N391" s="31"/>
      <c r="U391" s="138"/>
      <c r="V391" s="138"/>
      <c r="W391" s="138"/>
    </row>
    <row r="392">
      <c r="A392" s="31"/>
      <c r="B392" s="31"/>
      <c r="C392" s="79"/>
      <c r="D392" s="79"/>
      <c r="E392" s="79"/>
      <c r="F392" s="31"/>
      <c r="G392" s="31"/>
      <c r="H392" s="31"/>
      <c r="I392" s="31"/>
      <c r="J392" s="31"/>
      <c r="K392" s="31"/>
      <c r="L392" s="31"/>
      <c r="M392" s="31"/>
      <c r="N392" s="31"/>
      <c r="U392" s="138"/>
      <c r="V392" s="138"/>
      <c r="W392" s="138"/>
    </row>
    <row r="393">
      <c r="A393" s="31"/>
      <c r="B393" s="31"/>
      <c r="C393" s="79"/>
      <c r="D393" s="79"/>
      <c r="E393" s="79"/>
      <c r="F393" s="31"/>
      <c r="G393" s="31"/>
      <c r="H393" s="31"/>
      <c r="I393" s="31"/>
      <c r="J393" s="31"/>
      <c r="K393" s="31"/>
      <c r="L393" s="31"/>
      <c r="M393" s="31"/>
      <c r="N393" s="31"/>
      <c r="U393" s="138"/>
      <c r="V393" s="138"/>
      <c r="W393" s="138"/>
    </row>
    <row r="394">
      <c r="A394" s="31"/>
      <c r="B394" s="31"/>
      <c r="C394" s="79"/>
      <c r="D394" s="79"/>
      <c r="E394" s="79"/>
      <c r="F394" s="31"/>
      <c r="G394" s="31"/>
      <c r="H394" s="31"/>
      <c r="I394" s="31"/>
      <c r="J394" s="31"/>
      <c r="K394" s="31"/>
      <c r="L394" s="31"/>
      <c r="M394" s="31"/>
      <c r="N394" s="31"/>
      <c r="U394" s="138"/>
      <c r="V394" s="138"/>
      <c r="W394" s="138"/>
    </row>
    <row r="395">
      <c r="A395" s="31"/>
      <c r="B395" s="31"/>
      <c r="C395" s="79"/>
      <c r="D395" s="79"/>
      <c r="E395" s="79"/>
      <c r="F395" s="31"/>
      <c r="G395" s="31"/>
      <c r="H395" s="31"/>
      <c r="I395" s="31"/>
      <c r="J395" s="31"/>
      <c r="K395" s="31"/>
      <c r="L395" s="31"/>
      <c r="M395" s="31"/>
      <c r="N395" s="31"/>
      <c r="U395" s="138"/>
      <c r="V395" s="138"/>
      <c r="W395" s="138"/>
    </row>
    <row r="396">
      <c r="A396" s="31"/>
      <c r="B396" s="31"/>
      <c r="C396" s="79"/>
      <c r="D396" s="79"/>
      <c r="E396" s="79"/>
      <c r="F396" s="31"/>
      <c r="G396" s="31"/>
      <c r="H396" s="31"/>
      <c r="I396" s="31"/>
      <c r="J396" s="31"/>
      <c r="K396" s="31"/>
      <c r="L396" s="31"/>
      <c r="M396" s="31"/>
      <c r="N396" s="31"/>
      <c r="U396" s="138"/>
      <c r="V396" s="138"/>
      <c r="W396" s="138"/>
    </row>
    <row r="397">
      <c r="A397" s="31"/>
      <c r="B397" s="31"/>
      <c r="C397" s="79"/>
      <c r="D397" s="79"/>
      <c r="E397" s="79"/>
      <c r="F397" s="31"/>
      <c r="G397" s="31"/>
      <c r="H397" s="31"/>
      <c r="I397" s="31"/>
      <c r="J397" s="31"/>
      <c r="K397" s="31"/>
      <c r="L397" s="31"/>
      <c r="M397" s="31"/>
      <c r="N397" s="31"/>
      <c r="U397" s="138"/>
      <c r="V397" s="138"/>
      <c r="W397" s="138"/>
    </row>
    <row r="398">
      <c r="A398" s="31"/>
      <c r="B398" s="31"/>
      <c r="C398" s="79"/>
      <c r="D398" s="79"/>
      <c r="E398" s="79"/>
      <c r="F398" s="31"/>
      <c r="G398" s="31"/>
      <c r="H398" s="31"/>
      <c r="I398" s="31"/>
      <c r="J398" s="31"/>
      <c r="K398" s="31"/>
      <c r="L398" s="31"/>
      <c r="M398" s="31"/>
      <c r="N398" s="31"/>
      <c r="U398" s="138"/>
      <c r="V398" s="138"/>
      <c r="W398" s="138"/>
    </row>
    <row r="399">
      <c r="A399" s="31"/>
      <c r="B399" s="31"/>
      <c r="C399" s="79"/>
      <c r="D399" s="79"/>
      <c r="E399" s="79"/>
      <c r="F399" s="31"/>
      <c r="G399" s="31"/>
      <c r="H399" s="31"/>
      <c r="I399" s="31"/>
      <c r="J399" s="31"/>
      <c r="K399" s="31"/>
      <c r="L399" s="31"/>
      <c r="M399" s="31"/>
      <c r="N399" s="31"/>
      <c r="U399" s="138"/>
      <c r="V399" s="138"/>
      <c r="W399" s="138"/>
    </row>
    <row r="400">
      <c r="A400" s="31"/>
      <c r="B400" s="31"/>
      <c r="C400" s="79"/>
      <c r="D400" s="79"/>
      <c r="E400" s="79"/>
      <c r="F400" s="31"/>
      <c r="G400" s="31"/>
      <c r="H400" s="31"/>
      <c r="I400" s="31"/>
      <c r="J400" s="31"/>
      <c r="K400" s="31"/>
      <c r="L400" s="31"/>
      <c r="M400" s="31"/>
      <c r="N400" s="31"/>
      <c r="U400" s="138"/>
      <c r="V400" s="138"/>
      <c r="W400" s="138"/>
    </row>
    <row r="401">
      <c r="A401" s="31"/>
      <c r="B401" s="31"/>
      <c r="C401" s="79"/>
      <c r="D401" s="79"/>
      <c r="E401" s="79"/>
      <c r="F401" s="31"/>
      <c r="G401" s="31"/>
      <c r="H401" s="31"/>
      <c r="I401" s="31"/>
      <c r="J401" s="31"/>
      <c r="K401" s="31"/>
      <c r="L401" s="31"/>
      <c r="M401" s="31"/>
      <c r="N401" s="31"/>
      <c r="U401" s="138"/>
      <c r="V401" s="138"/>
      <c r="W401" s="138"/>
    </row>
    <row r="402">
      <c r="A402" s="31"/>
      <c r="B402" s="31"/>
      <c r="C402" s="79"/>
      <c r="D402" s="79"/>
      <c r="E402" s="79"/>
      <c r="F402" s="31"/>
      <c r="G402" s="31"/>
      <c r="H402" s="31"/>
      <c r="I402" s="31"/>
      <c r="J402" s="31"/>
      <c r="K402" s="31"/>
      <c r="L402" s="31"/>
      <c r="M402" s="31"/>
      <c r="N402" s="31"/>
      <c r="U402" s="138"/>
      <c r="V402" s="138"/>
      <c r="W402" s="138"/>
    </row>
    <row r="403">
      <c r="A403" s="31"/>
      <c r="B403" s="31"/>
      <c r="C403" s="79"/>
      <c r="D403" s="79"/>
      <c r="E403" s="79"/>
      <c r="F403" s="31"/>
      <c r="G403" s="31"/>
      <c r="H403" s="31"/>
      <c r="I403" s="31"/>
      <c r="J403" s="31"/>
      <c r="K403" s="31"/>
      <c r="L403" s="31"/>
      <c r="M403" s="31"/>
      <c r="N403" s="31"/>
      <c r="U403" s="138"/>
      <c r="V403" s="138"/>
      <c r="W403" s="138"/>
    </row>
    <row r="404">
      <c r="A404" s="31"/>
      <c r="B404" s="31"/>
      <c r="C404" s="79"/>
      <c r="D404" s="79"/>
      <c r="E404" s="79"/>
      <c r="F404" s="31"/>
      <c r="G404" s="31"/>
      <c r="H404" s="31"/>
      <c r="I404" s="31"/>
      <c r="J404" s="31"/>
      <c r="K404" s="31"/>
      <c r="L404" s="31"/>
      <c r="M404" s="31"/>
      <c r="N404" s="31"/>
      <c r="U404" s="138"/>
      <c r="V404" s="138"/>
      <c r="W404" s="138"/>
    </row>
    <row r="405">
      <c r="A405" s="31"/>
      <c r="B405" s="31"/>
      <c r="C405" s="79"/>
      <c r="D405" s="79"/>
      <c r="E405" s="79"/>
      <c r="F405" s="31"/>
      <c r="G405" s="31"/>
      <c r="H405" s="31"/>
      <c r="I405" s="31"/>
      <c r="J405" s="31"/>
      <c r="K405" s="31"/>
      <c r="L405" s="31"/>
      <c r="M405" s="31"/>
      <c r="N405" s="31"/>
      <c r="U405" s="138"/>
      <c r="V405" s="138"/>
      <c r="W405" s="138"/>
    </row>
    <row r="406">
      <c r="A406" s="31"/>
      <c r="B406" s="31"/>
      <c r="C406" s="79"/>
      <c r="D406" s="79"/>
      <c r="E406" s="79"/>
      <c r="F406" s="31"/>
      <c r="G406" s="31"/>
      <c r="H406" s="31"/>
      <c r="I406" s="31"/>
      <c r="J406" s="31"/>
      <c r="K406" s="31"/>
      <c r="L406" s="31"/>
      <c r="M406" s="31"/>
      <c r="N406" s="31"/>
      <c r="U406" s="138"/>
      <c r="V406" s="138"/>
      <c r="W406" s="138"/>
    </row>
    <row r="407">
      <c r="A407" s="31"/>
      <c r="B407" s="31"/>
      <c r="C407" s="79"/>
      <c r="D407" s="79"/>
      <c r="E407" s="79"/>
      <c r="F407" s="31"/>
      <c r="G407" s="31"/>
      <c r="H407" s="31"/>
      <c r="I407" s="31"/>
      <c r="J407" s="31"/>
      <c r="K407" s="31"/>
      <c r="L407" s="31"/>
      <c r="M407" s="31"/>
      <c r="N407" s="31"/>
      <c r="U407" s="138"/>
      <c r="V407" s="138"/>
      <c r="W407" s="138"/>
    </row>
    <row r="408">
      <c r="A408" s="31"/>
      <c r="B408" s="31"/>
      <c r="C408" s="79"/>
      <c r="D408" s="79"/>
      <c r="E408" s="79"/>
      <c r="F408" s="31"/>
      <c r="G408" s="31"/>
      <c r="H408" s="31"/>
      <c r="I408" s="31"/>
      <c r="J408" s="31"/>
      <c r="K408" s="31"/>
      <c r="L408" s="31"/>
      <c r="M408" s="31"/>
      <c r="N408" s="31"/>
      <c r="U408" s="138"/>
      <c r="V408" s="138"/>
      <c r="W408" s="138"/>
    </row>
    <row r="409">
      <c r="A409" s="31"/>
      <c r="B409" s="31"/>
      <c r="C409" s="79"/>
      <c r="D409" s="79"/>
      <c r="E409" s="79"/>
      <c r="F409" s="31"/>
      <c r="G409" s="31"/>
      <c r="H409" s="31"/>
      <c r="I409" s="31"/>
      <c r="J409" s="31"/>
      <c r="K409" s="31"/>
      <c r="L409" s="31"/>
      <c r="M409" s="31"/>
      <c r="N409" s="31"/>
      <c r="U409" s="138"/>
      <c r="V409" s="138"/>
      <c r="W409" s="138"/>
    </row>
    <row r="410">
      <c r="A410" s="31"/>
      <c r="B410" s="31"/>
      <c r="C410" s="79"/>
      <c r="D410" s="79"/>
      <c r="E410" s="79"/>
      <c r="F410" s="31"/>
      <c r="G410" s="31"/>
      <c r="H410" s="31"/>
      <c r="I410" s="31"/>
      <c r="J410" s="31"/>
      <c r="K410" s="31"/>
      <c r="L410" s="31"/>
      <c r="M410" s="31"/>
      <c r="N410" s="31"/>
      <c r="U410" s="138"/>
      <c r="V410" s="138"/>
      <c r="W410" s="138"/>
    </row>
    <row r="411">
      <c r="A411" s="31"/>
      <c r="B411" s="31"/>
      <c r="C411" s="79"/>
      <c r="D411" s="79"/>
      <c r="E411" s="79"/>
      <c r="F411" s="31"/>
      <c r="G411" s="31"/>
      <c r="H411" s="31"/>
      <c r="I411" s="31"/>
      <c r="J411" s="31"/>
      <c r="K411" s="31"/>
      <c r="L411" s="31"/>
      <c r="M411" s="31"/>
      <c r="N411" s="31"/>
      <c r="U411" s="138"/>
      <c r="V411" s="138"/>
      <c r="W411" s="138"/>
    </row>
    <row r="412">
      <c r="A412" s="31"/>
      <c r="B412" s="31"/>
      <c r="C412" s="79"/>
      <c r="D412" s="79"/>
      <c r="E412" s="79"/>
      <c r="F412" s="31"/>
      <c r="G412" s="31"/>
      <c r="H412" s="31"/>
      <c r="I412" s="31"/>
      <c r="J412" s="31"/>
      <c r="K412" s="31"/>
      <c r="L412" s="31"/>
      <c r="M412" s="31"/>
      <c r="N412" s="31"/>
      <c r="U412" s="138"/>
      <c r="V412" s="138"/>
      <c r="W412" s="138"/>
    </row>
    <row r="413">
      <c r="A413" s="31"/>
      <c r="B413" s="31"/>
      <c r="C413" s="79"/>
      <c r="D413" s="79"/>
      <c r="E413" s="79"/>
      <c r="F413" s="31"/>
      <c r="G413" s="31"/>
      <c r="H413" s="31"/>
      <c r="I413" s="31"/>
      <c r="J413" s="31"/>
      <c r="K413" s="31"/>
      <c r="L413" s="31"/>
      <c r="M413" s="31"/>
      <c r="N413" s="31"/>
      <c r="U413" s="138"/>
      <c r="V413" s="138"/>
      <c r="W413" s="138"/>
    </row>
    <row r="414">
      <c r="A414" s="31"/>
      <c r="B414" s="31"/>
      <c r="C414" s="79"/>
      <c r="D414" s="79"/>
      <c r="E414" s="79"/>
      <c r="F414" s="31"/>
      <c r="G414" s="31"/>
      <c r="H414" s="31"/>
      <c r="I414" s="31"/>
      <c r="J414" s="31"/>
      <c r="K414" s="31"/>
      <c r="L414" s="31"/>
      <c r="M414" s="31"/>
      <c r="N414" s="31"/>
      <c r="U414" s="138"/>
      <c r="V414" s="138"/>
      <c r="W414" s="138"/>
    </row>
    <row r="415">
      <c r="A415" s="31"/>
      <c r="B415" s="31"/>
      <c r="C415" s="79"/>
      <c r="D415" s="79"/>
      <c r="E415" s="79"/>
      <c r="F415" s="31"/>
      <c r="G415" s="31"/>
      <c r="H415" s="31"/>
      <c r="I415" s="31"/>
      <c r="J415" s="31"/>
      <c r="K415" s="31"/>
      <c r="L415" s="31"/>
      <c r="M415" s="31"/>
      <c r="N415" s="31"/>
      <c r="U415" s="138"/>
      <c r="V415" s="138"/>
      <c r="W415" s="138"/>
    </row>
    <row r="416">
      <c r="A416" s="31"/>
      <c r="B416" s="31"/>
      <c r="C416" s="79"/>
      <c r="D416" s="79"/>
      <c r="E416" s="79"/>
      <c r="F416" s="31"/>
      <c r="G416" s="31"/>
      <c r="H416" s="31"/>
      <c r="I416" s="31"/>
      <c r="J416" s="31"/>
      <c r="K416" s="31"/>
      <c r="L416" s="31"/>
      <c r="M416" s="31"/>
      <c r="N416" s="31"/>
      <c r="U416" s="138"/>
      <c r="V416" s="138"/>
      <c r="W416" s="138"/>
    </row>
    <row r="417">
      <c r="A417" s="31"/>
      <c r="B417" s="31"/>
      <c r="C417" s="79"/>
      <c r="D417" s="79"/>
      <c r="E417" s="79"/>
      <c r="F417" s="31"/>
      <c r="G417" s="31"/>
      <c r="H417" s="31"/>
      <c r="I417" s="31"/>
      <c r="J417" s="31"/>
      <c r="K417" s="31"/>
      <c r="L417" s="31"/>
      <c r="M417" s="31"/>
      <c r="N417" s="31"/>
      <c r="U417" s="138"/>
      <c r="V417" s="138"/>
      <c r="W417" s="138"/>
    </row>
    <row r="418">
      <c r="A418" s="31"/>
      <c r="B418" s="31"/>
      <c r="C418" s="79"/>
      <c r="D418" s="79"/>
      <c r="E418" s="79"/>
      <c r="F418" s="31"/>
      <c r="G418" s="31"/>
      <c r="H418" s="31"/>
      <c r="I418" s="31"/>
      <c r="J418" s="31"/>
      <c r="K418" s="31"/>
      <c r="L418" s="31"/>
      <c r="M418" s="31"/>
      <c r="N418" s="31"/>
      <c r="U418" s="138"/>
      <c r="V418" s="138"/>
      <c r="W418" s="138"/>
    </row>
    <row r="419">
      <c r="A419" s="31"/>
      <c r="B419" s="31"/>
      <c r="C419" s="79"/>
      <c r="D419" s="79"/>
      <c r="E419" s="79"/>
      <c r="F419" s="31"/>
      <c r="G419" s="31"/>
      <c r="H419" s="31"/>
      <c r="I419" s="31"/>
      <c r="J419" s="31"/>
      <c r="K419" s="31"/>
      <c r="L419" s="31"/>
      <c r="M419" s="31"/>
      <c r="N419" s="31"/>
      <c r="U419" s="138"/>
      <c r="V419" s="138"/>
      <c r="W419" s="138"/>
    </row>
    <row r="420">
      <c r="A420" s="31"/>
      <c r="B420" s="31"/>
      <c r="C420" s="79"/>
      <c r="D420" s="79"/>
      <c r="E420" s="79"/>
      <c r="F420" s="31"/>
      <c r="G420" s="31"/>
      <c r="H420" s="31"/>
      <c r="I420" s="31"/>
      <c r="J420" s="31"/>
      <c r="K420" s="31"/>
      <c r="L420" s="31"/>
      <c r="M420" s="31"/>
      <c r="N420" s="31"/>
      <c r="U420" s="138"/>
      <c r="V420" s="138"/>
      <c r="W420" s="138"/>
    </row>
    <row r="421">
      <c r="A421" s="31"/>
      <c r="B421" s="31"/>
      <c r="C421" s="79"/>
      <c r="D421" s="79"/>
      <c r="E421" s="79"/>
      <c r="F421" s="31"/>
      <c r="G421" s="31"/>
      <c r="H421" s="31"/>
      <c r="I421" s="31"/>
      <c r="J421" s="31"/>
      <c r="K421" s="31"/>
      <c r="L421" s="31"/>
      <c r="M421" s="31"/>
      <c r="N421" s="31"/>
      <c r="U421" s="138"/>
      <c r="V421" s="138"/>
      <c r="W421" s="138"/>
    </row>
    <row r="422">
      <c r="A422" s="31"/>
      <c r="B422" s="31"/>
      <c r="C422" s="79"/>
      <c r="D422" s="79"/>
      <c r="E422" s="79"/>
      <c r="F422" s="31"/>
      <c r="G422" s="31"/>
      <c r="H422" s="31"/>
      <c r="I422" s="31"/>
      <c r="J422" s="31"/>
      <c r="K422" s="31"/>
      <c r="L422" s="31"/>
      <c r="M422" s="31"/>
      <c r="N422" s="31"/>
      <c r="U422" s="138"/>
      <c r="V422" s="138"/>
      <c r="W422" s="138"/>
    </row>
    <row r="423">
      <c r="A423" s="31"/>
      <c r="B423" s="31"/>
      <c r="C423" s="79"/>
      <c r="D423" s="79"/>
      <c r="E423" s="79"/>
      <c r="F423" s="31"/>
      <c r="G423" s="31"/>
      <c r="H423" s="31"/>
      <c r="I423" s="31"/>
      <c r="J423" s="31"/>
      <c r="K423" s="31"/>
      <c r="L423" s="31"/>
      <c r="M423" s="31"/>
      <c r="N423" s="31"/>
      <c r="U423" s="138"/>
      <c r="V423" s="138"/>
      <c r="W423" s="138"/>
    </row>
    <row r="424">
      <c r="A424" s="31"/>
      <c r="B424" s="31"/>
      <c r="C424" s="79"/>
      <c r="D424" s="79"/>
      <c r="E424" s="79"/>
      <c r="F424" s="31"/>
      <c r="G424" s="31"/>
      <c r="H424" s="31"/>
      <c r="I424" s="31"/>
      <c r="J424" s="31"/>
      <c r="K424" s="31"/>
      <c r="L424" s="31"/>
      <c r="M424" s="31"/>
      <c r="N424" s="31"/>
      <c r="U424" s="138"/>
      <c r="V424" s="138"/>
      <c r="W424" s="138"/>
    </row>
    <row r="425">
      <c r="A425" s="31"/>
      <c r="B425" s="31"/>
      <c r="C425" s="79"/>
      <c r="D425" s="79"/>
      <c r="E425" s="79"/>
      <c r="F425" s="31"/>
      <c r="G425" s="31"/>
      <c r="H425" s="31"/>
      <c r="I425" s="31"/>
      <c r="J425" s="31"/>
      <c r="K425" s="31"/>
      <c r="L425" s="31"/>
      <c r="M425" s="31"/>
      <c r="N425" s="31"/>
      <c r="U425" s="138"/>
      <c r="V425" s="138"/>
      <c r="W425" s="138"/>
    </row>
    <row r="426">
      <c r="A426" s="31"/>
      <c r="B426" s="31"/>
      <c r="C426" s="79"/>
      <c r="D426" s="79"/>
      <c r="E426" s="79"/>
      <c r="F426" s="31"/>
      <c r="G426" s="31"/>
      <c r="H426" s="31"/>
      <c r="I426" s="31"/>
      <c r="J426" s="31"/>
      <c r="K426" s="31"/>
      <c r="L426" s="31"/>
      <c r="M426" s="31"/>
      <c r="N426" s="31"/>
      <c r="U426" s="138"/>
      <c r="V426" s="138"/>
      <c r="W426" s="138"/>
    </row>
    <row r="427">
      <c r="A427" s="31"/>
      <c r="B427" s="31"/>
      <c r="C427" s="79"/>
      <c r="D427" s="79"/>
      <c r="E427" s="79"/>
      <c r="F427" s="31"/>
      <c r="G427" s="31"/>
      <c r="H427" s="31"/>
      <c r="I427" s="31"/>
      <c r="J427" s="31"/>
      <c r="K427" s="31"/>
      <c r="L427" s="31"/>
      <c r="M427" s="31"/>
      <c r="N427" s="31"/>
      <c r="U427" s="138"/>
      <c r="V427" s="138"/>
      <c r="W427" s="138"/>
    </row>
    <row r="428">
      <c r="A428" s="31"/>
      <c r="B428" s="31"/>
      <c r="C428" s="79"/>
      <c r="D428" s="79"/>
      <c r="E428" s="79"/>
      <c r="F428" s="31"/>
      <c r="G428" s="31"/>
      <c r="H428" s="31"/>
      <c r="I428" s="31"/>
      <c r="J428" s="31"/>
      <c r="K428" s="31"/>
      <c r="L428" s="31"/>
      <c r="M428" s="31"/>
      <c r="N428" s="31"/>
      <c r="U428" s="138"/>
      <c r="V428" s="138"/>
      <c r="W428" s="138"/>
    </row>
    <row r="429">
      <c r="A429" s="31"/>
      <c r="B429" s="31"/>
      <c r="C429" s="79"/>
      <c r="D429" s="79"/>
      <c r="E429" s="79"/>
      <c r="F429" s="31"/>
      <c r="G429" s="31"/>
      <c r="H429" s="31"/>
      <c r="I429" s="31"/>
      <c r="J429" s="31"/>
      <c r="K429" s="31"/>
      <c r="L429" s="31"/>
      <c r="M429" s="31"/>
      <c r="N429" s="31"/>
      <c r="U429" s="138"/>
      <c r="V429" s="138"/>
      <c r="W429" s="138"/>
    </row>
    <row r="430">
      <c r="A430" s="31"/>
      <c r="B430" s="31"/>
      <c r="C430" s="79"/>
      <c r="D430" s="79"/>
      <c r="E430" s="79"/>
      <c r="F430" s="31"/>
      <c r="G430" s="31"/>
      <c r="H430" s="31"/>
      <c r="I430" s="31"/>
      <c r="J430" s="31"/>
      <c r="K430" s="31"/>
      <c r="L430" s="31"/>
      <c r="M430" s="31"/>
      <c r="N430" s="31"/>
      <c r="U430" s="138"/>
      <c r="V430" s="138"/>
      <c r="W430" s="138"/>
    </row>
    <row r="431">
      <c r="A431" s="31"/>
      <c r="B431" s="31"/>
      <c r="C431" s="79"/>
      <c r="D431" s="79"/>
      <c r="E431" s="79"/>
      <c r="F431" s="31"/>
      <c r="G431" s="31"/>
      <c r="H431" s="31"/>
      <c r="I431" s="31"/>
      <c r="J431" s="31"/>
      <c r="K431" s="31"/>
      <c r="L431" s="31"/>
      <c r="M431" s="31"/>
      <c r="N431" s="31"/>
      <c r="U431" s="138"/>
      <c r="V431" s="138"/>
      <c r="W431" s="138"/>
    </row>
    <row r="432">
      <c r="A432" s="31"/>
      <c r="B432" s="31"/>
      <c r="C432" s="79"/>
      <c r="D432" s="79"/>
      <c r="E432" s="79"/>
      <c r="F432" s="31"/>
      <c r="G432" s="31"/>
      <c r="H432" s="31"/>
      <c r="I432" s="31"/>
      <c r="J432" s="31"/>
      <c r="K432" s="31"/>
      <c r="L432" s="31"/>
      <c r="M432" s="31"/>
      <c r="N432" s="31"/>
      <c r="U432" s="138"/>
      <c r="V432" s="138"/>
      <c r="W432" s="138"/>
    </row>
    <row r="433">
      <c r="A433" s="31"/>
      <c r="B433" s="31"/>
      <c r="C433" s="79"/>
      <c r="D433" s="79"/>
      <c r="E433" s="79"/>
      <c r="F433" s="31"/>
      <c r="G433" s="31"/>
      <c r="H433" s="31"/>
      <c r="I433" s="31"/>
      <c r="J433" s="31"/>
      <c r="K433" s="31"/>
      <c r="L433" s="31"/>
      <c r="M433" s="31"/>
      <c r="N433" s="31"/>
      <c r="U433" s="138"/>
      <c r="V433" s="138"/>
      <c r="W433" s="138"/>
    </row>
    <row r="434">
      <c r="A434" s="31"/>
      <c r="B434" s="31"/>
      <c r="C434" s="79"/>
      <c r="D434" s="79"/>
      <c r="E434" s="79"/>
      <c r="F434" s="31"/>
      <c r="G434" s="31"/>
      <c r="H434" s="31"/>
      <c r="I434" s="31"/>
      <c r="J434" s="31"/>
      <c r="K434" s="31"/>
      <c r="L434" s="31"/>
      <c r="M434" s="31"/>
      <c r="N434" s="31"/>
      <c r="U434" s="138"/>
      <c r="V434" s="138"/>
      <c r="W434" s="138"/>
    </row>
    <row r="435">
      <c r="A435" s="31"/>
      <c r="B435" s="31"/>
      <c r="C435" s="79"/>
      <c r="D435" s="79"/>
      <c r="E435" s="79"/>
      <c r="F435" s="31"/>
      <c r="G435" s="31"/>
      <c r="H435" s="31"/>
      <c r="I435" s="31"/>
      <c r="J435" s="31"/>
      <c r="K435" s="31"/>
      <c r="L435" s="31"/>
      <c r="M435" s="31"/>
      <c r="N435" s="31"/>
      <c r="U435" s="138"/>
      <c r="V435" s="138"/>
      <c r="W435" s="138"/>
    </row>
    <row r="436">
      <c r="A436" s="31"/>
      <c r="B436" s="31"/>
      <c r="C436" s="79"/>
      <c r="D436" s="79"/>
      <c r="E436" s="79"/>
      <c r="F436" s="31"/>
      <c r="G436" s="31"/>
      <c r="H436" s="31"/>
      <c r="I436" s="31"/>
      <c r="J436" s="31"/>
      <c r="K436" s="31"/>
      <c r="L436" s="31"/>
      <c r="M436" s="31"/>
      <c r="N436" s="31"/>
      <c r="U436" s="138"/>
      <c r="V436" s="138"/>
      <c r="W436" s="138"/>
    </row>
    <row r="437">
      <c r="A437" s="31"/>
      <c r="B437" s="31"/>
      <c r="C437" s="79"/>
      <c r="D437" s="79"/>
      <c r="E437" s="79"/>
      <c r="F437" s="31"/>
      <c r="G437" s="31"/>
      <c r="H437" s="31"/>
      <c r="I437" s="31"/>
      <c r="J437" s="31"/>
      <c r="K437" s="31"/>
      <c r="L437" s="31"/>
      <c r="M437" s="31"/>
      <c r="N437" s="31"/>
      <c r="U437" s="138"/>
      <c r="V437" s="138"/>
      <c r="W437" s="138"/>
    </row>
    <row r="438">
      <c r="A438" s="31"/>
      <c r="B438" s="31"/>
      <c r="C438" s="79"/>
      <c r="D438" s="79"/>
      <c r="E438" s="79"/>
      <c r="F438" s="31"/>
      <c r="G438" s="31"/>
      <c r="H438" s="31"/>
      <c r="I438" s="31"/>
      <c r="J438" s="31"/>
      <c r="K438" s="31"/>
      <c r="L438" s="31"/>
      <c r="M438" s="31"/>
      <c r="N438" s="31"/>
      <c r="U438" s="138"/>
      <c r="V438" s="138"/>
      <c r="W438" s="138"/>
    </row>
    <row r="439">
      <c r="A439" s="31"/>
      <c r="B439" s="31"/>
      <c r="C439" s="79"/>
      <c r="D439" s="79"/>
      <c r="E439" s="79"/>
      <c r="F439" s="31"/>
      <c r="G439" s="31"/>
      <c r="H439" s="31"/>
      <c r="I439" s="31"/>
      <c r="J439" s="31"/>
      <c r="K439" s="31"/>
      <c r="L439" s="31"/>
      <c r="M439" s="31"/>
      <c r="N439" s="31"/>
      <c r="U439" s="138"/>
      <c r="V439" s="138"/>
      <c r="W439" s="138"/>
    </row>
    <row r="440">
      <c r="A440" s="31"/>
      <c r="B440" s="31"/>
      <c r="C440" s="79"/>
      <c r="D440" s="79"/>
      <c r="E440" s="79"/>
      <c r="F440" s="31"/>
      <c r="G440" s="31"/>
      <c r="H440" s="31"/>
      <c r="I440" s="31"/>
      <c r="J440" s="31"/>
      <c r="K440" s="31"/>
      <c r="L440" s="31"/>
      <c r="M440" s="31"/>
      <c r="N440" s="31"/>
      <c r="U440" s="138"/>
      <c r="V440" s="138"/>
      <c r="W440" s="138"/>
    </row>
    <row r="441">
      <c r="A441" s="31"/>
      <c r="B441" s="31"/>
      <c r="C441" s="79"/>
      <c r="D441" s="79"/>
      <c r="E441" s="79"/>
      <c r="F441" s="31"/>
      <c r="G441" s="31"/>
      <c r="H441" s="31"/>
      <c r="I441" s="31"/>
      <c r="J441" s="31"/>
      <c r="K441" s="31"/>
      <c r="L441" s="31"/>
      <c r="M441" s="31"/>
      <c r="N441" s="31"/>
      <c r="U441" s="138"/>
      <c r="V441" s="138"/>
      <c r="W441" s="138"/>
    </row>
    <row r="442">
      <c r="A442" s="31"/>
      <c r="B442" s="31"/>
      <c r="C442" s="79"/>
      <c r="D442" s="79"/>
      <c r="E442" s="79"/>
      <c r="F442" s="31"/>
      <c r="G442" s="31"/>
      <c r="H442" s="31"/>
      <c r="I442" s="31"/>
      <c r="J442" s="31"/>
      <c r="K442" s="31"/>
      <c r="L442" s="31"/>
      <c r="M442" s="31"/>
      <c r="N442" s="31"/>
      <c r="U442" s="138"/>
      <c r="V442" s="138"/>
      <c r="W442" s="138"/>
    </row>
    <row r="443">
      <c r="A443" s="31"/>
      <c r="B443" s="31"/>
      <c r="C443" s="79"/>
      <c r="D443" s="79"/>
      <c r="E443" s="79"/>
      <c r="F443" s="31"/>
      <c r="G443" s="31"/>
      <c r="H443" s="31"/>
      <c r="I443" s="31"/>
      <c r="J443" s="31"/>
      <c r="K443" s="31"/>
      <c r="L443" s="31"/>
      <c r="M443" s="31"/>
      <c r="N443" s="31"/>
      <c r="U443" s="138"/>
      <c r="V443" s="138"/>
      <c r="W443" s="138"/>
    </row>
    <row r="444">
      <c r="A444" s="31"/>
      <c r="B444" s="31"/>
      <c r="C444" s="79"/>
      <c r="D444" s="79"/>
      <c r="E444" s="79"/>
      <c r="F444" s="31"/>
      <c r="G444" s="31"/>
      <c r="H444" s="31"/>
      <c r="I444" s="31"/>
      <c r="J444" s="31"/>
      <c r="K444" s="31"/>
      <c r="L444" s="31"/>
      <c r="M444" s="31"/>
      <c r="N444" s="31"/>
      <c r="U444" s="138"/>
      <c r="V444" s="138"/>
      <c r="W444" s="138"/>
    </row>
    <row r="445">
      <c r="A445" s="31"/>
      <c r="B445" s="31"/>
      <c r="C445" s="79"/>
      <c r="D445" s="79"/>
      <c r="E445" s="79"/>
      <c r="F445" s="31"/>
      <c r="G445" s="31"/>
      <c r="H445" s="31"/>
      <c r="I445" s="31"/>
      <c r="J445" s="31"/>
      <c r="K445" s="31"/>
      <c r="L445" s="31"/>
      <c r="M445" s="31"/>
      <c r="N445" s="31"/>
      <c r="U445" s="138"/>
      <c r="V445" s="138"/>
      <c r="W445" s="138"/>
    </row>
    <row r="446">
      <c r="A446" s="31"/>
      <c r="B446" s="31"/>
      <c r="C446" s="79"/>
      <c r="D446" s="79"/>
      <c r="E446" s="79"/>
      <c r="F446" s="31"/>
      <c r="G446" s="31"/>
      <c r="H446" s="31"/>
      <c r="I446" s="31"/>
      <c r="J446" s="31"/>
      <c r="K446" s="31"/>
      <c r="L446" s="31"/>
      <c r="M446" s="31"/>
      <c r="N446" s="31"/>
      <c r="U446" s="138"/>
      <c r="V446" s="138"/>
      <c r="W446" s="138"/>
    </row>
    <row r="447">
      <c r="A447" s="31"/>
      <c r="B447" s="31"/>
      <c r="C447" s="79"/>
      <c r="D447" s="79"/>
      <c r="E447" s="79"/>
      <c r="F447" s="31"/>
      <c r="G447" s="31"/>
      <c r="H447" s="31"/>
      <c r="I447" s="31"/>
      <c r="J447" s="31"/>
      <c r="K447" s="31"/>
      <c r="L447" s="31"/>
      <c r="M447" s="31"/>
      <c r="N447" s="31"/>
      <c r="U447" s="138"/>
      <c r="V447" s="138"/>
      <c r="W447" s="138"/>
    </row>
    <row r="448">
      <c r="A448" s="31"/>
      <c r="B448" s="31"/>
      <c r="C448" s="79"/>
      <c r="D448" s="79"/>
      <c r="E448" s="79"/>
      <c r="F448" s="31"/>
      <c r="G448" s="31"/>
      <c r="H448" s="31"/>
      <c r="I448" s="31"/>
      <c r="J448" s="31"/>
      <c r="K448" s="31"/>
      <c r="L448" s="31"/>
      <c r="M448" s="31"/>
      <c r="N448" s="31"/>
      <c r="U448" s="138"/>
      <c r="V448" s="138"/>
      <c r="W448" s="138"/>
    </row>
    <row r="449">
      <c r="A449" s="31"/>
      <c r="B449" s="31"/>
      <c r="C449" s="79"/>
      <c r="D449" s="79"/>
      <c r="E449" s="79"/>
      <c r="F449" s="31"/>
      <c r="G449" s="31"/>
      <c r="H449" s="31"/>
      <c r="I449" s="31"/>
      <c r="J449" s="31"/>
      <c r="K449" s="31"/>
      <c r="L449" s="31"/>
      <c r="M449" s="31"/>
      <c r="N449" s="31"/>
      <c r="U449" s="138"/>
      <c r="V449" s="138"/>
      <c r="W449" s="138"/>
    </row>
    <row r="450">
      <c r="A450" s="31"/>
      <c r="B450" s="31"/>
      <c r="C450" s="79"/>
      <c r="D450" s="79"/>
      <c r="E450" s="79"/>
      <c r="F450" s="31"/>
      <c r="G450" s="31"/>
      <c r="H450" s="31"/>
      <c r="I450" s="31"/>
      <c r="J450" s="31"/>
      <c r="K450" s="31"/>
      <c r="L450" s="31"/>
      <c r="M450" s="31"/>
      <c r="N450" s="31"/>
      <c r="U450" s="138"/>
      <c r="V450" s="138"/>
      <c r="W450" s="138"/>
    </row>
    <row r="451">
      <c r="A451" s="31"/>
      <c r="B451" s="31"/>
      <c r="C451" s="79"/>
      <c r="D451" s="79"/>
      <c r="E451" s="79"/>
      <c r="F451" s="31"/>
      <c r="G451" s="31"/>
      <c r="H451" s="31"/>
      <c r="I451" s="31"/>
      <c r="J451" s="31"/>
      <c r="K451" s="31"/>
      <c r="L451" s="31"/>
      <c r="M451" s="31"/>
      <c r="N451" s="31"/>
      <c r="U451" s="138"/>
      <c r="V451" s="138"/>
      <c r="W451" s="138"/>
    </row>
    <row r="452">
      <c r="A452" s="31"/>
      <c r="B452" s="31"/>
      <c r="C452" s="79"/>
      <c r="D452" s="79"/>
      <c r="E452" s="79"/>
      <c r="F452" s="31"/>
      <c r="G452" s="31"/>
      <c r="H452" s="31"/>
      <c r="I452" s="31"/>
      <c r="J452" s="31"/>
      <c r="K452" s="31"/>
      <c r="L452" s="31"/>
      <c r="M452" s="31"/>
      <c r="N452" s="31"/>
      <c r="U452" s="138"/>
      <c r="V452" s="138"/>
      <c r="W452" s="138"/>
    </row>
    <row r="453">
      <c r="A453" s="31"/>
      <c r="B453" s="31"/>
      <c r="C453" s="79"/>
      <c r="D453" s="79"/>
      <c r="E453" s="79"/>
      <c r="F453" s="31"/>
      <c r="G453" s="31"/>
      <c r="H453" s="31"/>
      <c r="I453" s="31"/>
      <c r="J453" s="31"/>
      <c r="K453" s="31"/>
      <c r="L453" s="31"/>
      <c r="M453" s="31"/>
      <c r="N453" s="31"/>
      <c r="U453" s="138"/>
      <c r="V453" s="138"/>
      <c r="W453" s="138"/>
    </row>
    <row r="454">
      <c r="A454" s="31"/>
      <c r="B454" s="31"/>
      <c r="C454" s="79"/>
      <c r="D454" s="79"/>
      <c r="E454" s="79"/>
      <c r="F454" s="31"/>
      <c r="G454" s="31"/>
      <c r="H454" s="31"/>
      <c r="I454" s="31"/>
      <c r="J454" s="31"/>
      <c r="K454" s="31"/>
      <c r="L454" s="31"/>
      <c r="M454" s="31"/>
      <c r="N454" s="31"/>
      <c r="U454" s="138"/>
      <c r="V454" s="138"/>
      <c r="W454" s="138"/>
    </row>
    <row r="455">
      <c r="A455" s="31"/>
      <c r="B455" s="31"/>
      <c r="C455" s="79"/>
      <c r="D455" s="79"/>
      <c r="E455" s="79"/>
      <c r="F455" s="31"/>
      <c r="G455" s="31"/>
      <c r="H455" s="31"/>
      <c r="I455" s="31"/>
      <c r="J455" s="31"/>
      <c r="K455" s="31"/>
      <c r="L455" s="31"/>
      <c r="M455" s="31"/>
      <c r="N455" s="31"/>
      <c r="U455" s="138"/>
      <c r="V455" s="138"/>
      <c r="W455" s="138"/>
    </row>
    <row r="456">
      <c r="A456" s="31"/>
      <c r="B456" s="31"/>
      <c r="C456" s="79"/>
      <c r="D456" s="79"/>
      <c r="E456" s="79"/>
      <c r="F456" s="31"/>
      <c r="G456" s="31"/>
      <c r="H456" s="31"/>
      <c r="I456" s="31"/>
      <c r="J456" s="31"/>
      <c r="K456" s="31"/>
      <c r="L456" s="31"/>
      <c r="M456" s="31"/>
      <c r="N456" s="31"/>
      <c r="U456" s="138"/>
      <c r="V456" s="138"/>
      <c r="W456" s="138"/>
    </row>
    <row r="457">
      <c r="A457" s="31"/>
      <c r="B457" s="31"/>
      <c r="C457" s="79"/>
      <c r="D457" s="79"/>
      <c r="E457" s="79"/>
      <c r="F457" s="31"/>
      <c r="G457" s="31"/>
      <c r="H457" s="31"/>
      <c r="I457" s="31"/>
      <c r="J457" s="31"/>
      <c r="K457" s="31"/>
      <c r="L457" s="31"/>
      <c r="M457" s="31"/>
      <c r="N457" s="31"/>
      <c r="U457" s="138"/>
      <c r="V457" s="138"/>
      <c r="W457" s="138"/>
    </row>
    <row r="458">
      <c r="A458" s="31"/>
      <c r="B458" s="31"/>
      <c r="C458" s="79"/>
      <c r="D458" s="79"/>
      <c r="E458" s="79"/>
      <c r="F458" s="31"/>
      <c r="G458" s="31"/>
      <c r="H458" s="31"/>
      <c r="I458" s="31"/>
      <c r="J458" s="31"/>
      <c r="K458" s="31"/>
      <c r="L458" s="31"/>
      <c r="M458" s="31"/>
      <c r="N458" s="31"/>
      <c r="U458" s="138"/>
      <c r="V458" s="138"/>
      <c r="W458" s="138"/>
    </row>
    <row r="459">
      <c r="A459" s="31"/>
      <c r="B459" s="31"/>
      <c r="C459" s="79"/>
      <c r="D459" s="79"/>
      <c r="E459" s="79"/>
      <c r="F459" s="31"/>
      <c r="G459" s="31"/>
      <c r="H459" s="31"/>
      <c r="I459" s="31"/>
      <c r="J459" s="31"/>
      <c r="K459" s="31"/>
      <c r="L459" s="31"/>
      <c r="M459" s="31"/>
      <c r="N459" s="31"/>
      <c r="U459" s="138"/>
      <c r="V459" s="138"/>
      <c r="W459" s="138"/>
    </row>
    <row r="460">
      <c r="A460" s="31"/>
      <c r="B460" s="31"/>
      <c r="C460" s="79"/>
      <c r="D460" s="79"/>
      <c r="E460" s="79"/>
      <c r="F460" s="31"/>
      <c r="G460" s="31"/>
      <c r="H460" s="31"/>
      <c r="I460" s="31"/>
      <c r="J460" s="31"/>
      <c r="K460" s="31"/>
      <c r="L460" s="31"/>
      <c r="M460" s="31"/>
      <c r="N460" s="31"/>
      <c r="U460" s="138"/>
      <c r="V460" s="138"/>
      <c r="W460" s="138"/>
    </row>
    <row r="461">
      <c r="A461" s="31"/>
      <c r="B461" s="31"/>
      <c r="C461" s="79"/>
      <c r="D461" s="79"/>
      <c r="E461" s="79"/>
      <c r="F461" s="31"/>
      <c r="G461" s="31"/>
      <c r="H461" s="31"/>
      <c r="I461" s="31"/>
      <c r="J461" s="31"/>
      <c r="K461" s="31"/>
      <c r="L461" s="31"/>
      <c r="M461" s="31"/>
      <c r="N461" s="31"/>
      <c r="U461" s="138"/>
      <c r="V461" s="138"/>
      <c r="W461" s="138"/>
    </row>
    <row r="462">
      <c r="A462" s="31"/>
      <c r="B462" s="31"/>
      <c r="C462" s="79"/>
      <c r="D462" s="79"/>
      <c r="E462" s="79"/>
      <c r="F462" s="31"/>
      <c r="G462" s="31"/>
      <c r="H462" s="31"/>
      <c r="I462" s="31"/>
      <c r="J462" s="31"/>
      <c r="K462" s="31"/>
      <c r="L462" s="31"/>
      <c r="M462" s="31"/>
      <c r="N462" s="31"/>
      <c r="U462" s="138"/>
      <c r="V462" s="138"/>
      <c r="W462" s="138"/>
    </row>
    <row r="463">
      <c r="A463" s="31"/>
      <c r="B463" s="31"/>
      <c r="C463" s="79"/>
      <c r="D463" s="79"/>
      <c r="E463" s="79"/>
      <c r="F463" s="31"/>
      <c r="G463" s="31"/>
      <c r="H463" s="31"/>
      <c r="I463" s="31"/>
      <c r="J463" s="31"/>
      <c r="K463" s="31"/>
      <c r="L463" s="31"/>
      <c r="M463" s="31"/>
      <c r="N463" s="31"/>
      <c r="U463" s="138"/>
      <c r="V463" s="138"/>
      <c r="W463" s="138"/>
    </row>
    <row r="464">
      <c r="A464" s="31"/>
      <c r="B464" s="31"/>
      <c r="C464" s="79"/>
      <c r="D464" s="79"/>
      <c r="E464" s="79"/>
      <c r="F464" s="31"/>
      <c r="G464" s="31"/>
      <c r="H464" s="31"/>
      <c r="I464" s="31"/>
      <c r="J464" s="31"/>
      <c r="K464" s="31"/>
      <c r="L464" s="31"/>
      <c r="M464" s="31"/>
      <c r="N464" s="31"/>
      <c r="U464" s="138"/>
      <c r="V464" s="138"/>
      <c r="W464" s="138"/>
    </row>
    <row r="465">
      <c r="A465" s="31"/>
      <c r="B465" s="31"/>
      <c r="C465" s="79"/>
      <c r="D465" s="79"/>
      <c r="E465" s="79"/>
      <c r="F465" s="31"/>
      <c r="G465" s="31"/>
      <c r="H465" s="31"/>
      <c r="I465" s="31"/>
      <c r="J465" s="31"/>
      <c r="K465" s="31"/>
      <c r="L465" s="31"/>
      <c r="M465" s="31"/>
      <c r="N465" s="31"/>
      <c r="U465" s="138"/>
      <c r="V465" s="138"/>
      <c r="W465" s="138"/>
    </row>
    <row r="466">
      <c r="A466" s="31"/>
      <c r="B466" s="31"/>
      <c r="C466" s="79"/>
      <c r="D466" s="79"/>
      <c r="E466" s="79"/>
      <c r="F466" s="31"/>
      <c r="G466" s="31"/>
      <c r="H466" s="31"/>
      <c r="I466" s="31"/>
      <c r="J466" s="31"/>
      <c r="K466" s="31"/>
      <c r="L466" s="31"/>
      <c r="M466" s="31"/>
      <c r="N466" s="31"/>
      <c r="U466" s="138"/>
      <c r="V466" s="138"/>
      <c r="W466" s="138"/>
    </row>
    <row r="467">
      <c r="A467" s="31"/>
      <c r="B467" s="31"/>
      <c r="C467" s="79"/>
      <c r="D467" s="79"/>
      <c r="E467" s="79"/>
      <c r="F467" s="31"/>
      <c r="G467" s="31"/>
      <c r="H467" s="31"/>
      <c r="I467" s="31"/>
      <c r="J467" s="31"/>
      <c r="K467" s="31"/>
      <c r="L467" s="31"/>
      <c r="M467" s="31"/>
      <c r="N467" s="31"/>
      <c r="U467" s="138"/>
      <c r="V467" s="138"/>
      <c r="W467" s="138"/>
    </row>
    <row r="468">
      <c r="A468" s="31"/>
      <c r="B468" s="31"/>
      <c r="C468" s="79"/>
      <c r="D468" s="79"/>
      <c r="E468" s="79"/>
      <c r="F468" s="31"/>
      <c r="G468" s="31"/>
      <c r="H468" s="31"/>
      <c r="I468" s="31"/>
      <c r="J468" s="31"/>
      <c r="K468" s="31"/>
      <c r="L468" s="31"/>
      <c r="M468" s="31"/>
      <c r="N468" s="31"/>
      <c r="U468" s="138"/>
      <c r="V468" s="138"/>
      <c r="W468" s="138"/>
    </row>
    <row r="469">
      <c r="A469" s="31"/>
      <c r="B469" s="31"/>
      <c r="C469" s="79"/>
      <c r="D469" s="79"/>
      <c r="E469" s="79"/>
      <c r="F469" s="31"/>
      <c r="G469" s="31"/>
      <c r="H469" s="31"/>
      <c r="I469" s="31"/>
      <c r="J469" s="31"/>
      <c r="K469" s="31"/>
      <c r="L469" s="31"/>
      <c r="M469" s="31"/>
      <c r="N469" s="31"/>
      <c r="U469" s="138"/>
      <c r="V469" s="138"/>
      <c r="W469" s="138"/>
    </row>
    <row r="470">
      <c r="A470" s="31"/>
      <c r="B470" s="31"/>
      <c r="C470" s="79"/>
      <c r="D470" s="79"/>
      <c r="E470" s="79"/>
      <c r="F470" s="31"/>
      <c r="G470" s="31"/>
      <c r="H470" s="31"/>
      <c r="I470" s="31"/>
      <c r="J470" s="31"/>
      <c r="K470" s="31"/>
      <c r="L470" s="31"/>
      <c r="M470" s="31"/>
      <c r="N470" s="31"/>
      <c r="U470" s="138"/>
      <c r="V470" s="138"/>
      <c r="W470" s="138"/>
    </row>
    <row r="471">
      <c r="A471" s="31"/>
      <c r="B471" s="31"/>
      <c r="C471" s="79"/>
      <c r="D471" s="79"/>
      <c r="E471" s="79"/>
      <c r="F471" s="31"/>
      <c r="G471" s="31"/>
      <c r="H471" s="31"/>
      <c r="I471" s="31"/>
      <c r="J471" s="31"/>
      <c r="K471" s="31"/>
      <c r="L471" s="31"/>
      <c r="M471" s="31"/>
      <c r="N471" s="31"/>
      <c r="U471" s="138"/>
      <c r="V471" s="138"/>
      <c r="W471" s="138"/>
    </row>
    <row r="472">
      <c r="A472" s="31"/>
      <c r="B472" s="31"/>
      <c r="C472" s="79"/>
      <c r="D472" s="79"/>
      <c r="E472" s="79"/>
      <c r="F472" s="31"/>
      <c r="G472" s="31"/>
      <c r="H472" s="31"/>
      <c r="I472" s="31"/>
      <c r="J472" s="31"/>
      <c r="K472" s="31"/>
      <c r="L472" s="31"/>
      <c r="M472" s="31"/>
      <c r="N472" s="31"/>
      <c r="U472" s="138"/>
      <c r="V472" s="138"/>
      <c r="W472" s="138"/>
    </row>
    <row r="473">
      <c r="A473" s="31"/>
      <c r="B473" s="31"/>
      <c r="C473" s="79"/>
      <c r="D473" s="79"/>
      <c r="E473" s="79"/>
      <c r="F473" s="31"/>
      <c r="G473" s="31"/>
      <c r="H473" s="31"/>
      <c r="I473" s="31"/>
      <c r="J473" s="31"/>
      <c r="K473" s="31"/>
      <c r="L473" s="31"/>
      <c r="M473" s="31"/>
      <c r="N473" s="31"/>
      <c r="U473" s="138"/>
      <c r="V473" s="138"/>
      <c r="W473" s="138"/>
    </row>
    <row r="474">
      <c r="A474" s="31"/>
      <c r="B474" s="31"/>
      <c r="C474" s="79"/>
      <c r="D474" s="79"/>
      <c r="E474" s="79"/>
      <c r="F474" s="31"/>
      <c r="G474" s="31"/>
      <c r="H474" s="31"/>
      <c r="I474" s="31"/>
      <c r="J474" s="31"/>
      <c r="K474" s="31"/>
      <c r="L474" s="31"/>
      <c r="M474" s="31"/>
      <c r="N474" s="31"/>
      <c r="U474" s="138"/>
      <c r="V474" s="138"/>
      <c r="W474" s="138"/>
    </row>
    <row r="475">
      <c r="A475" s="31"/>
      <c r="B475" s="31"/>
      <c r="C475" s="79"/>
      <c r="D475" s="79"/>
      <c r="E475" s="79"/>
      <c r="F475" s="31"/>
      <c r="G475" s="31"/>
      <c r="H475" s="31"/>
      <c r="I475" s="31"/>
      <c r="J475" s="31"/>
      <c r="K475" s="31"/>
      <c r="L475" s="31"/>
      <c r="M475" s="31"/>
      <c r="N475" s="31"/>
      <c r="U475" s="138"/>
      <c r="V475" s="138"/>
      <c r="W475" s="138"/>
    </row>
    <row r="476">
      <c r="A476" s="31"/>
      <c r="B476" s="31"/>
      <c r="C476" s="79"/>
      <c r="D476" s="79"/>
      <c r="E476" s="79"/>
      <c r="F476" s="31"/>
      <c r="G476" s="31"/>
      <c r="H476" s="31"/>
      <c r="I476" s="31"/>
      <c r="J476" s="31"/>
      <c r="K476" s="31"/>
      <c r="L476" s="31"/>
      <c r="M476" s="31"/>
      <c r="N476" s="31"/>
      <c r="U476" s="138"/>
      <c r="V476" s="138"/>
      <c r="W476" s="138"/>
    </row>
    <row r="477">
      <c r="A477" s="31"/>
      <c r="B477" s="31"/>
      <c r="C477" s="79"/>
      <c r="D477" s="79"/>
      <c r="E477" s="79"/>
      <c r="F477" s="31"/>
      <c r="G477" s="31"/>
      <c r="H477" s="31"/>
      <c r="I477" s="31"/>
      <c r="J477" s="31"/>
      <c r="K477" s="31"/>
      <c r="L477" s="31"/>
      <c r="M477" s="31"/>
      <c r="N477" s="31"/>
      <c r="U477" s="138"/>
      <c r="V477" s="138"/>
      <c r="W477" s="138"/>
    </row>
    <row r="478">
      <c r="A478" s="31"/>
      <c r="B478" s="31"/>
      <c r="C478" s="79"/>
      <c r="D478" s="79"/>
      <c r="E478" s="79"/>
      <c r="F478" s="31"/>
      <c r="G478" s="31"/>
      <c r="H478" s="31"/>
      <c r="I478" s="31"/>
      <c r="J478" s="31"/>
      <c r="K478" s="31"/>
      <c r="L478" s="31"/>
      <c r="M478" s="31"/>
      <c r="N478" s="31"/>
      <c r="U478" s="138"/>
      <c r="V478" s="138"/>
      <c r="W478" s="138"/>
    </row>
    <row r="479">
      <c r="A479" s="31"/>
      <c r="B479" s="31"/>
      <c r="C479" s="79"/>
      <c r="D479" s="79"/>
      <c r="E479" s="79"/>
      <c r="F479" s="31"/>
      <c r="G479" s="31"/>
      <c r="H479" s="31"/>
      <c r="I479" s="31"/>
      <c r="J479" s="31"/>
      <c r="K479" s="31"/>
      <c r="L479" s="31"/>
      <c r="M479" s="31"/>
      <c r="N479" s="31"/>
      <c r="U479" s="138"/>
      <c r="V479" s="138"/>
      <c r="W479" s="138"/>
    </row>
    <row r="480">
      <c r="A480" s="31"/>
      <c r="B480" s="31"/>
      <c r="C480" s="79"/>
      <c r="D480" s="79"/>
      <c r="E480" s="79"/>
      <c r="F480" s="31"/>
      <c r="G480" s="31"/>
      <c r="H480" s="31"/>
      <c r="I480" s="31"/>
      <c r="J480" s="31"/>
      <c r="K480" s="31"/>
      <c r="L480" s="31"/>
      <c r="M480" s="31"/>
      <c r="N480" s="31"/>
      <c r="U480" s="138"/>
      <c r="V480" s="138"/>
      <c r="W480" s="138"/>
    </row>
    <row r="481">
      <c r="A481" s="31"/>
      <c r="B481" s="31"/>
      <c r="C481" s="79"/>
      <c r="D481" s="79"/>
      <c r="E481" s="79"/>
      <c r="F481" s="31"/>
      <c r="G481" s="31"/>
      <c r="H481" s="31"/>
      <c r="I481" s="31"/>
      <c r="J481" s="31"/>
      <c r="K481" s="31"/>
      <c r="L481" s="31"/>
      <c r="M481" s="31"/>
      <c r="N481" s="31"/>
      <c r="U481" s="138"/>
      <c r="V481" s="138"/>
      <c r="W481" s="138"/>
    </row>
    <row r="482">
      <c r="A482" s="31"/>
      <c r="B482" s="31"/>
      <c r="C482" s="79"/>
      <c r="D482" s="79"/>
      <c r="E482" s="79"/>
      <c r="F482" s="31"/>
      <c r="G482" s="31"/>
      <c r="H482" s="31"/>
      <c r="I482" s="31"/>
      <c r="J482" s="31"/>
      <c r="K482" s="31"/>
      <c r="L482" s="31"/>
      <c r="M482" s="31"/>
      <c r="N482" s="31"/>
      <c r="U482" s="138"/>
      <c r="V482" s="138"/>
      <c r="W482" s="138"/>
    </row>
    <row r="483">
      <c r="A483" s="31"/>
      <c r="B483" s="31"/>
      <c r="C483" s="79"/>
      <c r="D483" s="79"/>
      <c r="E483" s="79"/>
      <c r="F483" s="31"/>
      <c r="G483" s="31"/>
      <c r="H483" s="31"/>
      <c r="I483" s="31"/>
      <c r="J483" s="31"/>
      <c r="K483" s="31"/>
      <c r="L483" s="31"/>
      <c r="M483" s="31"/>
      <c r="N483" s="31"/>
      <c r="U483" s="138"/>
      <c r="V483" s="138"/>
      <c r="W483" s="138"/>
    </row>
    <row r="484">
      <c r="A484" s="31"/>
      <c r="B484" s="31"/>
      <c r="C484" s="79"/>
      <c r="D484" s="79"/>
      <c r="E484" s="79"/>
      <c r="F484" s="31"/>
      <c r="G484" s="31"/>
      <c r="H484" s="31"/>
      <c r="I484" s="31"/>
      <c r="J484" s="31"/>
      <c r="K484" s="31"/>
      <c r="L484" s="31"/>
      <c r="M484" s="31"/>
      <c r="N484" s="31"/>
      <c r="U484" s="138"/>
      <c r="V484" s="138"/>
      <c r="W484" s="138"/>
    </row>
    <row r="485">
      <c r="A485" s="31"/>
      <c r="B485" s="31"/>
      <c r="C485" s="79"/>
      <c r="D485" s="79"/>
      <c r="E485" s="79"/>
      <c r="F485" s="31"/>
      <c r="G485" s="31"/>
      <c r="H485" s="31"/>
      <c r="I485" s="31"/>
      <c r="J485" s="31"/>
      <c r="K485" s="31"/>
      <c r="L485" s="31"/>
      <c r="M485" s="31"/>
      <c r="N485" s="31"/>
      <c r="U485" s="138"/>
      <c r="V485" s="138"/>
      <c r="W485" s="138"/>
    </row>
    <row r="486">
      <c r="A486" s="31"/>
      <c r="B486" s="31"/>
      <c r="C486" s="79"/>
      <c r="D486" s="79"/>
      <c r="E486" s="79"/>
      <c r="F486" s="31"/>
      <c r="G486" s="31"/>
      <c r="H486" s="31"/>
      <c r="I486" s="31"/>
      <c r="J486" s="31"/>
      <c r="K486" s="31"/>
      <c r="L486" s="31"/>
      <c r="M486" s="31"/>
      <c r="N486" s="31"/>
      <c r="U486" s="138"/>
      <c r="V486" s="138"/>
      <c r="W486" s="138"/>
    </row>
    <row r="487">
      <c r="A487" s="31"/>
      <c r="B487" s="31"/>
      <c r="C487" s="79"/>
      <c r="D487" s="79"/>
      <c r="E487" s="79"/>
      <c r="F487" s="31"/>
      <c r="G487" s="31"/>
      <c r="H487" s="31"/>
      <c r="I487" s="31"/>
      <c r="J487" s="31"/>
      <c r="K487" s="31"/>
      <c r="L487" s="31"/>
      <c r="M487" s="31"/>
      <c r="N487" s="31"/>
      <c r="U487" s="138"/>
      <c r="V487" s="138"/>
      <c r="W487" s="138"/>
    </row>
    <row r="488">
      <c r="A488" s="31"/>
      <c r="B488" s="31"/>
      <c r="C488" s="79"/>
      <c r="D488" s="79"/>
      <c r="E488" s="79"/>
      <c r="F488" s="31"/>
      <c r="G488" s="31"/>
      <c r="H488" s="31"/>
      <c r="I488" s="31"/>
      <c r="J488" s="31"/>
      <c r="K488" s="31"/>
      <c r="L488" s="31"/>
      <c r="M488" s="31"/>
      <c r="N488" s="31"/>
      <c r="U488" s="138"/>
      <c r="V488" s="138"/>
      <c r="W488" s="138"/>
    </row>
    <row r="489">
      <c r="A489" s="31"/>
      <c r="B489" s="31"/>
      <c r="C489" s="79"/>
      <c r="D489" s="79"/>
      <c r="E489" s="79"/>
      <c r="F489" s="31"/>
      <c r="G489" s="31"/>
      <c r="H489" s="31"/>
      <c r="I489" s="31"/>
      <c r="J489" s="31"/>
      <c r="K489" s="31"/>
      <c r="L489" s="31"/>
      <c r="M489" s="31"/>
      <c r="N489" s="31"/>
      <c r="U489" s="138"/>
      <c r="V489" s="138"/>
      <c r="W489" s="138"/>
    </row>
    <row r="490">
      <c r="A490" s="31"/>
      <c r="B490" s="31"/>
      <c r="C490" s="79"/>
      <c r="D490" s="79"/>
      <c r="E490" s="79"/>
      <c r="F490" s="31"/>
      <c r="G490" s="31"/>
      <c r="H490" s="31"/>
      <c r="I490" s="31"/>
      <c r="J490" s="31"/>
      <c r="K490" s="31"/>
      <c r="L490" s="31"/>
      <c r="M490" s="31"/>
      <c r="N490" s="31"/>
      <c r="U490" s="138"/>
      <c r="V490" s="138"/>
      <c r="W490" s="138"/>
    </row>
    <row r="491">
      <c r="A491" s="31"/>
      <c r="B491" s="31"/>
      <c r="C491" s="79"/>
      <c r="D491" s="79"/>
      <c r="E491" s="79"/>
      <c r="F491" s="31"/>
      <c r="G491" s="31"/>
      <c r="H491" s="31"/>
      <c r="I491" s="31"/>
      <c r="J491" s="31"/>
      <c r="K491" s="31"/>
      <c r="L491" s="31"/>
      <c r="M491" s="31"/>
      <c r="N491" s="31"/>
      <c r="U491" s="138"/>
      <c r="V491" s="138"/>
      <c r="W491" s="138"/>
    </row>
    <row r="492">
      <c r="A492" s="31"/>
      <c r="B492" s="31"/>
      <c r="C492" s="79"/>
      <c r="D492" s="79"/>
      <c r="E492" s="79"/>
      <c r="F492" s="31"/>
      <c r="G492" s="31"/>
      <c r="H492" s="31"/>
      <c r="I492" s="31"/>
      <c r="J492" s="31"/>
      <c r="K492" s="31"/>
      <c r="L492" s="31"/>
      <c r="M492" s="31"/>
      <c r="N492" s="31"/>
      <c r="U492" s="138"/>
      <c r="V492" s="138"/>
      <c r="W492" s="138"/>
    </row>
    <row r="493">
      <c r="A493" s="31"/>
      <c r="B493" s="31"/>
      <c r="C493" s="79"/>
      <c r="D493" s="79"/>
      <c r="E493" s="79"/>
      <c r="F493" s="31"/>
      <c r="G493" s="31"/>
      <c r="H493" s="31"/>
      <c r="I493" s="31"/>
      <c r="J493" s="31"/>
      <c r="K493" s="31"/>
      <c r="L493" s="31"/>
      <c r="M493" s="31"/>
      <c r="N493" s="31"/>
      <c r="U493" s="138"/>
      <c r="V493" s="138"/>
      <c r="W493" s="138"/>
    </row>
    <row r="494">
      <c r="A494" s="31"/>
      <c r="B494" s="31"/>
      <c r="C494" s="79"/>
      <c r="D494" s="79"/>
      <c r="E494" s="79"/>
      <c r="F494" s="31"/>
      <c r="G494" s="31"/>
      <c r="H494" s="31"/>
      <c r="I494" s="31"/>
      <c r="J494" s="31"/>
      <c r="K494" s="31"/>
      <c r="L494" s="31"/>
      <c r="M494" s="31"/>
      <c r="N494" s="31"/>
      <c r="U494" s="138"/>
      <c r="V494" s="138"/>
      <c r="W494" s="138"/>
    </row>
    <row r="495">
      <c r="A495" s="31"/>
      <c r="B495" s="31"/>
      <c r="C495" s="79"/>
      <c r="D495" s="79"/>
      <c r="E495" s="79"/>
      <c r="F495" s="31"/>
      <c r="G495" s="31"/>
      <c r="H495" s="31"/>
      <c r="I495" s="31"/>
      <c r="J495" s="31"/>
      <c r="K495" s="31"/>
      <c r="L495" s="31"/>
      <c r="M495" s="31"/>
      <c r="N495" s="31"/>
      <c r="U495" s="138"/>
      <c r="V495" s="138"/>
      <c r="W495" s="138"/>
    </row>
    <row r="496">
      <c r="A496" s="31"/>
      <c r="B496" s="31"/>
      <c r="C496" s="79"/>
      <c r="D496" s="79"/>
      <c r="E496" s="79"/>
      <c r="F496" s="31"/>
      <c r="G496" s="31"/>
      <c r="H496" s="31"/>
      <c r="I496" s="31"/>
      <c r="J496" s="31"/>
      <c r="K496" s="31"/>
      <c r="L496" s="31"/>
      <c r="M496" s="31"/>
      <c r="N496" s="31"/>
      <c r="U496" s="138"/>
      <c r="V496" s="138"/>
      <c r="W496" s="138"/>
    </row>
    <row r="497">
      <c r="A497" s="31"/>
      <c r="B497" s="31"/>
      <c r="C497" s="79"/>
      <c r="D497" s="79"/>
      <c r="E497" s="79"/>
      <c r="F497" s="31"/>
      <c r="G497" s="31"/>
      <c r="H497" s="31"/>
      <c r="I497" s="31"/>
      <c r="J497" s="31"/>
      <c r="K497" s="31"/>
      <c r="L497" s="31"/>
      <c r="M497" s="31"/>
      <c r="N497" s="31"/>
      <c r="U497" s="138"/>
      <c r="V497" s="138"/>
      <c r="W497" s="138"/>
    </row>
    <row r="498">
      <c r="A498" s="31"/>
      <c r="B498" s="31"/>
      <c r="C498" s="79"/>
      <c r="D498" s="79"/>
      <c r="E498" s="79"/>
      <c r="F498" s="31"/>
      <c r="G498" s="31"/>
      <c r="H498" s="31"/>
      <c r="I498" s="31"/>
      <c r="J498" s="31"/>
      <c r="K498" s="31"/>
      <c r="L498" s="31"/>
      <c r="M498" s="31"/>
      <c r="N498" s="31"/>
      <c r="U498" s="138"/>
      <c r="V498" s="138"/>
      <c r="W498" s="138"/>
    </row>
    <row r="499">
      <c r="A499" s="31"/>
      <c r="B499" s="31"/>
      <c r="C499" s="79"/>
      <c r="D499" s="79"/>
      <c r="E499" s="79"/>
      <c r="F499" s="31"/>
      <c r="G499" s="31"/>
      <c r="H499" s="31"/>
      <c r="I499" s="31"/>
      <c r="J499" s="31"/>
      <c r="K499" s="31"/>
      <c r="L499" s="31"/>
      <c r="M499" s="31"/>
      <c r="N499" s="31"/>
      <c r="U499" s="138"/>
      <c r="V499" s="138"/>
      <c r="W499" s="138"/>
    </row>
    <row r="500">
      <c r="A500" s="31"/>
      <c r="B500" s="31"/>
      <c r="C500" s="79"/>
      <c r="D500" s="79"/>
      <c r="E500" s="79"/>
      <c r="F500" s="31"/>
      <c r="G500" s="31"/>
      <c r="H500" s="31"/>
      <c r="I500" s="31"/>
      <c r="J500" s="31"/>
      <c r="K500" s="31"/>
      <c r="L500" s="31"/>
      <c r="M500" s="31"/>
      <c r="N500" s="31"/>
      <c r="U500" s="138"/>
      <c r="V500" s="138"/>
      <c r="W500" s="138"/>
    </row>
    <row r="501">
      <c r="A501" s="31"/>
      <c r="B501" s="31"/>
      <c r="C501" s="79"/>
      <c r="D501" s="79"/>
      <c r="E501" s="79"/>
      <c r="F501" s="31"/>
      <c r="G501" s="31"/>
      <c r="H501" s="31"/>
      <c r="I501" s="31"/>
      <c r="J501" s="31"/>
      <c r="K501" s="31"/>
      <c r="L501" s="31"/>
      <c r="M501" s="31"/>
      <c r="N501" s="31"/>
      <c r="U501" s="138"/>
      <c r="V501" s="138"/>
      <c r="W501" s="138"/>
    </row>
    <row r="502">
      <c r="A502" s="31"/>
      <c r="B502" s="31"/>
      <c r="C502" s="79"/>
      <c r="D502" s="79"/>
      <c r="E502" s="79"/>
      <c r="F502" s="31"/>
      <c r="G502" s="31"/>
      <c r="H502" s="31"/>
      <c r="I502" s="31"/>
      <c r="J502" s="31"/>
      <c r="K502" s="31"/>
      <c r="L502" s="31"/>
      <c r="M502" s="31"/>
      <c r="N502" s="31"/>
      <c r="U502" s="138"/>
      <c r="V502" s="138"/>
      <c r="W502" s="138"/>
    </row>
    <row r="503">
      <c r="A503" s="31"/>
      <c r="B503" s="31"/>
      <c r="C503" s="79"/>
      <c r="D503" s="79"/>
      <c r="E503" s="79"/>
      <c r="F503" s="31"/>
      <c r="G503" s="31"/>
      <c r="H503" s="31"/>
      <c r="I503" s="31"/>
      <c r="J503" s="31"/>
      <c r="K503" s="31"/>
      <c r="L503" s="31"/>
      <c r="M503" s="31"/>
      <c r="N503" s="31"/>
      <c r="U503" s="138"/>
      <c r="V503" s="138"/>
      <c r="W503" s="138"/>
    </row>
    <row r="504">
      <c r="A504" s="31"/>
      <c r="B504" s="31"/>
      <c r="C504" s="79"/>
      <c r="D504" s="79"/>
      <c r="E504" s="79"/>
      <c r="F504" s="31"/>
      <c r="G504" s="31"/>
      <c r="H504" s="31"/>
      <c r="I504" s="31"/>
      <c r="J504" s="31"/>
      <c r="K504" s="31"/>
      <c r="L504" s="31"/>
      <c r="M504" s="31"/>
      <c r="N504" s="31"/>
      <c r="U504" s="138"/>
      <c r="V504" s="138"/>
      <c r="W504" s="138"/>
    </row>
    <row r="505">
      <c r="A505" s="31"/>
      <c r="B505" s="31"/>
      <c r="C505" s="79"/>
      <c r="D505" s="79"/>
      <c r="E505" s="79"/>
      <c r="F505" s="31"/>
      <c r="G505" s="31"/>
      <c r="H505" s="31"/>
      <c r="I505" s="31"/>
      <c r="J505" s="31"/>
      <c r="K505" s="31"/>
      <c r="L505" s="31"/>
      <c r="M505" s="31"/>
      <c r="N505" s="31"/>
      <c r="U505" s="138"/>
      <c r="V505" s="138"/>
      <c r="W505" s="138"/>
    </row>
    <row r="506">
      <c r="A506" s="31"/>
      <c r="B506" s="31"/>
      <c r="C506" s="79"/>
      <c r="D506" s="79"/>
      <c r="E506" s="79"/>
      <c r="F506" s="31"/>
      <c r="G506" s="31"/>
      <c r="H506" s="31"/>
      <c r="I506" s="31"/>
      <c r="J506" s="31"/>
      <c r="K506" s="31"/>
      <c r="L506" s="31"/>
      <c r="M506" s="31"/>
      <c r="N506" s="31"/>
      <c r="U506" s="138"/>
      <c r="V506" s="138"/>
      <c r="W506" s="138"/>
    </row>
    <row r="507">
      <c r="A507" s="31"/>
      <c r="B507" s="31"/>
      <c r="C507" s="79"/>
      <c r="D507" s="79"/>
      <c r="E507" s="79"/>
      <c r="F507" s="31"/>
      <c r="G507" s="31"/>
      <c r="H507" s="31"/>
      <c r="I507" s="31"/>
      <c r="J507" s="31"/>
      <c r="K507" s="31"/>
      <c r="L507" s="31"/>
      <c r="M507" s="31"/>
      <c r="N507" s="31"/>
      <c r="U507" s="138"/>
      <c r="V507" s="138"/>
      <c r="W507" s="138"/>
    </row>
    <row r="508">
      <c r="A508" s="31"/>
      <c r="B508" s="31"/>
      <c r="C508" s="79"/>
      <c r="D508" s="79"/>
      <c r="E508" s="79"/>
      <c r="F508" s="31"/>
      <c r="G508" s="31"/>
      <c r="H508" s="31"/>
      <c r="I508" s="31"/>
      <c r="J508" s="31"/>
      <c r="K508" s="31"/>
      <c r="L508" s="31"/>
      <c r="M508" s="31"/>
      <c r="N508" s="31"/>
      <c r="U508" s="138"/>
      <c r="V508" s="138"/>
      <c r="W508" s="138"/>
    </row>
    <row r="509">
      <c r="A509" s="31"/>
      <c r="B509" s="31"/>
      <c r="C509" s="79"/>
      <c r="D509" s="79"/>
      <c r="E509" s="79"/>
      <c r="F509" s="31"/>
      <c r="G509" s="31"/>
      <c r="H509" s="31"/>
      <c r="I509" s="31"/>
      <c r="J509" s="31"/>
      <c r="K509" s="31"/>
      <c r="L509" s="31"/>
      <c r="M509" s="31"/>
      <c r="N509" s="31"/>
      <c r="U509" s="138"/>
      <c r="V509" s="138"/>
      <c r="W509" s="138"/>
    </row>
    <row r="510">
      <c r="A510" s="31"/>
      <c r="B510" s="31"/>
      <c r="C510" s="79"/>
      <c r="D510" s="79"/>
      <c r="E510" s="79"/>
      <c r="F510" s="31"/>
      <c r="G510" s="31"/>
      <c r="H510" s="31"/>
      <c r="I510" s="31"/>
      <c r="J510" s="31"/>
      <c r="K510" s="31"/>
      <c r="L510" s="31"/>
      <c r="M510" s="31"/>
      <c r="N510" s="31"/>
      <c r="U510" s="138"/>
      <c r="V510" s="138"/>
      <c r="W510" s="138"/>
    </row>
    <row r="511">
      <c r="A511" s="31"/>
      <c r="B511" s="31"/>
      <c r="C511" s="79"/>
      <c r="D511" s="79"/>
      <c r="E511" s="79"/>
      <c r="F511" s="31"/>
      <c r="G511" s="31"/>
      <c r="H511" s="31"/>
      <c r="I511" s="31"/>
      <c r="J511" s="31"/>
      <c r="K511" s="31"/>
      <c r="L511" s="31"/>
      <c r="M511" s="31"/>
      <c r="N511" s="31"/>
      <c r="U511" s="138"/>
      <c r="V511" s="138"/>
      <c r="W511" s="138"/>
    </row>
    <row r="512">
      <c r="A512" s="31"/>
      <c r="B512" s="31"/>
      <c r="C512" s="79"/>
      <c r="D512" s="79"/>
      <c r="E512" s="79"/>
      <c r="F512" s="31"/>
      <c r="G512" s="31"/>
      <c r="H512" s="31"/>
      <c r="I512" s="31"/>
      <c r="J512" s="31"/>
      <c r="K512" s="31"/>
      <c r="L512" s="31"/>
      <c r="M512" s="31"/>
      <c r="N512" s="31"/>
      <c r="U512" s="138"/>
      <c r="V512" s="138"/>
      <c r="W512" s="138"/>
    </row>
    <row r="513">
      <c r="A513" s="31"/>
      <c r="B513" s="31"/>
      <c r="C513" s="79"/>
      <c r="D513" s="79"/>
      <c r="E513" s="79"/>
      <c r="F513" s="31"/>
      <c r="G513" s="31"/>
      <c r="H513" s="31"/>
      <c r="I513" s="31"/>
      <c r="J513" s="31"/>
      <c r="K513" s="31"/>
      <c r="L513" s="31"/>
      <c r="M513" s="31"/>
      <c r="N513" s="31"/>
      <c r="U513" s="138"/>
      <c r="V513" s="138"/>
      <c r="W513" s="138"/>
    </row>
    <row r="514">
      <c r="A514" s="31"/>
      <c r="B514" s="31"/>
      <c r="C514" s="79"/>
      <c r="D514" s="79"/>
      <c r="E514" s="79"/>
      <c r="F514" s="31"/>
      <c r="G514" s="31"/>
      <c r="H514" s="31"/>
      <c r="I514" s="31"/>
      <c r="J514" s="31"/>
      <c r="K514" s="31"/>
      <c r="L514" s="31"/>
      <c r="M514" s="31"/>
      <c r="N514" s="31"/>
      <c r="U514" s="138"/>
      <c r="V514" s="138"/>
      <c r="W514" s="138"/>
    </row>
    <row r="515">
      <c r="A515" s="31"/>
      <c r="B515" s="31"/>
      <c r="C515" s="79"/>
      <c r="D515" s="79"/>
      <c r="E515" s="79"/>
      <c r="F515" s="31"/>
      <c r="G515" s="31"/>
      <c r="H515" s="31"/>
      <c r="I515" s="31"/>
      <c r="J515" s="31"/>
      <c r="K515" s="31"/>
      <c r="L515" s="31"/>
      <c r="M515" s="31"/>
      <c r="N515" s="31"/>
      <c r="U515" s="138"/>
      <c r="V515" s="138"/>
      <c r="W515" s="138"/>
    </row>
    <row r="516">
      <c r="A516" s="31"/>
      <c r="B516" s="31"/>
      <c r="C516" s="79"/>
      <c r="D516" s="79"/>
      <c r="E516" s="79"/>
      <c r="F516" s="31"/>
      <c r="G516" s="31"/>
      <c r="H516" s="31"/>
      <c r="I516" s="31"/>
      <c r="J516" s="31"/>
      <c r="K516" s="31"/>
      <c r="L516" s="31"/>
      <c r="M516" s="31"/>
      <c r="N516" s="31"/>
      <c r="U516" s="138"/>
      <c r="V516" s="138"/>
      <c r="W516" s="138"/>
    </row>
    <row r="517">
      <c r="A517" s="31"/>
      <c r="B517" s="31"/>
      <c r="C517" s="79"/>
      <c r="D517" s="79"/>
      <c r="E517" s="79"/>
      <c r="F517" s="31"/>
      <c r="G517" s="31"/>
      <c r="H517" s="31"/>
      <c r="I517" s="31"/>
      <c r="J517" s="31"/>
      <c r="K517" s="31"/>
      <c r="L517" s="31"/>
      <c r="M517" s="31"/>
      <c r="N517" s="31"/>
      <c r="U517" s="138"/>
      <c r="V517" s="138"/>
      <c r="W517" s="138"/>
    </row>
    <row r="518">
      <c r="A518" s="31"/>
      <c r="B518" s="31"/>
      <c r="C518" s="79"/>
      <c r="D518" s="79"/>
      <c r="E518" s="79"/>
      <c r="F518" s="31"/>
      <c r="G518" s="31"/>
      <c r="H518" s="31"/>
      <c r="I518" s="31"/>
      <c r="J518" s="31"/>
      <c r="K518" s="31"/>
      <c r="L518" s="31"/>
      <c r="M518" s="31"/>
      <c r="N518" s="31"/>
      <c r="U518" s="138"/>
      <c r="V518" s="138"/>
      <c r="W518" s="138"/>
    </row>
    <row r="519">
      <c r="A519" s="31"/>
      <c r="B519" s="31"/>
      <c r="C519" s="79"/>
      <c r="D519" s="79"/>
      <c r="E519" s="79"/>
      <c r="F519" s="31"/>
      <c r="G519" s="31"/>
      <c r="H519" s="31"/>
      <c r="I519" s="31"/>
      <c r="J519" s="31"/>
      <c r="K519" s="31"/>
      <c r="L519" s="31"/>
      <c r="M519" s="31"/>
      <c r="N519" s="31"/>
      <c r="U519" s="138"/>
      <c r="V519" s="138"/>
      <c r="W519" s="138"/>
    </row>
    <row r="520">
      <c r="A520" s="31"/>
      <c r="B520" s="31"/>
      <c r="C520" s="79"/>
      <c r="D520" s="79"/>
      <c r="E520" s="79"/>
      <c r="F520" s="31"/>
      <c r="G520" s="31"/>
      <c r="H520" s="31"/>
      <c r="I520" s="31"/>
      <c r="J520" s="31"/>
      <c r="K520" s="31"/>
      <c r="L520" s="31"/>
      <c r="M520" s="31"/>
      <c r="N520" s="31"/>
      <c r="U520" s="138"/>
      <c r="V520" s="138"/>
      <c r="W520" s="138"/>
    </row>
    <row r="521">
      <c r="A521" s="31"/>
      <c r="B521" s="31"/>
      <c r="C521" s="79"/>
      <c r="D521" s="79"/>
      <c r="E521" s="79"/>
      <c r="F521" s="31"/>
      <c r="G521" s="31"/>
      <c r="H521" s="31"/>
      <c r="I521" s="31"/>
      <c r="J521" s="31"/>
      <c r="K521" s="31"/>
      <c r="L521" s="31"/>
      <c r="M521" s="31"/>
      <c r="N521" s="31"/>
      <c r="U521" s="138"/>
      <c r="V521" s="138"/>
      <c r="W521" s="138"/>
    </row>
    <row r="522">
      <c r="A522" s="31"/>
      <c r="B522" s="31"/>
      <c r="C522" s="79"/>
      <c r="D522" s="79"/>
      <c r="E522" s="79"/>
      <c r="F522" s="31"/>
      <c r="G522" s="31"/>
      <c r="H522" s="31"/>
      <c r="I522" s="31"/>
      <c r="J522" s="31"/>
      <c r="K522" s="31"/>
      <c r="L522" s="31"/>
      <c r="M522" s="31"/>
      <c r="N522" s="31"/>
      <c r="U522" s="138"/>
      <c r="V522" s="138"/>
      <c r="W522" s="138"/>
    </row>
    <row r="523">
      <c r="A523" s="31"/>
      <c r="B523" s="31"/>
      <c r="C523" s="79"/>
      <c r="D523" s="79"/>
      <c r="E523" s="79"/>
      <c r="F523" s="31"/>
      <c r="G523" s="31"/>
      <c r="H523" s="31"/>
      <c r="I523" s="31"/>
      <c r="J523" s="31"/>
      <c r="K523" s="31"/>
      <c r="L523" s="31"/>
      <c r="M523" s="31"/>
      <c r="N523" s="31"/>
      <c r="U523" s="138"/>
      <c r="V523" s="138"/>
      <c r="W523" s="138"/>
    </row>
    <row r="524">
      <c r="A524" s="31"/>
      <c r="B524" s="31"/>
      <c r="C524" s="79"/>
      <c r="D524" s="79"/>
      <c r="E524" s="79"/>
      <c r="F524" s="31"/>
      <c r="G524" s="31"/>
      <c r="H524" s="31"/>
      <c r="I524" s="31"/>
      <c r="J524" s="31"/>
      <c r="K524" s="31"/>
      <c r="L524" s="31"/>
      <c r="M524" s="31"/>
      <c r="N524" s="31"/>
      <c r="U524" s="138"/>
      <c r="V524" s="138"/>
      <c r="W524" s="138"/>
    </row>
    <row r="525">
      <c r="A525" s="31"/>
      <c r="B525" s="31"/>
      <c r="C525" s="79"/>
      <c r="D525" s="79"/>
      <c r="E525" s="79"/>
      <c r="F525" s="31"/>
      <c r="G525" s="31"/>
      <c r="H525" s="31"/>
      <c r="I525" s="31"/>
      <c r="J525" s="31"/>
      <c r="K525" s="31"/>
      <c r="L525" s="31"/>
      <c r="M525" s="31"/>
      <c r="N525" s="31"/>
      <c r="U525" s="138"/>
      <c r="V525" s="138"/>
      <c r="W525" s="138"/>
    </row>
    <row r="526">
      <c r="A526" s="31"/>
      <c r="B526" s="31"/>
      <c r="C526" s="79"/>
      <c r="D526" s="79"/>
      <c r="E526" s="79"/>
      <c r="F526" s="31"/>
      <c r="G526" s="31"/>
      <c r="H526" s="31"/>
      <c r="I526" s="31"/>
      <c r="J526" s="31"/>
      <c r="K526" s="31"/>
      <c r="L526" s="31"/>
      <c r="M526" s="31"/>
      <c r="N526" s="31"/>
      <c r="U526" s="138"/>
      <c r="V526" s="138"/>
      <c r="W526" s="138"/>
    </row>
    <row r="527">
      <c r="A527" s="31"/>
      <c r="B527" s="31"/>
      <c r="C527" s="79"/>
      <c r="D527" s="79"/>
      <c r="E527" s="79"/>
      <c r="F527" s="31"/>
      <c r="G527" s="31"/>
      <c r="H527" s="31"/>
      <c r="I527" s="31"/>
      <c r="J527" s="31"/>
      <c r="K527" s="31"/>
      <c r="L527" s="31"/>
      <c r="M527" s="31"/>
      <c r="N527" s="31"/>
      <c r="U527" s="138"/>
      <c r="V527" s="138"/>
      <c r="W527" s="138"/>
    </row>
    <row r="528">
      <c r="A528" s="31"/>
      <c r="B528" s="31"/>
      <c r="C528" s="79"/>
      <c r="D528" s="79"/>
      <c r="E528" s="79"/>
      <c r="F528" s="31"/>
      <c r="G528" s="31"/>
      <c r="H528" s="31"/>
      <c r="I528" s="31"/>
      <c r="J528" s="31"/>
      <c r="K528" s="31"/>
      <c r="L528" s="31"/>
      <c r="M528" s="31"/>
      <c r="N528" s="31"/>
      <c r="U528" s="138"/>
      <c r="V528" s="138"/>
      <c r="W528" s="138"/>
    </row>
    <row r="529">
      <c r="A529" s="31"/>
      <c r="B529" s="31"/>
      <c r="C529" s="79"/>
      <c r="D529" s="79"/>
      <c r="E529" s="79"/>
      <c r="F529" s="31"/>
      <c r="G529" s="31"/>
      <c r="H529" s="31"/>
      <c r="I529" s="31"/>
      <c r="J529" s="31"/>
      <c r="K529" s="31"/>
      <c r="L529" s="31"/>
      <c r="M529" s="31"/>
      <c r="N529" s="31"/>
      <c r="U529" s="138"/>
      <c r="V529" s="138"/>
      <c r="W529" s="138"/>
    </row>
    <row r="530">
      <c r="A530" s="31"/>
      <c r="B530" s="31"/>
      <c r="C530" s="79"/>
      <c r="D530" s="79"/>
      <c r="E530" s="79"/>
      <c r="F530" s="31"/>
      <c r="G530" s="31"/>
      <c r="H530" s="31"/>
      <c r="I530" s="31"/>
      <c r="J530" s="31"/>
      <c r="K530" s="31"/>
      <c r="L530" s="31"/>
      <c r="M530" s="31"/>
      <c r="N530" s="31"/>
      <c r="U530" s="138"/>
      <c r="V530" s="138"/>
      <c r="W530" s="138"/>
    </row>
    <row r="531">
      <c r="A531" s="31"/>
      <c r="B531" s="31"/>
      <c r="C531" s="79"/>
      <c r="D531" s="79"/>
      <c r="E531" s="79"/>
      <c r="F531" s="31"/>
      <c r="G531" s="31"/>
      <c r="H531" s="31"/>
      <c r="I531" s="31"/>
      <c r="J531" s="31"/>
      <c r="K531" s="31"/>
      <c r="L531" s="31"/>
      <c r="M531" s="31"/>
      <c r="N531" s="31"/>
      <c r="U531" s="138"/>
      <c r="V531" s="138"/>
      <c r="W531" s="138"/>
    </row>
    <row r="532">
      <c r="A532" s="31"/>
      <c r="B532" s="31"/>
      <c r="C532" s="79"/>
      <c r="D532" s="79"/>
      <c r="E532" s="79"/>
      <c r="F532" s="31"/>
      <c r="G532" s="31"/>
      <c r="H532" s="31"/>
      <c r="I532" s="31"/>
      <c r="J532" s="31"/>
      <c r="K532" s="31"/>
      <c r="L532" s="31"/>
      <c r="M532" s="31"/>
      <c r="N532" s="31"/>
      <c r="U532" s="138"/>
      <c r="V532" s="138"/>
      <c r="W532" s="138"/>
    </row>
    <row r="533">
      <c r="A533" s="31"/>
      <c r="B533" s="31"/>
      <c r="C533" s="79"/>
      <c r="D533" s="79"/>
      <c r="E533" s="79"/>
      <c r="F533" s="31"/>
      <c r="G533" s="31"/>
      <c r="H533" s="31"/>
      <c r="I533" s="31"/>
      <c r="J533" s="31"/>
      <c r="K533" s="31"/>
      <c r="L533" s="31"/>
      <c r="M533" s="31"/>
      <c r="N533" s="31"/>
      <c r="U533" s="138"/>
      <c r="V533" s="138"/>
      <c r="W533" s="138"/>
    </row>
    <row r="534">
      <c r="A534" s="31"/>
      <c r="B534" s="31"/>
      <c r="C534" s="79"/>
      <c r="D534" s="79"/>
      <c r="E534" s="79"/>
      <c r="F534" s="31"/>
      <c r="G534" s="31"/>
      <c r="H534" s="31"/>
      <c r="I534" s="31"/>
      <c r="J534" s="31"/>
      <c r="K534" s="31"/>
      <c r="L534" s="31"/>
      <c r="M534" s="31"/>
      <c r="N534" s="31"/>
      <c r="U534" s="138"/>
      <c r="V534" s="138"/>
      <c r="W534" s="138"/>
    </row>
    <row r="535">
      <c r="A535" s="31"/>
      <c r="B535" s="31"/>
      <c r="C535" s="79"/>
      <c r="D535" s="79"/>
      <c r="E535" s="79"/>
      <c r="F535" s="31"/>
      <c r="G535" s="31"/>
      <c r="H535" s="31"/>
      <c r="I535" s="31"/>
      <c r="J535" s="31"/>
      <c r="K535" s="31"/>
      <c r="L535" s="31"/>
      <c r="M535" s="31"/>
      <c r="N535" s="31"/>
      <c r="U535" s="138"/>
      <c r="V535" s="138"/>
      <c r="W535" s="138"/>
    </row>
    <row r="536">
      <c r="A536" s="31"/>
      <c r="B536" s="31"/>
      <c r="C536" s="79"/>
      <c r="D536" s="79"/>
      <c r="E536" s="79"/>
      <c r="F536" s="31"/>
      <c r="G536" s="31"/>
      <c r="H536" s="31"/>
      <c r="I536" s="31"/>
      <c r="J536" s="31"/>
      <c r="K536" s="31"/>
      <c r="L536" s="31"/>
      <c r="M536" s="31"/>
      <c r="N536" s="31"/>
      <c r="U536" s="138"/>
      <c r="V536" s="138"/>
      <c r="W536" s="138"/>
    </row>
    <row r="537">
      <c r="A537" s="31"/>
      <c r="B537" s="31"/>
      <c r="C537" s="79"/>
      <c r="D537" s="79"/>
      <c r="E537" s="79"/>
      <c r="F537" s="31"/>
      <c r="G537" s="31"/>
      <c r="H537" s="31"/>
      <c r="I537" s="31"/>
      <c r="J537" s="31"/>
      <c r="K537" s="31"/>
      <c r="L537" s="31"/>
      <c r="M537" s="31"/>
      <c r="N537" s="31"/>
      <c r="U537" s="138"/>
      <c r="V537" s="138"/>
      <c r="W537" s="138"/>
    </row>
    <row r="538">
      <c r="A538" s="31"/>
      <c r="B538" s="31"/>
      <c r="C538" s="79"/>
      <c r="D538" s="79"/>
      <c r="E538" s="79"/>
      <c r="F538" s="31"/>
      <c r="G538" s="31"/>
      <c r="H538" s="31"/>
      <c r="I538" s="31"/>
      <c r="J538" s="31"/>
      <c r="K538" s="31"/>
      <c r="L538" s="31"/>
      <c r="M538" s="31"/>
      <c r="N538" s="31"/>
      <c r="U538" s="138"/>
      <c r="V538" s="138"/>
      <c r="W538" s="138"/>
    </row>
    <row r="539">
      <c r="A539" s="31"/>
      <c r="B539" s="31"/>
      <c r="C539" s="79"/>
      <c r="D539" s="79"/>
      <c r="E539" s="79"/>
      <c r="F539" s="31"/>
      <c r="G539" s="31"/>
      <c r="H539" s="31"/>
      <c r="I539" s="31"/>
      <c r="J539" s="31"/>
      <c r="K539" s="31"/>
      <c r="L539" s="31"/>
      <c r="M539" s="31"/>
      <c r="N539" s="31"/>
      <c r="U539" s="138"/>
      <c r="V539" s="138"/>
      <c r="W539" s="138"/>
    </row>
    <row r="540">
      <c r="A540" s="31"/>
      <c r="B540" s="31"/>
      <c r="C540" s="79"/>
      <c r="D540" s="79"/>
      <c r="E540" s="79"/>
      <c r="F540" s="31"/>
      <c r="G540" s="31"/>
      <c r="H540" s="31"/>
      <c r="I540" s="31"/>
      <c r="J540" s="31"/>
      <c r="K540" s="31"/>
      <c r="L540" s="31"/>
      <c r="M540" s="31"/>
      <c r="N540" s="31"/>
      <c r="U540" s="138"/>
      <c r="V540" s="138"/>
      <c r="W540" s="138"/>
    </row>
    <row r="541">
      <c r="A541" s="31"/>
      <c r="B541" s="31"/>
      <c r="C541" s="79"/>
      <c r="D541" s="79"/>
      <c r="E541" s="79"/>
      <c r="F541" s="31"/>
      <c r="G541" s="31"/>
      <c r="H541" s="31"/>
      <c r="I541" s="31"/>
      <c r="J541" s="31"/>
      <c r="K541" s="31"/>
      <c r="L541" s="31"/>
      <c r="M541" s="31"/>
      <c r="N541" s="31"/>
      <c r="U541" s="138"/>
      <c r="V541" s="138"/>
      <c r="W541" s="138"/>
    </row>
    <row r="542">
      <c r="A542" s="31"/>
      <c r="B542" s="31"/>
      <c r="C542" s="79"/>
      <c r="D542" s="79"/>
      <c r="E542" s="79"/>
      <c r="F542" s="31"/>
      <c r="G542" s="31"/>
      <c r="H542" s="31"/>
      <c r="I542" s="31"/>
      <c r="J542" s="31"/>
      <c r="K542" s="31"/>
      <c r="L542" s="31"/>
      <c r="M542" s="31"/>
      <c r="N542" s="31"/>
      <c r="U542" s="138"/>
      <c r="V542" s="138"/>
      <c r="W542" s="138"/>
    </row>
    <row r="543">
      <c r="A543" s="31"/>
      <c r="B543" s="31"/>
      <c r="C543" s="79"/>
      <c r="D543" s="79"/>
      <c r="E543" s="79"/>
      <c r="F543" s="31"/>
      <c r="G543" s="31"/>
      <c r="H543" s="31"/>
      <c r="I543" s="31"/>
      <c r="J543" s="31"/>
      <c r="K543" s="31"/>
      <c r="L543" s="31"/>
      <c r="M543" s="31"/>
      <c r="N543" s="31"/>
      <c r="U543" s="138"/>
      <c r="V543" s="138"/>
      <c r="W543" s="138"/>
    </row>
    <row r="544">
      <c r="A544" s="31"/>
      <c r="B544" s="31"/>
      <c r="C544" s="79"/>
      <c r="D544" s="79"/>
      <c r="E544" s="79"/>
      <c r="F544" s="31"/>
      <c r="G544" s="31"/>
      <c r="H544" s="31"/>
      <c r="I544" s="31"/>
      <c r="J544" s="31"/>
      <c r="K544" s="31"/>
      <c r="L544" s="31"/>
      <c r="M544" s="31"/>
      <c r="N544" s="31"/>
      <c r="U544" s="138"/>
      <c r="V544" s="138"/>
      <c r="W544" s="138"/>
    </row>
    <row r="545">
      <c r="A545" s="31"/>
      <c r="B545" s="31"/>
      <c r="C545" s="79"/>
      <c r="D545" s="79"/>
      <c r="E545" s="79"/>
      <c r="F545" s="31"/>
      <c r="G545" s="31"/>
      <c r="H545" s="31"/>
      <c r="I545" s="31"/>
      <c r="J545" s="31"/>
      <c r="K545" s="31"/>
      <c r="L545" s="31"/>
      <c r="M545" s="31"/>
      <c r="N545" s="31"/>
      <c r="U545" s="138"/>
      <c r="V545" s="138"/>
      <c r="W545" s="138"/>
    </row>
    <row r="546">
      <c r="A546" s="31"/>
      <c r="B546" s="31"/>
      <c r="C546" s="79"/>
      <c r="D546" s="79"/>
      <c r="E546" s="79"/>
      <c r="F546" s="31"/>
      <c r="G546" s="31"/>
      <c r="H546" s="31"/>
      <c r="I546" s="31"/>
      <c r="J546" s="31"/>
      <c r="K546" s="31"/>
      <c r="L546" s="31"/>
      <c r="M546" s="31"/>
      <c r="N546" s="31"/>
      <c r="U546" s="138"/>
      <c r="V546" s="138"/>
      <c r="W546" s="138"/>
    </row>
    <row r="547">
      <c r="A547" s="31"/>
      <c r="B547" s="31"/>
      <c r="C547" s="79"/>
      <c r="D547" s="79"/>
      <c r="E547" s="79"/>
      <c r="F547" s="31"/>
      <c r="G547" s="31"/>
      <c r="H547" s="31"/>
      <c r="I547" s="31"/>
      <c r="J547" s="31"/>
      <c r="K547" s="31"/>
      <c r="L547" s="31"/>
      <c r="M547" s="31"/>
      <c r="N547" s="31"/>
      <c r="U547" s="138"/>
      <c r="V547" s="138"/>
      <c r="W547" s="138"/>
    </row>
    <row r="548">
      <c r="A548" s="31"/>
      <c r="B548" s="31"/>
      <c r="C548" s="79"/>
      <c r="D548" s="79"/>
      <c r="E548" s="79"/>
      <c r="F548" s="31"/>
      <c r="G548" s="31"/>
      <c r="H548" s="31"/>
      <c r="I548" s="31"/>
      <c r="J548" s="31"/>
      <c r="K548" s="31"/>
      <c r="L548" s="31"/>
      <c r="M548" s="31"/>
      <c r="N548" s="31"/>
      <c r="U548" s="138"/>
      <c r="V548" s="138"/>
      <c r="W548" s="138"/>
    </row>
    <row r="549">
      <c r="A549" s="31"/>
      <c r="B549" s="31"/>
      <c r="C549" s="79"/>
      <c r="D549" s="79"/>
      <c r="E549" s="79"/>
      <c r="F549" s="31"/>
      <c r="G549" s="31"/>
      <c r="H549" s="31"/>
      <c r="I549" s="31"/>
      <c r="J549" s="31"/>
      <c r="K549" s="31"/>
      <c r="L549" s="31"/>
      <c r="M549" s="31"/>
      <c r="N549" s="31"/>
      <c r="U549" s="138"/>
      <c r="V549" s="138"/>
      <c r="W549" s="138"/>
    </row>
    <row r="550">
      <c r="A550" s="31"/>
      <c r="B550" s="31"/>
      <c r="C550" s="79"/>
      <c r="D550" s="79"/>
      <c r="E550" s="79"/>
      <c r="F550" s="31"/>
      <c r="G550" s="31"/>
      <c r="H550" s="31"/>
      <c r="I550" s="31"/>
      <c r="J550" s="31"/>
      <c r="K550" s="31"/>
      <c r="L550" s="31"/>
      <c r="M550" s="31"/>
      <c r="N550" s="31"/>
      <c r="U550" s="138"/>
      <c r="V550" s="138"/>
      <c r="W550" s="138"/>
    </row>
    <row r="551">
      <c r="A551" s="31"/>
      <c r="B551" s="31"/>
      <c r="C551" s="79"/>
      <c r="D551" s="79"/>
      <c r="E551" s="79"/>
      <c r="F551" s="31"/>
      <c r="G551" s="31"/>
      <c r="H551" s="31"/>
      <c r="I551" s="31"/>
      <c r="J551" s="31"/>
      <c r="K551" s="31"/>
      <c r="L551" s="31"/>
      <c r="M551" s="31"/>
      <c r="N551" s="31"/>
      <c r="U551" s="138"/>
      <c r="V551" s="138"/>
      <c r="W551" s="138"/>
    </row>
    <row r="552">
      <c r="A552" s="31"/>
      <c r="B552" s="31"/>
      <c r="C552" s="79"/>
      <c r="D552" s="79"/>
      <c r="E552" s="79"/>
      <c r="F552" s="31"/>
      <c r="G552" s="31"/>
      <c r="H552" s="31"/>
      <c r="I552" s="31"/>
      <c r="J552" s="31"/>
      <c r="K552" s="31"/>
      <c r="L552" s="31"/>
      <c r="M552" s="31"/>
      <c r="N552" s="31"/>
      <c r="U552" s="138"/>
      <c r="V552" s="138"/>
      <c r="W552" s="138"/>
    </row>
    <row r="553">
      <c r="A553" s="31"/>
      <c r="B553" s="31"/>
      <c r="C553" s="79"/>
      <c r="D553" s="79"/>
      <c r="E553" s="79"/>
      <c r="F553" s="31"/>
      <c r="G553" s="31"/>
      <c r="H553" s="31"/>
      <c r="I553" s="31"/>
      <c r="J553" s="31"/>
      <c r="K553" s="31"/>
      <c r="L553" s="31"/>
      <c r="M553" s="31"/>
      <c r="N553" s="31"/>
      <c r="U553" s="138"/>
      <c r="V553" s="138"/>
      <c r="W553" s="138"/>
    </row>
    <row r="554">
      <c r="A554" s="31"/>
      <c r="B554" s="31"/>
      <c r="C554" s="79"/>
      <c r="D554" s="79"/>
      <c r="E554" s="79"/>
      <c r="F554" s="31"/>
      <c r="G554" s="31"/>
      <c r="H554" s="31"/>
      <c r="I554" s="31"/>
      <c r="J554" s="31"/>
      <c r="K554" s="31"/>
      <c r="L554" s="31"/>
      <c r="M554" s="31"/>
      <c r="N554" s="31"/>
      <c r="U554" s="138"/>
      <c r="V554" s="138"/>
      <c r="W554" s="138"/>
    </row>
    <row r="555">
      <c r="A555" s="31"/>
      <c r="B555" s="31"/>
      <c r="C555" s="79"/>
      <c r="D555" s="79"/>
      <c r="E555" s="79"/>
      <c r="F555" s="31"/>
      <c r="G555" s="31"/>
      <c r="H555" s="31"/>
      <c r="I555" s="31"/>
      <c r="J555" s="31"/>
      <c r="K555" s="31"/>
      <c r="L555" s="31"/>
      <c r="M555" s="31"/>
      <c r="N555" s="31"/>
      <c r="U555" s="138"/>
      <c r="V555" s="138"/>
      <c r="W555" s="138"/>
    </row>
    <row r="556">
      <c r="A556" s="31"/>
      <c r="B556" s="31"/>
      <c r="C556" s="79"/>
      <c r="D556" s="79"/>
      <c r="E556" s="79"/>
      <c r="F556" s="31"/>
      <c r="G556" s="31"/>
      <c r="H556" s="31"/>
      <c r="I556" s="31"/>
      <c r="J556" s="31"/>
      <c r="K556" s="31"/>
      <c r="L556" s="31"/>
      <c r="M556" s="31"/>
      <c r="N556" s="31"/>
      <c r="U556" s="138"/>
      <c r="V556" s="138"/>
      <c r="W556" s="138"/>
    </row>
    <row r="557">
      <c r="A557" s="31"/>
      <c r="B557" s="31"/>
      <c r="C557" s="79"/>
      <c r="D557" s="79"/>
      <c r="E557" s="79"/>
      <c r="F557" s="31"/>
      <c r="G557" s="31"/>
      <c r="H557" s="31"/>
      <c r="I557" s="31"/>
      <c r="J557" s="31"/>
      <c r="K557" s="31"/>
      <c r="L557" s="31"/>
      <c r="M557" s="31"/>
      <c r="N557" s="31"/>
      <c r="U557" s="138"/>
      <c r="V557" s="138"/>
      <c r="W557" s="138"/>
    </row>
    <row r="558">
      <c r="A558" s="31"/>
      <c r="B558" s="31"/>
      <c r="C558" s="79"/>
      <c r="D558" s="79"/>
      <c r="E558" s="79"/>
      <c r="F558" s="31"/>
      <c r="G558" s="31"/>
      <c r="H558" s="31"/>
      <c r="I558" s="31"/>
      <c r="J558" s="31"/>
      <c r="K558" s="31"/>
      <c r="L558" s="31"/>
      <c r="M558" s="31"/>
      <c r="N558" s="31"/>
      <c r="U558" s="138"/>
      <c r="V558" s="138"/>
      <c r="W558" s="138"/>
    </row>
    <row r="559">
      <c r="A559" s="31"/>
      <c r="B559" s="31"/>
      <c r="C559" s="79"/>
      <c r="D559" s="79"/>
      <c r="E559" s="79"/>
      <c r="F559" s="31"/>
      <c r="G559" s="31"/>
      <c r="H559" s="31"/>
      <c r="I559" s="31"/>
      <c r="J559" s="31"/>
      <c r="K559" s="31"/>
      <c r="L559" s="31"/>
      <c r="M559" s="31"/>
      <c r="N559" s="31"/>
      <c r="U559" s="138"/>
      <c r="V559" s="138"/>
      <c r="W559" s="138"/>
    </row>
    <row r="560">
      <c r="A560" s="31"/>
      <c r="B560" s="31"/>
      <c r="C560" s="79"/>
      <c r="D560" s="79"/>
      <c r="E560" s="79"/>
      <c r="F560" s="31"/>
      <c r="G560" s="31"/>
      <c r="H560" s="31"/>
      <c r="I560" s="31"/>
      <c r="J560" s="31"/>
      <c r="K560" s="31"/>
      <c r="L560" s="31"/>
      <c r="M560" s="31"/>
      <c r="N560" s="31"/>
      <c r="U560" s="138"/>
      <c r="V560" s="138"/>
      <c r="W560" s="138"/>
    </row>
    <row r="561">
      <c r="A561" s="31"/>
      <c r="B561" s="31"/>
      <c r="C561" s="79"/>
      <c r="D561" s="79"/>
      <c r="E561" s="79"/>
      <c r="F561" s="31"/>
      <c r="G561" s="31"/>
      <c r="H561" s="31"/>
      <c r="I561" s="31"/>
      <c r="J561" s="31"/>
      <c r="K561" s="31"/>
      <c r="L561" s="31"/>
      <c r="M561" s="31"/>
      <c r="N561" s="31"/>
      <c r="U561" s="138"/>
      <c r="V561" s="138"/>
      <c r="W561" s="138"/>
    </row>
    <row r="562">
      <c r="A562" s="31"/>
      <c r="B562" s="31"/>
      <c r="C562" s="79"/>
      <c r="D562" s="79"/>
      <c r="E562" s="79"/>
      <c r="F562" s="31"/>
      <c r="G562" s="31"/>
      <c r="H562" s="31"/>
      <c r="I562" s="31"/>
      <c r="J562" s="31"/>
      <c r="K562" s="31"/>
      <c r="L562" s="31"/>
      <c r="M562" s="31"/>
      <c r="N562" s="31"/>
      <c r="U562" s="138"/>
      <c r="V562" s="138"/>
      <c r="W562" s="138"/>
    </row>
    <row r="563">
      <c r="A563" s="31"/>
      <c r="B563" s="31"/>
      <c r="C563" s="79"/>
      <c r="D563" s="79"/>
      <c r="E563" s="79"/>
      <c r="F563" s="31"/>
      <c r="G563" s="31"/>
      <c r="H563" s="31"/>
      <c r="I563" s="31"/>
      <c r="J563" s="31"/>
      <c r="K563" s="31"/>
      <c r="L563" s="31"/>
      <c r="M563" s="31"/>
      <c r="N563" s="31"/>
      <c r="U563" s="138"/>
      <c r="V563" s="138"/>
      <c r="W563" s="138"/>
    </row>
    <row r="564">
      <c r="A564" s="31"/>
      <c r="B564" s="31"/>
      <c r="C564" s="79"/>
      <c r="D564" s="79"/>
      <c r="E564" s="79"/>
      <c r="F564" s="31"/>
      <c r="G564" s="31"/>
      <c r="H564" s="31"/>
      <c r="I564" s="31"/>
      <c r="J564" s="31"/>
      <c r="K564" s="31"/>
      <c r="L564" s="31"/>
      <c r="M564" s="31"/>
      <c r="N564" s="31"/>
      <c r="U564" s="138"/>
      <c r="V564" s="138"/>
      <c r="W564" s="138"/>
    </row>
    <row r="565">
      <c r="A565" s="31"/>
      <c r="B565" s="31"/>
      <c r="C565" s="79"/>
      <c r="D565" s="79"/>
      <c r="E565" s="79"/>
      <c r="F565" s="31"/>
      <c r="G565" s="31"/>
      <c r="H565" s="31"/>
      <c r="I565" s="31"/>
      <c r="J565" s="31"/>
      <c r="K565" s="31"/>
      <c r="L565" s="31"/>
      <c r="M565" s="31"/>
      <c r="N565" s="31"/>
      <c r="U565" s="138"/>
      <c r="V565" s="138"/>
      <c r="W565" s="138"/>
    </row>
    <row r="566">
      <c r="A566" s="31"/>
      <c r="B566" s="31"/>
      <c r="C566" s="79"/>
      <c r="D566" s="79"/>
      <c r="E566" s="79"/>
      <c r="F566" s="31"/>
      <c r="G566" s="31"/>
      <c r="H566" s="31"/>
      <c r="I566" s="31"/>
      <c r="J566" s="31"/>
      <c r="K566" s="31"/>
      <c r="L566" s="31"/>
      <c r="M566" s="31"/>
      <c r="N566" s="31"/>
      <c r="U566" s="138"/>
      <c r="V566" s="138"/>
      <c r="W566" s="138"/>
    </row>
    <row r="567">
      <c r="A567" s="31"/>
      <c r="B567" s="31"/>
      <c r="C567" s="79"/>
      <c r="D567" s="79"/>
      <c r="E567" s="79"/>
      <c r="F567" s="31"/>
      <c r="G567" s="31"/>
      <c r="H567" s="31"/>
      <c r="I567" s="31"/>
      <c r="J567" s="31"/>
      <c r="K567" s="31"/>
      <c r="L567" s="31"/>
      <c r="M567" s="31"/>
      <c r="N567" s="31"/>
      <c r="U567" s="138"/>
      <c r="V567" s="138"/>
      <c r="W567" s="138"/>
    </row>
    <row r="568">
      <c r="A568" s="31"/>
      <c r="B568" s="31"/>
      <c r="C568" s="79"/>
      <c r="D568" s="79"/>
      <c r="E568" s="79"/>
      <c r="F568" s="31"/>
      <c r="G568" s="31"/>
      <c r="H568" s="31"/>
      <c r="I568" s="31"/>
      <c r="J568" s="31"/>
      <c r="K568" s="31"/>
      <c r="L568" s="31"/>
      <c r="M568" s="31"/>
      <c r="N568" s="31"/>
      <c r="U568" s="138"/>
      <c r="V568" s="138"/>
      <c r="W568" s="138"/>
    </row>
    <row r="569">
      <c r="A569" s="31"/>
      <c r="B569" s="31"/>
      <c r="C569" s="79"/>
      <c r="D569" s="79"/>
      <c r="E569" s="79"/>
      <c r="F569" s="31"/>
      <c r="G569" s="31"/>
      <c r="H569" s="31"/>
      <c r="I569" s="31"/>
      <c r="J569" s="31"/>
      <c r="K569" s="31"/>
      <c r="L569" s="31"/>
      <c r="M569" s="31"/>
      <c r="N569" s="31"/>
      <c r="U569" s="138"/>
      <c r="V569" s="138"/>
      <c r="W569" s="138"/>
    </row>
    <row r="570">
      <c r="A570" s="31"/>
      <c r="B570" s="31"/>
      <c r="C570" s="79"/>
      <c r="D570" s="79"/>
      <c r="E570" s="79"/>
      <c r="F570" s="31"/>
      <c r="G570" s="31"/>
      <c r="H570" s="31"/>
      <c r="I570" s="31"/>
      <c r="J570" s="31"/>
      <c r="K570" s="31"/>
      <c r="L570" s="31"/>
      <c r="M570" s="31"/>
      <c r="N570" s="31"/>
      <c r="U570" s="138"/>
      <c r="V570" s="138"/>
      <c r="W570" s="138"/>
    </row>
    <row r="571">
      <c r="A571" s="31"/>
      <c r="B571" s="31"/>
      <c r="C571" s="79"/>
      <c r="D571" s="79"/>
      <c r="E571" s="79"/>
      <c r="F571" s="31"/>
      <c r="G571" s="31"/>
      <c r="H571" s="31"/>
      <c r="I571" s="31"/>
      <c r="J571" s="31"/>
      <c r="K571" s="31"/>
      <c r="L571" s="31"/>
      <c r="M571" s="31"/>
      <c r="N571" s="31"/>
      <c r="U571" s="138"/>
      <c r="V571" s="138"/>
      <c r="W571" s="138"/>
    </row>
    <row r="572">
      <c r="A572" s="31"/>
      <c r="B572" s="31"/>
      <c r="C572" s="79"/>
      <c r="D572" s="79"/>
      <c r="E572" s="79"/>
      <c r="F572" s="31"/>
      <c r="G572" s="31"/>
      <c r="H572" s="31"/>
      <c r="I572" s="31"/>
      <c r="J572" s="31"/>
      <c r="K572" s="31"/>
      <c r="L572" s="31"/>
      <c r="M572" s="31"/>
      <c r="N572" s="31"/>
      <c r="U572" s="138"/>
      <c r="V572" s="138"/>
      <c r="W572" s="138"/>
    </row>
    <row r="573">
      <c r="A573" s="31"/>
      <c r="B573" s="31"/>
      <c r="C573" s="79"/>
      <c r="D573" s="79"/>
      <c r="E573" s="79"/>
      <c r="F573" s="31"/>
      <c r="G573" s="31"/>
      <c r="H573" s="31"/>
      <c r="I573" s="31"/>
      <c r="J573" s="31"/>
      <c r="K573" s="31"/>
      <c r="L573" s="31"/>
      <c r="M573" s="31"/>
      <c r="N573" s="31"/>
      <c r="U573" s="138"/>
      <c r="V573" s="138"/>
      <c r="W573" s="138"/>
    </row>
    <row r="574">
      <c r="A574" s="31"/>
      <c r="B574" s="31"/>
      <c r="C574" s="79"/>
      <c r="D574" s="79"/>
      <c r="E574" s="79"/>
      <c r="F574" s="31"/>
      <c r="G574" s="31"/>
      <c r="H574" s="31"/>
      <c r="I574" s="31"/>
      <c r="J574" s="31"/>
      <c r="K574" s="31"/>
      <c r="L574" s="31"/>
      <c r="M574" s="31"/>
      <c r="N574" s="31"/>
      <c r="U574" s="138"/>
      <c r="V574" s="138"/>
      <c r="W574" s="138"/>
    </row>
    <row r="575">
      <c r="A575" s="31"/>
      <c r="B575" s="31"/>
      <c r="C575" s="79"/>
      <c r="D575" s="79"/>
      <c r="E575" s="79"/>
      <c r="F575" s="31"/>
      <c r="G575" s="31"/>
      <c r="H575" s="31"/>
      <c r="I575" s="31"/>
      <c r="J575" s="31"/>
      <c r="K575" s="31"/>
      <c r="L575" s="31"/>
      <c r="M575" s="31"/>
      <c r="N575" s="31"/>
      <c r="U575" s="138"/>
      <c r="V575" s="138"/>
      <c r="W575" s="138"/>
    </row>
    <row r="576">
      <c r="A576" s="31"/>
      <c r="B576" s="31"/>
      <c r="C576" s="79"/>
      <c r="D576" s="79"/>
      <c r="E576" s="79"/>
      <c r="F576" s="31"/>
      <c r="G576" s="31"/>
      <c r="H576" s="31"/>
      <c r="I576" s="31"/>
      <c r="J576" s="31"/>
      <c r="K576" s="31"/>
      <c r="L576" s="31"/>
      <c r="M576" s="31"/>
      <c r="N576" s="31"/>
      <c r="U576" s="138"/>
      <c r="V576" s="138"/>
      <c r="W576" s="138"/>
    </row>
    <row r="577">
      <c r="A577" s="31"/>
      <c r="B577" s="31"/>
      <c r="C577" s="79"/>
      <c r="D577" s="79"/>
      <c r="E577" s="79"/>
      <c r="F577" s="31"/>
      <c r="G577" s="31"/>
      <c r="H577" s="31"/>
      <c r="I577" s="31"/>
      <c r="J577" s="31"/>
      <c r="K577" s="31"/>
      <c r="L577" s="31"/>
      <c r="M577" s="31"/>
      <c r="N577" s="31"/>
      <c r="U577" s="138"/>
      <c r="V577" s="138"/>
      <c r="W577" s="138"/>
    </row>
    <row r="578">
      <c r="A578" s="31"/>
      <c r="B578" s="31"/>
      <c r="C578" s="79"/>
      <c r="D578" s="79"/>
      <c r="E578" s="79"/>
      <c r="F578" s="31"/>
      <c r="G578" s="31"/>
      <c r="H578" s="31"/>
      <c r="I578" s="31"/>
      <c r="J578" s="31"/>
      <c r="K578" s="31"/>
      <c r="L578" s="31"/>
      <c r="M578" s="31"/>
      <c r="N578" s="31"/>
      <c r="U578" s="138"/>
      <c r="V578" s="138"/>
      <c r="W578" s="138"/>
    </row>
    <row r="579">
      <c r="A579" s="31"/>
      <c r="B579" s="31"/>
      <c r="C579" s="79"/>
      <c r="D579" s="79"/>
      <c r="E579" s="79"/>
      <c r="F579" s="31"/>
      <c r="G579" s="31"/>
      <c r="H579" s="31"/>
      <c r="I579" s="31"/>
      <c r="J579" s="31"/>
      <c r="K579" s="31"/>
      <c r="L579" s="31"/>
      <c r="M579" s="31"/>
      <c r="N579" s="31"/>
      <c r="U579" s="138"/>
      <c r="V579" s="138"/>
      <c r="W579" s="138"/>
    </row>
    <row r="580">
      <c r="A580" s="31"/>
      <c r="B580" s="31"/>
      <c r="C580" s="79"/>
      <c r="D580" s="79"/>
      <c r="E580" s="79"/>
      <c r="F580" s="31"/>
      <c r="G580" s="31"/>
      <c r="H580" s="31"/>
      <c r="I580" s="31"/>
      <c r="J580" s="31"/>
      <c r="K580" s="31"/>
      <c r="L580" s="31"/>
      <c r="M580" s="31"/>
      <c r="N580" s="31"/>
      <c r="U580" s="138"/>
      <c r="V580" s="138"/>
      <c r="W580" s="138"/>
    </row>
    <row r="581">
      <c r="A581" s="31"/>
      <c r="B581" s="31"/>
      <c r="C581" s="79"/>
      <c r="D581" s="79"/>
      <c r="E581" s="79"/>
      <c r="F581" s="31"/>
      <c r="G581" s="31"/>
      <c r="H581" s="31"/>
      <c r="I581" s="31"/>
      <c r="J581" s="31"/>
      <c r="K581" s="31"/>
      <c r="L581" s="31"/>
      <c r="M581" s="31"/>
      <c r="N581" s="31"/>
      <c r="U581" s="138"/>
      <c r="V581" s="138"/>
      <c r="W581" s="138"/>
    </row>
    <row r="582">
      <c r="A582" s="31"/>
      <c r="B582" s="31"/>
      <c r="C582" s="79"/>
      <c r="D582" s="79"/>
      <c r="E582" s="79"/>
      <c r="F582" s="31"/>
      <c r="G582" s="31"/>
      <c r="H582" s="31"/>
      <c r="I582" s="31"/>
      <c r="J582" s="31"/>
      <c r="K582" s="31"/>
      <c r="L582" s="31"/>
      <c r="M582" s="31"/>
      <c r="N582" s="31"/>
      <c r="U582" s="138"/>
      <c r="V582" s="138"/>
      <c r="W582" s="138"/>
    </row>
    <row r="583">
      <c r="A583" s="31"/>
      <c r="B583" s="31"/>
      <c r="C583" s="79"/>
      <c r="D583" s="79"/>
      <c r="E583" s="79"/>
      <c r="F583" s="31"/>
      <c r="G583" s="31"/>
      <c r="H583" s="31"/>
      <c r="I583" s="31"/>
      <c r="J583" s="31"/>
      <c r="K583" s="31"/>
      <c r="L583" s="31"/>
      <c r="M583" s="31"/>
      <c r="N583" s="31"/>
      <c r="U583" s="138"/>
      <c r="V583" s="138"/>
      <c r="W583" s="138"/>
    </row>
    <row r="584">
      <c r="A584" s="31"/>
      <c r="B584" s="31"/>
      <c r="C584" s="79"/>
      <c r="D584" s="79"/>
      <c r="E584" s="79"/>
      <c r="F584" s="31"/>
      <c r="G584" s="31"/>
      <c r="H584" s="31"/>
      <c r="I584" s="31"/>
      <c r="J584" s="31"/>
      <c r="K584" s="31"/>
      <c r="L584" s="31"/>
      <c r="M584" s="31"/>
      <c r="N584" s="31"/>
      <c r="U584" s="138"/>
      <c r="V584" s="138"/>
      <c r="W584" s="138"/>
    </row>
    <row r="585">
      <c r="A585" s="31"/>
      <c r="B585" s="31"/>
      <c r="C585" s="79"/>
      <c r="D585" s="79"/>
      <c r="E585" s="79"/>
      <c r="F585" s="31"/>
      <c r="G585" s="31"/>
      <c r="H585" s="31"/>
      <c r="I585" s="31"/>
      <c r="J585" s="31"/>
      <c r="K585" s="31"/>
      <c r="L585" s="31"/>
      <c r="M585" s="31"/>
      <c r="N585" s="31"/>
      <c r="U585" s="138"/>
      <c r="V585" s="138"/>
      <c r="W585" s="138"/>
    </row>
    <row r="586">
      <c r="A586" s="31"/>
      <c r="B586" s="31"/>
      <c r="C586" s="79"/>
      <c r="D586" s="79"/>
      <c r="E586" s="79"/>
      <c r="F586" s="31"/>
      <c r="G586" s="31"/>
      <c r="H586" s="31"/>
      <c r="I586" s="31"/>
      <c r="J586" s="31"/>
      <c r="K586" s="31"/>
      <c r="L586" s="31"/>
      <c r="M586" s="31"/>
      <c r="N586" s="31"/>
      <c r="U586" s="138"/>
      <c r="V586" s="138"/>
      <c r="W586" s="138"/>
    </row>
    <row r="587">
      <c r="A587" s="31"/>
      <c r="B587" s="31"/>
      <c r="C587" s="79"/>
      <c r="D587" s="79"/>
      <c r="E587" s="79"/>
      <c r="F587" s="31"/>
      <c r="G587" s="31"/>
      <c r="H587" s="31"/>
      <c r="I587" s="31"/>
      <c r="J587" s="31"/>
      <c r="K587" s="31"/>
      <c r="L587" s="31"/>
      <c r="M587" s="31"/>
      <c r="N587" s="31"/>
      <c r="U587" s="138"/>
      <c r="V587" s="138"/>
      <c r="W587" s="138"/>
    </row>
    <row r="588">
      <c r="A588" s="31"/>
      <c r="B588" s="31"/>
      <c r="C588" s="79"/>
      <c r="D588" s="79"/>
      <c r="E588" s="79"/>
      <c r="F588" s="31"/>
      <c r="G588" s="31"/>
      <c r="H588" s="31"/>
      <c r="I588" s="31"/>
      <c r="J588" s="31"/>
      <c r="K588" s="31"/>
      <c r="L588" s="31"/>
      <c r="M588" s="31"/>
      <c r="N588" s="31"/>
      <c r="U588" s="138"/>
      <c r="V588" s="138"/>
      <c r="W588" s="138"/>
    </row>
    <row r="589">
      <c r="A589" s="31"/>
      <c r="B589" s="31"/>
      <c r="C589" s="79"/>
      <c r="D589" s="79"/>
      <c r="E589" s="79"/>
      <c r="F589" s="31"/>
      <c r="G589" s="31"/>
      <c r="H589" s="31"/>
      <c r="I589" s="31"/>
      <c r="J589" s="31"/>
      <c r="K589" s="31"/>
      <c r="L589" s="31"/>
      <c r="M589" s="31"/>
      <c r="N589" s="31"/>
      <c r="U589" s="138"/>
      <c r="V589" s="138"/>
      <c r="W589" s="138"/>
    </row>
    <row r="590">
      <c r="A590" s="31"/>
      <c r="B590" s="31"/>
      <c r="C590" s="79"/>
      <c r="D590" s="79"/>
      <c r="E590" s="79"/>
      <c r="F590" s="31"/>
      <c r="G590" s="31"/>
      <c r="H590" s="31"/>
      <c r="I590" s="31"/>
      <c r="J590" s="31"/>
      <c r="K590" s="31"/>
      <c r="L590" s="31"/>
      <c r="M590" s="31"/>
      <c r="N590" s="31"/>
      <c r="U590" s="138"/>
      <c r="V590" s="138"/>
      <c r="W590" s="138"/>
    </row>
    <row r="591">
      <c r="A591" s="31"/>
      <c r="B591" s="31"/>
      <c r="C591" s="79"/>
      <c r="D591" s="79"/>
      <c r="E591" s="79"/>
      <c r="F591" s="31"/>
      <c r="G591" s="31"/>
      <c r="H591" s="31"/>
      <c r="I591" s="31"/>
      <c r="J591" s="31"/>
      <c r="K591" s="31"/>
      <c r="L591" s="31"/>
      <c r="M591" s="31"/>
      <c r="N591" s="31"/>
      <c r="U591" s="138"/>
      <c r="V591" s="138"/>
      <c r="W591" s="138"/>
    </row>
    <row r="592">
      <c r="A592" s="31"/>
      <c r="B592" s="31"/>
      <c r="C592" s="79"/>
      <c r="D592" s="79"/>
      <c r="E592" s="79"/>
      <c r="F592" s="31"/>
      <c r="G592" s="31"/>
      <c r="H592" s="31"/>
      <c r="I592" s="31"/>
      <c r="J592" s="31"/>
      <c r="K592" s="31"/>
      <c r="L592" s="31"/>
      <c r="M592" s="31"/>
      <c r="N592" s="31"/>
      <c r="U592" s="138"/>
      <c r="V592" s="138"/>
      <c r="W592" s="138"/>
    </row>
    <row r="593">
      <c r="A593" s="31"/>
      <c r="B593" s="31"/>
      <c r="C593" s="79"/>
      <c r="D593" s="79"/>
      <c r="E593" s="79"/>
      <c r="F593" s="31"/>
      <c r="G593" s="31"/>
      <c r="H593" s="31"/>
      <c r="I593" s="31"/>
      <c r="J593" s="31"/>
      <c r="K593" s="31"/>
      <c r="L593" s="31"/>
      <c r="M593" s="31"/>
      <c r="N593" s="31"/>
      <c r="U593" s="138"/>
      <c r="V593" s="138"/>
      <c r="W593" s="138"/>
    </row>
    <row r="594">
      <c r="A594" s="31"/>
      <c r="B594" s="31"/>
      <c r="C594" s="79"/>
      <c r="D594" s="79"/>
      <c r="E594" s="79"/>
      <c r="F594" s="31"/>
      <c r="G594" s="31"/>
      <c r="H594" s="31"/>
      <c r="I594" s="31"/>
      <c r="J594" s="31"/>
      <c r="K594" s="31"/>
      <c r="L594" s="31"/>
      <c r="M594" s="31"/>
      <c r="N594" s="31"/>
      <c r="U594" s="138"/>
      <c r="V594" s="138"/>
      <c r="W594" s="138"/>
    </row>
    <row r="595">
      <c r="A595" s="31"/>
      <c r="B595" s="31"/>
      <c r="C595" s="79"/>
      <c r="D595" s="79"/>
      <c r="E595" s="79"/>
      <c r="F595" s="31"/>
      <c r="G595" s="31"/>
      <c r="H595" s="31"/>
      <c r="I595" s="31"/>
      <c r="J595" s="31"/>
      <c r="K595" s="31"/>
      <c r="L595" s="31"/>
      <c r="M595" s="31"/>
      <c r="N595" s="31"/>
      <c r="U595" s="138"/>
      <c r="V595" s="138"/>
      <c r="W595" s="138"/>
    </row>
    <row r="596">
      <c r="A596" s="31"/>
      <c r="B596" s="31"/>
      <c r="C596" s="79"/>
      <c r="D596" s="79"/>
      <c r="E596" s="79"/>
      <c r="F596" s="31"/>
      <c r="G596" s="31"/>
      <c r="H596" s="31"/>
      <c r="I596" s="31"/>
      <c r="J596" s="31"/>
      <c r="K596" s="31"/>
      <c r="L596" s="31"/>
      <c r="M596" s="31"/>
      <c r="N596" s="31"/>
      <c r="U596" s="138"/>
      <c r="V596" s="138"/>
      <c r="W596" s="138"/>
    </row>
    <row r="597">
      <c r="A597" s="31"/>
      <c r="B597" s="31"/>
      <c r="C597" s="79"/>
      <c r="D597" s="79"/>
      <c r="E597" s="79"/>
      <c r="F597" s="31"/>
      <c r="G597" s="31"/>
      <c r="H597" s="31"/>
      <c r="I597" s="31"/>
      <c r="J597" s="31"/>
      <c r="K597" s="31"/>
      <c r="L597" s="31"/>
      <c r="M597" s="31"/>
      <c r="N597" s="31"/>
      <c r="U597" s="138"/>
      <c r="V597" s="138"/>
      <c r="W597" s="138"/>
    </row>
    <row r="598">
      <c r="A598" s="31"/>
      <c r="B598" s="31"/>
      <c r="C598" s="79"/>
      <c r="D598" s="79"/>
      <c r="E598" s="79"/>
      <c r="F598" s="31"/>
      <c r="G598" s="31"/>
      <c r="H598" s="31"/>
      <c r="I598" s="31"/>
      <c r="J598" s="31"/>
      <c r="K598" s="31"/>
      <c r="L598" s="31"/>
      <c r="M598" s="31"/>
      <c r="N598" s="31"/>
      <c r="U598" s="138"/>
      <c r="V598" s="138"/>
      <c r="W598" s="138"/>
    </row>
    <row r="599">
      <c r="A599" s="31"/>
      <c r="B599" s="31"/>
      <c r="C599" s="79"/>
      <c r="D599" s="79"/>
      <c r="E599" s="79"/>
      <c r="F599" s="31"/>
      <c r="G599" s="31"/>
      <c r="H599" s="31"/>
      <c r="I599" s="31"/>
      <c r="J599" s="31"/>
      <c r="K599" s="31"/>
      <c r="L599" s="31"/>
      <c r="M599" s="31"/>
      <c r="N599" s="31"/>
      <c r="U599" s="138"/>
      <c r="V599" s="138"/>
      <c r="W599" s="138"/>
    </row>
    <row r="600">
      <c r="A600" s="31"/>
      <c r="B600" s="31"/>
      <c r="C600" s="79"/>
      <c r="D600" s="79"/>
      <c r="E600" s="79"/>
      <c r="F600" s="31"/>
      <c r="G600" s="31"/>
      <c r="H600" s="31"/>
      <c r="I600" s="31"/>
      <c r="J600" s="31"/>
      <c r="K600" s="31"/>
      <c r="L600" s="31"/>
      <c r="M600" s="31"/>
      <c r="N600" s="31"/>
      <c r="U600" s="138"/>
      <c r="V600" s="138"/>
      <c r="W600" s="138"/>
    </row>
    <row r="601">
      <c r="A601" s="31"/>
      <c r="B601" s="31"/>
      <c r="C601" s="79"/>
      <c r="D601" s="79"/>
      <c r="E601" s="79"/>
      <c r="F601" s="31"/>
      <c r="G601" s="31"/>
      <c r="H601" s="31"/>
      <c r="I601" s="31"/>
      <c r="J601" s="31"/>
      <c r="K601" s="31"/>
      <c r="L601" s="31"/>
      <c r="M601" s="31"/>
      <c r="N601" s="31"/>
      <c r="U601" s="138"/>
      <c r="V601" s="138"/>
      <c r="W601" s="138"/>
    </row>
    <row r="602">
      <c r="A602" s="31"/>
      <c r="B602" s="31"/>
      <c r="C602" s="79"/>
      <c r="D602" s="79"/>
      <c r="E602" s="79"/>
      <c r="F602" s="31"/>
      <c r="G602" s="31"/>
      <c r="H602" s="31"/>
      <c r="I602" s="31"/>
      <c r="J602" s="31"/>
      <c r="K602" s="31"/>
      <c r="L602" s="31"/>
      <c r="M602" s="31"/>
      <c r="N602" s="31"/>
      <c r="U602" s="138"/>
      <c r="V602" s="138"/>
      <c r="W602" s="138"/>
    </row>
    <row r="603">
      <c r="A603" s="31"/>
      <c r="B603" s="31"/>
      <c r="C603" s="79"/>
      <c r="D603" s="79"/>
      <c r="E603" s="79"/>
      <c r="F603" s="31"/>
      <c r="G603" s="31"/>
      <c r="H603" s="31"/>
      <c r="I603" s="31"/>
      <c r="J603" s="31"/>
      <c r="K603" s="31"/>
      <c r="L603" s="31"/>
      <c r="M603" s="31"/>
      <c r="N603" s="31"/>
      <c r="U603" s="138"/>
      <c r="V603" s="138"/>
      <c r="W603" s="138"/>
    </row>
    <row r="604">
      <c r="A604" s="31"/>
      <c r="B604" s="31"/>
      <c r="C604" s="79"/>
      <c r="D604" s="79"/>
      <c r="E604" s="79"/>
      <c r="F604" s="31"/>
      <c r="G604" s="31"/>
      <c r="H604" s="31"/>
      <c r="I604" s="31"/>
      <c r="J604" s="31"/>
      <c r="K604" s="31"/>
      <c r="L604" s="31"/>
      <c r="M604" s="31"/>
      <c r="N604" s="31"/>
      <c r="U604" s="138"/>
      <c r="V604" s="138"/>
      <c r="W604" s="138"/>
    </row>
    <row r="605">
      <c r="A605" s="31"/>
      <c r="B605" s="31"/>
      <c r="C605" s="79"/>
      <c r="D605" s="79"/>
      <c r="E605" s="79"/>
      <c r="F605" s="31"/>
      <c r="G605" s="31"/>
      <c r="H605" s="31"/>
      <c r="I605" s="31"/>
      <c r="J605" s="31"/>
      <c r="K605" s="31"/>
      <c r="L605" s="31"/>
      <c r="M605" s="31"/>
      <c r="N605" s="31"/>
      <c r="U605" s="138"/>
      <c r="V605" s="138"/>
      <c r="W605" s="138"/>
    </row>
    <row r="606">
      <c r="A606" s="31"/>
      <c r="B606" s="31"/>
      <c r="C606" s="79"/>
      <c r="D606" s="79"/>
      <c r="E606" s="79"/>
      <c r="F606" s="31"/>
      <c r="G606" s="31"/>
      <c r="H606" s="31"/>
      <c r="I606" s="31"/>
      <c r="J606" s="31"/>
      <c r="K606" s="31"/>
      <c r="L606" s="31"/>
      <c r="M606" s="31"/>
      <c r="N606" s="31"/>
      <c r="U606" s="138"/>
      <c r="V606" s="138"/>
      <c r="W606" s="138"/>
    </row>
    <row r="607">
      <c r="A607" s="31"/>
      <c r="B607" s="31"/>
      <c r="C607" s="79"/>
      <c r="D607" s="79"/>
      <c r="E607" s="79"/>
      <c r="F607" s="31"/>
      <c r="G607" s="31"/>
      <c r="H607" s="31"/>
      <c r="I607" s="31"/>
      <c r="J607" s="31"/>
      <c r="K607" s="31"/>
      <c r="L607" s="31"/>
      <c r="M607" s="31"/>
      <c r="N607" s="31"/>
      <c r="U607" s="138"/>
      <c r="V607" s="138"/>
      <c r="W607" s="138"/>
    </row>
    <row r="608">
      <c r="A608" s="31"/>
      <c r="B608" s="31"/>
      <c r="C608" s="79"/>
      <c r="D608" s="79"/>
      <c r="E608" s="79"/>
      <c r="F608" s="31"/>
      <c r="G608" s="31"/>
      <c r="H608" s="31"/>
      <c r="I608" s="31"/>
      <c r="J608" s="31"/>
      <c r="K608" s="31"/>
      <c r="L608" s="31"/>
      <c r="M608" s="31"/>
      <c r="N608" s="31"/>
      <c r="U608" s="138"/>
      <c r="V608" s="138"/>
      <c r="W608" s="138"/>
    </row>
    <row r="609">
      <c r="A609" s="31"/>
      <c r="B609" s="31"/>
      <c r="C609" s="79"/>
      <c r="D609" s="79"/>
      <c r="E609" s="79"/>
      <c r="F609" s="31"/>
      <c r="G609" s="31"/>
      <c r="H609" s="31"/>
      <c r="I609" s="31"/>
      <c r="J609" s="31"/>
      <c r="K609" s="31"/>
      <c r="L609" s="31"/>
      <c r="M609" s="31"/>
      <c r="N609" s="31"/>
      <c r="U609" s="138"/>
      <c r="V609" s="138"/>
      <c r="W609" s="138"/>
    </row>
    <row r="610">
      <c r="A610" s="31"/>
      <c r="B610" s="31"/>
      <c r="C610" s="79"/>
      <c r="D610" s="79"/>
      <c r="E610" s="79"/>
      <c r="F610" s="31"/>
      <c r="G610" s="31"/>
      <c r="H610" s="31"/>
      <c r="I610" s="31"/>
      <c r="J610" s="31"/>
      <c r="K610" s="31"/>
      <c r="L610" s="31"/>
      <c r="M610" s="31"/>
      <c r="N610" s="31"/>
      <c r="U610" s="138"/>
      <c r="V610" s="138"/>
      <c r="W610" s="138"/>
    </row>
    <row r="611">
      <c r="A611" s="31"/>
      <c r="B611" s="31"/>
      <c r="C611" s="79"/>
      <c r="D611" s="79"/>
      <c r="E611" s="79"/>
      <c r="F611" s="31"/>
      <c r="G611" s="31"/>
      <c r="H611" s="31"/>
      <c r="I611" s="31"/>
      <c r="J611" s="31"/>
      <c r="K611" s="31"/>
      <c r="L611" s="31"/>
      <c r="M611" s="31"/>
      <c r="N611" s="31"/>
      <c r="U611" s="138"/>
      <c r="V611" s="138"/>
      <c r="W611" s="138"/>
    </row>
    <row r="612">
      <c r="A612" s="31"/>
      <c r="B612" s="31"/>
      <c r="C612" s="79"/>
      <c r="D612" s="79"/>
      <c r="E612" s="79"/>
      <c r="F612" s="31"/>
      <c r="G612" s="31"/>
      <c r="H612" s="31"/>
      <c r="I612" s="31"/>
      <c r="J612" s="31"/>
      <c r="K612" s="31"/>
      <c r="L612" s="31"/>
      <c r="M612" s="31"/>
      <c r="N612" s="31"/>
      <c r="U612" s="138"/>
      <c r="V612" s="138"/>
      <c r="W612" s="138"/>
    </row>
    <row r="613">
      <c r="A613" s="31"/>
      <c r="B613" s="31"/>
      <c r="C613" s="79"/>
      <c r="D613" s="79"/>
      <c r="E613" s="79"/>
      <c r="F613" s="31"/>
      <c r="G613" s="31"/>
      <c r="H613" s="31"/>
      <c r="I613" s="31"/>
      <c r="J613" s="31"/>
      <c r="K613" s="31"/>
      <c r="L613" s="31"/>
      <c r="M613" s="31"/>
      <c r="N613" s="31"/>
      <c r="U613" s="138"/>
      <c r="V613" s="138"/>
      <c r="W613" s="138"/>
    </row>
    <row r="614">
      <c r="A614" s="31"/>
      <c r="B614" s="31"/>
      <c r="C614" s="79"/>
      <c r="D614" s="79"/>
      <c r="E614" s="79"/>
      <c r="F614" s="31"/>
      <c r="G614" s="31"/>
      <c r="H614" s="31"/>
      <c r="I614" s="31"/>
      <c r="J614" s="31"/>
      <c r="K614" s="31"/>
      <c r="L614" s="31"/>
      <c r="M614" s="31"/>
      <c r="N614" s="31"/>
      <c r="U614" s="138"/>
      <c r="V614" s="138"/>
      <c r="W614" s="138"/>
    </row>
    <row r="615">
      <c r="A615" s="31"/>
      <c r="B615" s="31"/>
      <c r="C615" s="79"/>
      <c r="D615" s="79"/>
      <c r="E615" s="79"/>
      <c r="F615" s="31"/>
      <c r="G615" s="31"/>
      <c r="H615" s="31"/>
      <c r="I615" s="31"/>
      <c r="J615" s="31"/>
      <c r="K615" s="31"/>
      <c r="L615" s="31"/>
      <c r="M615" s="31"/>
      <c r="N615" s="31"/>
      <c r="U615" s="138"/>
      <c r="V615" s="138"/>
      <c r="W615" s="138"/>
    </row>
    <row r="616">
      <c r="A616" s="31"/>
      <c r="B616" s="31"/>
      <c r="C616" s="79"/>
      <c r="D616" s="79"/>
      <c r="E616" s="79"/>
      <c r="F616" s="31"/>
      <c r="G616" s="31"/>
      <c r="H616" s="31"/>
      <c r="I616" s="31"/>
      <c r="J616" s="31"/>
      <c r="K616" s="31"/>
      <c r="L616" s="31"/>
      <c r="M616" s="31"/>
      <c r="N616" s="31"/>
      <c r="U616" s="138"/>
      <c r="V616" s="138"/>
      <c r="W616" s="138"/>
    </row>
    <row r="617">
      <c r="A617" s="31"/>
      <c r="B617" s="31"/>
      <c r="C617" s="79"/>
      <c r="D617" s="79"/>
      <c r="E617" s="79"/>
      <c r="F617" s="31"/>
      <c r="G617" s="31"/>
      <c r="H617" s="31"/>
      <c r="I617" s="31"/>
      <c r="J617" s="31"/>
      <c r="K617" s="31"/>
      <c r="L617" s="31"/>
      <c r="M617" s="31"/>
      <c r="N617" s="31"/>
      <c r="U617" s="138"/>
      <c r="V617" s="138"/>
      <c r="W617" s="138"/>
    </row>
    <row r="618">
      <c r="A618" s="31"/>
      <c r="B618" s="31"/>
      <c r="C618" s="79"/>
      <c r="D618" s="79"/>
      <c r="E618" s="79"/>
      <c r="F618" s="31"/>
      <c r="G618" s="31"/>
      <c r="H618" s="31"/>
      <c r="I618" s="31"/>
      <c r="J618" s="31"/>
      <c r="K618" s="31"/>
      <c r="L618" s="31"/>
      <c r="M618" s="31"/>
      <c r="N618" s="31"/>
      <c r="U618" s="138"/>
      <c r="V618" s="138"/>
      <c r="W618" s="138"/>
    </row>
    <row r="619">
      <c r="A619" s="31"/>
      <c r="B619" s="31"/>
      <c r="C619" s="79"/>
      <c r="D619" s="79"/>
      <c r="E619" s="79"/>
      <c r="F619" s="31"/>
      <c r="G619" s="31"/>
      <c r="H619" s="31"/>
      <c r="I619" s="31"/>
      <c r="J619" s="31"/>
      <c r="K619" s="31"/>
      <c r="L619" s="31"/>
      <c r="M619" s="31"/>
      <c r="N619" s="31"/>
      <c r="U619" s="138"/>
      <c r="V619" s="138"/>
      <c r="W619" s="138"/>
    </row>
    <row r="620">
      <c r="A620" s="31"/>
      <c r="B620" s="31"/>
      <c r="C620" s="79"/>
      <c r="D620" s="79"/>
      <c r="E620" s="79"/>
      <c r="F620" s="31"/>
      <c r="G620" s="31"/>
      <c r="H620" s="31"/>
      <c r="I620" s="31"/>
      <c r="J620" s="31"/>
      <c r="K620" s="31"/>
      <c r="L620" s="31"/>
      <c r="M620" s="31"/>
      <c r="N620" s="31"/>
      <c r="U620" s="138"/>
      <c r="V620" s="138"/>
      <c r="W620" s="138"/>
    </row>
    <row r="621">
      <c r="A621" s="31"/>
      <c r="B621" s="31"/>
      <c r="C621" s="79"/>
      <c r="D621" s="79"/>
      <c r="E621" s="79"/>
      <c r="F621" s="31"/>
      <c r="G621" s="31"/>
      <c r="H621" s="31"/>
      <c r="I621" s="31"/>
      <c r="J621" s="31"/>
      <c r="K621" s="31"/>
      <c r="L621" s="31"/>
      <c r="M621" s="31"/>
      <c r="N621" s="31"/>
      <c r="U621" s="138"/>
      <c r="V621" s="138"/>
      <c r="W621" s="138"/>
    </row>
    <row r="622">
      <c r="A622" s="31"/>
      <c r="B622" s="31"/>
      <c r="C622" s="79"/>
      <c r="D622" s="79"/>
      <c r="E622" s="79"/>
      <c r="F622" s="31"/>
      <c r="G622" s="31"/>
      <c r="H622" s="31"/>
      <c r="I622" s="31"/>
      <c r="J622" s="31"/>
      <c r="K622" s="31"/>
      <c r="L622" s="31"/>
      <c r="M622" s="31"/>
      <c r="N622" s="31"/>
      <c r="U622" s="138"/>
      <c r="V622" s="138"/>
      <c r="W622" s="138"/>
    </row>
    <row r="623">
      <c r="A623" s="31"/>
      <c r="B623" s="31"/>
      <c r="C623" s="79"/>
      <c r="D623" s="79"/>
      <c r="E623" s="79"/>
      <c r="F623" s="31"/>
      <c r="G623" s="31"/>
      <c r="H623" s="31"/>
      <c r="I623" s="31"/>
      <c r="J623" s="31"/>
      <c r="K623" s="31"/>
      <c r="L623" s="31"/>
      <c r="M623" s="31"/>
      <c r="N623" s="31"/>
      <c r="U623" s="138"/>
      <c r="V623" s="138"/>
      <c r="W623" s="138"/>
    </row>
    <row r="624">
      <c r="A624" s="31"/>
      <c r="B624" s="31"/>
      <c r="C624" s="79"/>
      <c r="D624" s="79"/>
      <c r="E624" s="79"/>
      <c r="F624" s="31"/>
      <c r="G624" s="31"/>
      <c r="H624" s="31"/>
      <c r="I624" s="31"/>
      <c r="J624" s="31"/>
      <c r="K624" s="31"/>
      <c r="L624" s="31"/>
      <c r="M624" s="31"/>
      <c r="N624" s="31"/>
      <c r="U624" s="138"/>
      <c r="V624" s="138"/>
      <c r="W624" s="138"/>
    </row>
    <row r="625">
      <c r="A625" s="31"/>
      <c r="B625" s="31"/>
      <c r="C625" s="79"/>
      <c r="D625" s="79"/>
      <c r="E625" s="79"/>
      <c r="F625" s="31"/>
      <c r="G625" s="31"/>
      <c r="H625" s="31"/>
      <c r="I625" s="31"/>
      <c r="J625" s="31"/>
      <c r="K625" s="31"/>
      <c r="L625" s="31"/>
      <c r="M625" s="31"/>
      <c r="N625" s="31"/>
      <c r="U625" s="138"/>
      <c r="V625" s="138"/>
      <c r="W625" s="138"/>
    </row>
    <row r="626">
      <c r="A626" s="31"/>
      <c r="B626" s="31"/>
      <c r="C626" s="79"/>
      <c r="D626" s="79"/>
      <c r="E626" s="79"/>
      <c r="F626" s="31"/>
      <c r="G626" s="31"/>
      <c r="H626" s="31"/>
      <c r="I626" s="31"/>
      <c r="J626" s="31"/>
      <c r="K626" s="31"/>
      <c r="L626" s="31"/>
      <c r="M626" s="31"/>
      <c r="N626" s="31"/>
      <c r="U626" s="138"/>
      <c r="V626" s="138"/>
      <c r="W626" s="138"/>
    </row>
    <row r="627">
      <c r="A627" s="31"/>
      <c r="B627" s="31"/>
      <c r="C627" s="79"/>
      <c r="D627" s="79"/>
      <c r="E627" s="79"/>
      <c r="F627" s="31"/>
      <c r="G627" s="31"/>
      <c r="H627" s="31"/>
      <c r="I627" s="31"/>
      <c r="J627" s="31"/>
      <c r="K627" s="31"/>
      <c r="L627" s="31"/>
      <c r="M627" s="31"/>
      <c r="N627" s="31"/>
      <c r="U627" s="138"/>
      <c r="V627" s="138"/>
      <c r="W627" s="138"/>
    </row>
    <row r="628">
      <c r="A628" s="31"/>
      <c r="B628" s="31"/>
      <c r="C628" s="79"/>
      <c r="D628" s="79"/>
      <c r="E628" s="79"/>
      <c r="F628" s="31"/>
      <c r="G628" s="31"/>
      <c r="H628" s="31"/>
      <c r="I628" s="31"/>
      <c r="J628" s="31"/>
      <c r="K628" s="31"/>
      <c r="L628" s="31"/>
      <c r="M628" s="31"/>
      <c r="N628" s="31"/>
      <c r="U628" s="138"/>
      <c r="V628" s="138"/>
      <c r="W628" s="138"/>
    </row>
    <row r="629">
      <c r="A629" s="31"/>
      <c r="B629" s="31"/>
      <c r="C629" s="79"/>
      <c r="D629" s="79"/>
      <c r="E629" s="79"/>
      <c r="F629" s="31"/>
      <c r="G629" s="31"/>
      <c r="H629" s="31"/>
      <c r="I629" s="31"/>
      <c r="J629" s="31"/>
      <c r="K629" s="31"/>
      <c r="L629" s="31"/>
      <c r="M629" s="31"/>
      <c r="N629" s="31"/>
      <c r="U629" s="138"/>
      <c r="V629" s="138"/>
      <c r="W629" s="138"/>
    </row>
    <row r="630">
      <c r="A630" s="31"/>
      <c r="B630" s="31"/>
      <c r="C630" s="79"/>
      <c r="D630" s="79"/>
      <c r="E630" s="79"/>
      <c r="F630" s="31"/>
      <c r="G630" s="31"/>
      <c r="H630" s="31"/>
      <c r="I630" s="31"/>
      <c r="J630" s="31"/>
      <c r="K630" s="31"/>
      <c r="L630" s="31"/>
      <c r="M630" s="31"/>
      <c r="N630" s="31"/>
      <c r="U630" s="138"/>
      <c r="V630" s="138"/>
      <c r="W630" s="138"/>
    </row>
    <row r="631">
      <c r="A631" s="31"/>
      <c r="B631" s="31"/>
      <c r="C631" s="79"/>
      <c r="D631" s="79"/>
      <c r="E631" s="79"/>
      <c r="F631" s="31"/>
      <c r="G631" s="31"/>
      <c r="H631" s="31"/>
      <c r="I631" s="31"/>
      <c r="J631" s="31"/>
      <c r="K631" s="31"/>
      <c r="L631" s="31"/>
      <c r="M631" s="31"/>
      <c r="N631" s="31"/>
      <c r="U631" s="138"/>
      <c r="V631" s="138"/>
      <c r="W631" s="138"/>
    </row>
    <row r="632">
      <c r="A632" s="31"/>
      <c r="B632" s="31"/>
      <c r="C632" s="79"/>
      <c r="D632" s="79"/>
      <c r="E632" s="79"/>
      <c r="F632" s="31"/>
      <c r="G632" s="31"/>
      <c r="H632" s="31"/>
      <c r="I632" s="31"/>
      <c r="J632" s="31"/>
      <c r="K632" s="31"/>
      <c r="L632" s="31"/>
      <c r="M632" s="31"/>
      <c r="N632" s="31"/>
      <c r="U632" s="138"/>
      <c r="V632" s="138"/>
      <c r="W632" s="138"/>
    </row>
    <row r="633">
      <c r="A633" s="31"/>
      <c r="B633" s="31"/>
      <c r="C633" s="79"/>
      <c r="D633" s="79"/>
      <c r="E633" s="79"/>
      <c r="F633" s="31"/>
      <c r="G633" s="31"/>
      <c r="H633" s="31"/>
      <c r="I633" s="31"/>
      <c r="J633" s="31"/>
      <c r="K633" s="31"/>
      <c r="L633" s="31"/>
      <c r="M633" s="31"/>
      <c r="N633" s="31"/>
      <c r="U633" s="138"/>
      <c r="V633" s="138"/>
      <c r="W633" s="138"/>
    </row>
    <row r="634">
      <c r="A634" s="31"/>
      <c r="B634" s="31"/>
      <c r="C634" s="79"/>
      <c r="D634" s="79"/>
      <c r="E634" s="79"/>
      <c r="F634" s="31"/>
      <c r="G634" s="31"/>
      <c r="H634" s="31"/>
      <c r="I634" s="31"/>
      <c r="J634" s="31"/>
      <c r="K634" s="31"/>
      <c r="L634" s="31"/>
      <c r="M634" s="31"/>
      <c r="N634" s="31"/>
      <c r="U634" s="138"/>
      <c r="V634" s="138"/>
      <c r="W634" s="138"/>
    </row>
    <row r="635">
      <c r="A635" s="31"/>
      <c r="B635" s="31"/>
      <c r="C635" s="79"/>
      <c r="D635" s="79"/>
      <c r="E635" s="79"/>
      <c r="F635" s="31"/>
      <c r="G635" s="31"/>
      <c r="H635" s="31"/>
      <c r="I635" s="31"/>
      <c r="J635" s="31"/>
      <c r="K635" s="31"/>
      <c r="L635" s="31"/>
      <c r="M635" s="31"/>
      <c r="N635" s="31"/>
      <c r="U635" s="138"/>
      <c r="V635" s="138"/>
      <c r="W635" s="138"/>
    </row>
    <row r="636">
      <c r="A636" s="31"/>
      <c r="B636" s="31"/>
      <c r="C636" s="79"/>
      <c r="D636" s="79"/>
      <c r="E636" s="79"/>
      <c r="F636" s="31"/>
      <c r="G636" s="31"/>
      <c r="H636" s="31"/>
      <c r="I636" s="31"/>
      <c r="J636" s="31"/>
      <c r="K636" s="31"/>
      <c r="L636" s="31"/>
      <c r="M636" s="31"/>
      <c r="N636" s="31"/>
      <c r="U636" s="138"/>
      <c r="V636" s="138"/>
      <c r="W636" s="138"/>
    </row>
    <row r="637">
      <c r="A637" s="31"/>
      <c r="B637" s="31"/>
      <c r="C637" s="79"/>
      <c r="D637" s="79"/>
      <c r="E637" s="79"/>
      <c r="F637" s="31"/>
      <c r="G637" s="31"/>
      <c r="H637" s="31"/>
      <c r="I637" s="31"/>
      <c r="J637" s="31"/>
      <c r="K637" s="31"/>
      <c r="L637" s="31"/>
      <c r="M637" s="31"/>
      <c r="N637" s="31"/>
      <c r="U637" s="138"/>
      <c r="V637" s="138"/>
      <c r="W637" s="138"/>
    </row>
    <row r="638">
      <c r="A638" s="31"/>
      <c r="B638" s="31"/>
      <c r="C638" s="79"/>
      <c r="D638" s="79"/>
      <c r="E638" s="79"/>
      <c r="F638" s="31"/>
      <c r="G638" s="31"/>
      <c r="H638" s="31"/>
      <c r="I638" s="31"/>
      <c r="J638" s="31"/>
      <c r="K638" s="31"/>
      <c r="L638" s="31"/>
      <c r="M638" s="31"/>
      <c r="N638" s="31"/>
      <c r="U638" s="138"/>
      <c r="V638" s="138"/>
      <c r="W638" s="138"/>
    </row>
    <row r="639">
      <c r="A639" s="31"/>
      <c r="B639" s="31"/>
      <c r="C639" s="79"/>
      <c r="D639" s="79"/>
      <c r="E639" s="79"/>
      <c r="F639" s="31"/>
      <c r="G639" s="31"/>
      <c r="H639" s="31"/>
      <c r="I639" s="31"/>
      <c r="J639" s="31"/>
      <c r="K639" s="31"/>
      <c r="L639" s="31"/>
      <c r="M639" s="31"/>
      <c r="N639" s="31"/>
      <c r="U639" s="138"/>
      <c r="V639" s="138"/>
      <c r="W639" s="138"/>
    </row>
    <row r="640">
      <c r="A640" s="31"/>
      <c r="B640" s="31"/>
      <c r="C640" s="79"/>
      <c r="D640" s="79"/>
      <c r="E640" s="79"/>
      <c r="F640" s="31"/>
      <c r="G640" s="31"/>
      <c r="H640" s="31"/>
      <c r="I640" s="31"/>
      <c r="J640" s="31"/>
      <c r="K640" s="31"/>
      <c r="L640" s="31"/>
      <c r="M640" s="31"/>
      <c r="N640" s="31"/>
      <c r="U640" s="138"/>
      <c r="V640" s="138"/>
      <c r="W640" s="138"/>
    </row>
    <row r="641">
      <c r="A641" s="31"/>
      <c r="B641" s="31"/>
      <c r="C641" s="79"/>
      <c r="D641" s="79"/>
      <c r="E641" s="79"/>
      <c r="F641" s="31"/>
      <c r="G641" s="31"/>
      <c r="H641" s="31"/>
      <c r="I641" s="31"/>
      <c r="J641" s="31"/>
      <c r="K641" s="31"/>
      <c r="L641" s="31"/>
      <c r="M641" s="31"/>
      <c r="N641" s="31"/>
      <c r="U641" s="138"/>
      <c r="V641" s="138"/>
      <c r="W641" s="138"/>
    </row>
    <row r="642">
      <c r="A642" s="31"/>
      <c r="B642" s="31"/>
      <c r="C642" s="79"/>
      <c r="D642" s="79"/>
      <c r="E642" s="79"/>
      <c r="F642" s="31"/>
      <c r="G642" s="31"/>
      <c r="H642" s="31"/>
      <c r="I642" s="31"/>
      <c r="J642" s="31"/>
      <c r="K642" s="31"/>
      <c r="L642" s="31"/>
      <c r="M642" s="31"/>
      <c r="N642" s="31"/>
      <c r="U642" s="138"/>
      <c r="V642" s="138"/>
      <c r="W642" s="138"/>
    </row>
    <row r="643">
      <c r="A643" s="31"/>
      <c r="B643" s="31"/>
      <c r="C643" s="79"/>
      <c r="D643" s="79"/>
      <c r="E643" s="79"/>
      <c r="F643" s="31"/>
      <c r="G643" s="31"/>
      <c r="H643" s="31"/>
      <c r="I643" s="31"/>
      <c r="J643" s="31"/>
      <c r="K643" s="31"/>
      <c r="L643" s="31"/>
      <c r="M643" s="31"/>
      <c r="N643" s="31"/>
      <c r="U643" s="138"/>
      <c r="V643" s="138"/>
      <c r="W643" s="138"/>
    </row>
    <row r="644">
      <c r="A644" s="31"/>
      <c r="B644" s="31"/>
      <c r="C644" s="79"/>
      <c r="D644" s="79"/>
      <c r="E644" s="79"/>
      <c r="F644" s="31"/>
      <c r="G644" s="31"/>
      <c r="H644" s="31"/>
      <c r="I644" s="31"/>
      <c r="J644" s="31"/>
      <c r="K644" s="31"/>
      <c r="L644" s="31"/>
      <c r="M644" s="31"/>
      <c r="N644" s="31"/>
      <c r="U644" s="138"/>
      <c r="V644" s="138"/>
      <c r="W644" s="138"/>
    </row>
    <row r="645">
      <c r="A645" s="31"/>
      <c r="B645" s="31"/>
      <c r="C645" s="79"/>
      <c r="D645" s="79"/>
      <c r="E645" s="79"/>
      <c r="F645" s="31"/>
      <c r="G645" s="31"/>
      <c r="H645" s="31"/>
      <c r="I645" s="31"/>
      <c r="J645" s="31"/>
      <c r="K645" s="31"/>
      <c r="L645" s="31"/>
      <c r="M645" s="31"/>
      <c r="N645" s="31"/>
      <c r="U645" s="138"/>
      <c r="V645" s="138"/>
      <c r="W645" s="138"/>
    </row>
    <row r="646">
      <c r="A646" s="31"/>
      <c r="B646" s="31"/>
      <c r="C646" s="79"/>
      <c r="D646" s="79"/>
      <c r="E646" s="79"/>
      <c r="F646" s="31"/>
      <c r="G646" s="31"/>
      <c r="H646" s="31"/>
      <c r="I646" s="31"/>
      <c r="J646" s="31"/>
      <c r="K646" s="31"/>
      <c r="L646" s="31"/>
      <c r="M646" s="31"/>
      <c r="N646" s="31"/>
      <c r="U646" s="138"/>
      <c r="V646" s="138"/>
      <c r="W646" s="138"/>
    </row>
    <row r="647">
      <c r="A647" s="31"/>
      <c r="B647" s="31"/>
      <c r="C647" s="79"/>
      <c r="D647" s="79"/>
      <c r="E647" s="79"/>
      <c r="F647" s="31"/>
      <c r="G647" s="31"/>
      <c r="H647" s="31"/>
      <c r="I647" s="31"/>
      <c r="J647" s="31"/>
      <c r="K647" s="31"/>
      <c r="L647" s="31"/>
      <c r="M647" s="31"/>
      <c r="N647" s="31"/>
      <c r="U647" s="138"/>
      <c r="V647" s="138"/>
      <c r="W647" s="138"/>
    </row>
    <row r="648">
      <c r="A648" s="31"/>
      <c r="B648" s="31"/>
      <c r="C648" s="79"/>
      <c r="D648" s="79"/>
      <c r="E648" s="79"/>
      <c r="F648" s="31"/>
      <c r="G648" s="31"/>
      <c r="H648" s="31"/>
      <c r="I648" s="31"/>
      <c r="J648" s="31"/>
      <c r="K648" s="31"/>
      <c r="L648" s="31"/>
      <c r="M648" s="31"/>
      <c r="N648" s="31"/>
      <c r="U648" s="138"/>
      <c r="V648" s="138"/>
      <c r="W648" s="138"/>
    </row>
    <row r="649">
      <c r="A649" s="31"/>
      <c r="B649" s="31"/>
      <c r="C649" s="79"/>
      <c r="D649" s="79"/>
      <c r="E649" s="79"/>
      <c r="F649" s="31"/>
      <c r="G649" s="31"/>
      <c r="H649" s="31"/>
      <c r="I649" s="31"/>
      <c r="J649" s="31"/>
      <c r="K649" s="31"/>
      <c r="L649" s="31"/>
      <c r="M649" s="31"/>
      <c r="N649" s="31"/>
      <c r="U649" s="138"/>
      <c r="V649" s="138"/>
      <c r="W649" s="138"/>
    </row>
    <row r="650">
      <c r="A650" s="31"/>
      <c r="B650" s="31"/>
      <c r="C650" s="79"/>
      <c r="D650" s="79"/>
      <c r="E650" s="79"/>
      <c r="F650" s="31"/>
      <c r="G650" s="31"/>
      <c r="H650" s="31"/>
      <c r="I650" s="31"/>
      <c r="J650" s="31"/>
      <c r="K650" s="31"/>
      <c r="L650" s="31"/>
      <c r="M650" s="31"/>
      <c r="N650" s="31"/>
      <c r="U650" s="138"/>
      <c r="V650" s="138"/>
      <c r="W650" s="138"/>
    </row>
    <row r="651">
      <c r="A651" s="31"/>
      <c r="B651" s="31"/>
      <c r="C651" s="79"/>
      <c r="D651" s="79"/>
      <c r="E651" s="79"/>
      <c r="F651" s="31"/>
      <c r="G651" s="31"/>
      <c r="H651" s="31"/>
      <c r="I651" s="31"/>
      <c r="J651" s="31"/>
      <c r="K651" s="31"/>
      <c r="L651" s="31"/>
      <c r="M651" s="31"/>
      <c r="N651" s="31"/>
      <c r="U651" s="138"/>
      <c r="V651" s="138"/>
      <c r="W651" s="138"/>
    </row>
    <row r="652">
      <c r="A652" s="31"/>
      <c r="B652" s="31"/>
      <c r="C652" s="79"/>
      <c r="D652" s="79"/>
      <c r="E652" s="79"/>
      <c r="F652" s="31"/>
      <c r="G652" s="31"/>
      <c r="H652" s="31"/>
      <c r="I652" s="31"/>
      <c r="J652" s="31"/>
      <c r="K652" s="31"/>
      <c r="L652" s="31"/>
      <c r="M652" s="31"/>
      <c r="N652" s="31"/>
      <c r="U652" s="138"/>
      <c r="V652" s="138"/>
      <c r="W652" s="138"/>
    </row>
    <row r="653">
      <c r="A653" s="31"/>
      <c r="B653" s="31"/>
      <c r="C653" s="79"/>
      <c r="D653" s="79"/>
      <c r="E653" s="79"/>
      <c r="F653" s="31"/>
      <c r="G653" s="31"/>
      <c r="H653" s="31"/>
      <c r="I653" s="31"/>
      <c r="J653" s="31"/>
      <c r="K653" s="31"/>
      <c r="L653" s="31"/>
      <c r="M653" s="31"/>
      <c r="N653" s="31"/>
      <c r="U653" s="138"/>
      <c r="V653" s="138"/>
      <c r="W653" s="138"/>
    </row>
    <row r="654">
      <c r="A654" s="31"/>
      <c r="B654" s="31"/>
      <c r="C654" s="79"/>
      <c r="D654" s="79"/>
      <c r="E654" s="79"/>
      <c r="F654" s="31"/>
      <c r="G654" s="31"/>
      <c r="H654" s="31"/>
      <c r="I654" s="31"/>
      <c r="J654" s="31"/>
      <c r="K654" s="31"/>
      <c r="L654" s="31"/>
      <c r="M654" s="31"/>
      <c r="N654" s="31"/>
      <c r="U654" s="138"/>
      <c r="V654" s="138"/>
      <c r="W654" s="138"/>
    </row>
    <row r="655">
      <c r="A655" s="31"/>
      <c r="B655" s="31"/>
      <c r="C655" s="79"/>
      <c r="D655" s="79"/>
      <c r="E655" s="79"/>
      <c r="F655" s="31"/>
      <c r="G655" s="31"/>
      <c r="H655" s="31"/>
      <c r="I655" s="31"/>
      <c r="J655" s="31"/>
      <c r="K655" s="31"/>
      <c r="L655" s="31"/>
      <c r="M655" s="31"/>
      <c r="N655" s="31"/>
      <c r="U655" s="138"/>
      <c r="V655" s="138"/>
      <c r="W655" s="138"/>
    </row>
    <row r="656">
      <c r="A656" s="31"/>
      <c r="B656" s="31"/>
      <c r="C656" s="79"/>
      <c r="D656" s="79"/>
      <c r="E656" s="79"/>
      <c r="F656" s="31"/>
      <c r="G656" s="31"/>
      <c r="H656" s="31"/>
      <c r="I656" s="31"/>
      <c r="J656" s="31"/>
      <c r="K656" s="31"/>
      <c r="L656" s="31"/>
      <c r="M656" s="31"/>
      <c r="N656" s="31"/>
      <c r="U656" s="138"/>
      <c r="V656" s="138"/>
      <c r="W656" s="138"/>
    </row>
    <row r="657">
      <c r="A657" s="31"/>
      <c r="B657" s="31"/>
      <c r="C657" s="79"/>
      <c r="D657" s="79"/>
      <c r="E657" s="79"/>
      <c r="F657" s="31"/>
      <c r="G657" s="31"/>
      <c r="H657" s="31"/>
      <c r="I657" s="31"/>
      <c r="J657" s="31"/>
      <c r="K657" s="31"/>
      <c r="L657" s="31"/>
      <c r="M657" s="31"/>
      <c r="N657" s="31"/>
      <c r="U657" s="138"/>
      <c r="V657" s="138"/>
      <c r="W657" s="138"/>
    </row>
    <row r="658">
      <c r="A658" s="31"/>
      <c r="B658" s="31"/>
      <c r="C658" s="79"/>
      <c r="D658" s="79"/>
      <c r="E658" s="79"/>
      <c r="F658" s="31"/>
      <c r="G658" s="31"/>
      <c r="H658" s="31"/>
      <c r="I658" s="31"/>
      <c r="J658" s="31"/>
      <c r="K658" s="31"/>
      <c r="L658" s="31"/>
      <c r="M658" s="31"/>
      <c r="N658" s="31"/>
      <c r="U658" s="138"/>
      <c r="V658" s="138"/>
      <c r="W658" s="138"/>
    </row>
    <row r="659">
      <c r="A659" s="31"/>
      <c r="B659" s="31"/>
      <c r="C659" s="79"/>
      <c r="D659" s="79"/>
      <c r="E659" s="79"/>
      <c r="F659" s="31"/>
      <c r="G659" s="31"/>
      <c r="H659" s="31"/>
      <c r="I659" s="31"/>
      <c r="J659" s="31"/>
      <c r="K659" s="31"/>
      <c r="L659" s="31"/>
      <c r="M659" s="31"/>
      <c r="N659" s="31"/>
      <c r="U659" s="138"/>
      <c r="V659" s="138"/>
      <c r="W659" s="138"/>
    </row>
    <row r="660">
      <c r="A660" s="31"/>
      <c r="B660" s="31"/>
      <c r="C660" s="79"/>
      <c r="D660" s="79"/>
      <c r="E660" s="79"/>
      <c r="F660" s="31"/>
      <c r="G660" s="31"/>
      <c r="H660" s="31"/>
      <c r="I660" s="31"/>
      <c r="J660" s="31"/>
      <c r="K660" s="31"/>
      <c r="L660" s="31"/>
      <c r="M660" s="31"/>
      <c r="N660" s="31"/>
      <c r="U660" s="138"/>
      <c r="V660" s="138"/>
      <c r="W660" s="138"/>
    </row>
    <row r="661">
      <c r="A661" s="31"/>
      <c r="B661" s="31"/>
      <c r="C661" s="79"/>
      <c r="D661" s="79"/>
      <c r="E661" s="79"/>
      <c r="F661" s="31"/>
      <c r="G661" s="31"/>
      <c r="H661" s="31"/>
      <c r="I661" s="31"/>
      <c r="J661" s="31"/>
      <c r="K661" s="31"/>
      <c r="L661" s="31"/>
      <c r="M661" s="31"/>
      <c r="N661" s="31"/>
      <c r="U661" s="138"/>
      <c r="V661" s="138"/>
      <c r="W661" s="138"/>
    </row>
    <row r="662">
      <c r="A662" s="31"/>
      <c r="B662" s="31"/>
      <c r="C662" s="79"/>
      <c r="D662" s="79"/>
      <c r="E662" s="79"/>
      <c r="F662" s="31"/>
      <c r="G662" s="31"/>
      <c r="H662" s="31"/>
      <c r="I662" s="31"/>
      <c r="J662" s="31"/>
      <c r="K662" s="31"/>
      <c r="L662" s="31"/>
      <c r="M662" s="31"/>
      <c r="N662" s="31"/>
      <c r="U662" s="138"/>
      <c r="V662" s="138"/>
      <c r="W662" s="138"/>
    </row>
    <row r="663">
      <c r="A663" s="31"/>
      <c r="B663" s="31"/>
      <c r="C663" s="79"/>
      <c r="D663" s="79"/>
      <c r="E663" s="79"/>
      <c r="F663" s="31"/>
      <c r="G663" s="31"/>
      <c r="H663" s="31"/>
      <c r="I663" s="31"/>
      <c r="J663" s="31"/>
      <c r="K663" s="31"/>
      <c r="L663" s="31"/>
      <c r="M663" s="31"/>
      <c r="N663" s="31"/>
      <c r="U663" s="138"/>
      <c r="V663" s="138"/>
      <c r="W663" s="138"/>
    </row>
    <row r="664">
      <c r="A664" s="31"/>
      <c r="B664" s="31"/>
      <c r="C664" s="79"/>
      <c r="D664" s="79"/>
      <c r="E664" s="79"/>
      <c r="F664" s="31"/>
      <c r="G664" s="31"/>
      <c r="H664" s="31"/>
      <c r="I664" s="31"/>
      <c r="J664" s="31"/>
      <c r="K664" s="31"/>
      <c r="L664" s="31"/>
      <c r="M664" s="31"/>
      <c r="N664" s="31"/>
      <c r="U664" s="138"/>
      <c r="V664" s="138"/>
      <c r="W664" s="138"/>
    </row>
    <row r="665">
      <c r="A665" s="31"/>
      <c r="B665" s="31"/>
      <c r="C665" s="79"/>
      <c r="D665" s="79"/>
      <c r="E665" s="79"/>
      <c r="F665" s="31"/>
      <c r="G665" s="31"/>
      <c r="H665" s="31"/>
      <c r="I665" s="31"/>
      <c r="J665" s="31"/>
      <c r="K665" s="31"/>
      <c r="L665" s="31"/>
      <c r="M665" s="31"/>
      <c r="N665" s="31"/>
      <c r="U665" s="138"/>
      <c r="V665" s="138"/>
      <c r="W665" s="138"/>
    </row>
    <row r="666">
      <c r="A666" s="31"/>
      <c r="B666" s="31"/>
      <c r="C666" s="79"/>
      <c r="D666" s="79"/>
      <c r="E666" s="79"/>
      <c r="F666" s="31"/>
      <c r="G666" s="31"/>
      <c r="H666" s="31"/>
      <c r="I666" s="31"/>
      <c r="J666" s="31"/>
      <c r="K666" s="31"/>
      <c r="L666" s="31"/>
      <c r="M666" s="31"/>
      <c r="N666" s="31"/>
      <c r="U666" s="138"/>
      <c r="V666" s="138"/>
      <c r="W666" s="138"/>
    </row>
    <row r="667">
      <c r="A667" s="31"/>
      <c r="B667" s="31"/>
      <c r="C667" s="79"/>
      <c r="D667" s="79"/>
      <c r="E667" s="79"/>
      <c r="F667" s="31"/>
      <c r="G667" s="31"/>
      <c r="H667" s="31"/>
      <c r="I667" s="31"/>
      <c r="J667" s="31"/>
      <c r="K667" s="31"/>
      <c r="L667" s="31"/>
      <c r="M667" s="31"/>
      <c r="N667" s="31"/>
      <c r="U667" s="138"/>
      <c r="V667" s="138"/>
      <c r="W667" s="138"/>
    </row>
    <row r="668">
      <c r="A668" s="31"/>
      <c r="B668" s="31"/>
      <c r="C668" s="79"/>
      <c r="D668" s="79"/>
      <c r="E668" s="79"/>
      <c r="F668" s="31"/>
      <c r="G668" s="31"/>
      <c r="H668" s="31"/>
      <c r="I668" s="31"/>
      <c r="J668" s="31"/>
      <c r="K668" s="31"/>
      <c r="L668" s="31"/>
      <c r="M668" s="31"/>
      <c r="N668" s="31"/>
      <c r="U668" s="138"/>
      <c r="V668" s="138"/>
      <c r="W668" s="138"/>
    </row>
    <row r="669">
      <c r="A669" s="31"/>
      <c r="B669" s="31"/>
      <c r="C669" s="79"/>
      <c r="D669" s="79"/>
      <c r="E669" s="79"/>
      <c r="F669" s="31"/>
      <c r="G669" s="31"/>
      <c r="H669" s="31"/>
      <c r="I669" s="31"/>
      <c r="J669" s="31"/>
      <c r="K669" s="31"/>
      <c r="L669" s="31"/>
      <c r="M669" s="31"/>
      <c r="N669" s="31"/>
      <c r="U669" s="138"/>
      <c r="V669" s="138"/>
      <c r="W669" s="138"/>
    </row>
    <row r="670">
      <c r="A670" s="31"/>
      <c r="B670" s="31"/>
      <c r="C670" s="79"/>
      <c r="D670" s="79"/>
      <c r="E670" s="79"/>
      <c r="F670" s="31"/>
      <c r="G670" s="31"/>
      <c r="H670" s="31"/>
      <c r="I670" s="31"/>
      <c r="J670" s="31"/>
      <c r="K670" s="31"/>
      <c r="L670" s="31"/>
      <c r="M670" s="31"/>
      <c r="N670" s="31"/>
      <c r="U670" s="138"/>
      <c r="V670" s="138"/>
      <c r="W670" s="138"/>
    </row>
    <row r="671">
      <c r="A671" s="31"/>
      <c r="B671" s="31"/>
      <c r="C671" s="79"/>
      <c r="D671" s="79"/>
      <c r="E671" s="79"/>
      <c r="F671" s="31"/>
      <c r="G671" s="31"/>
      <c r="H671" s="31"/>
      <c r="I671" s="31"/>
      <c r="J671" s="31"/>
      <c r="K671" s="31"/>
      <c r="L671" s="31"/>
      <c r="M671" s="31"/>
      <c r="N671" s="31"/>
      <c r="U671" s="138"/>
      <c r="V671" s="138"/>
      <c r="W671" s="138"/>
    </row>
    <row r="672">
      <c r="A672" s="31"/>
      <c r="B672" s="31"/>
      <c r="C672" s="79"/>
      <c r="D672" s="79"/>
      <c r="E672" s="79"/>
      <c r="F672" s="31"/>
      <c r="G672" s="31"/>
      <c r="H672" s="31"/>
      <c r="I672" s="31"/>
      <c r="J672" s="31"/>
      <c r="K672" s="31"/>
      <c r="L672" s="31"/>
      <c r="M672" s="31"/>
      <c r="N672" s="31"/>
      <c r="U672" s="138"/>
      <c r="V672" s="138"/>
      <c r="W672" s="138"/>
    </row>
    <row r="673">
      <c r="A673" s="31"/>
      <c r="B673" s="31"/>
      <c r="C673" s="79"/>
      <c r="D673" s="79"/>
      <c r="E673" s="79"/>
      <c r="F673" s="31"/>
      <c r="G673" s="31"/>
      <c r="H673" s="31"/>
      <c r="I673" s="31"/>
      <c r="J673" s="31"/>
      <c r="K673" s="31"/>
      <c r="L673" s="31"/>
      <c r="M673" s="31"/>
      <c r="N673" s="31"/>
      <c r="U673" s="138"/>
      <c r="V673" s="138"/>
      <c r="W673" s="138"/>
    </row>
    <row r="674">
      <c r="A674" s="31"/>
      <c r="B674" s="31"/>
      <c r="C674" s="79"/>
      <c r="D674" s="79"/>
      <c r="E674" s="79"/>
      <c r="F674" s="31"/>
      <c r="G674" s="31"/>
      <c r="H674" s="31"/>
      <c r="I674" s="31"/>
      <c r="J674" s="31"/>
      <c r="K674" s="31"/>
      <c r="L674" s="31"/>
      <c r="M674" s="31"/>
      <c r="N674" s="31"/>
      <c r="U674" s="138"/>
      <c r="V674" s="138"/>
      <c r="W674" s="138"/>
    </row>
    <row r="675">
      <c r="A675" s="31"/>
      <c r="B675" s="31"/>
      <c r="C675" s="79"/>
      <c r="D675" s="79"/>
      <c r="E675" s="79"/>
      <c r="F675" s="31"/>
      <c r="G675" s="31"/>
      <c r="H675" s="31"/>
      <c r="I675" s="31"/>
      <c r="J675" s="31"/>
      <c r="K675" s="31"/>
      <c r="L675" s="31"/>
      <c r="M675" s="31"/>
      <c r="N675" s="31"/>
      <c r="U675" s="138"/>
      <c r="V675" s="138"/>
      <c r="W675" s="138"/>
    </row>
    <row r="676">
      <c r="A676" s="31"/>
      <c r="B676" s="31"/>
      <c r="C676" s="79"/>
      <c r="D676" s="79"/>
      <c r="E676" s="79"/>
      <c r="F676" s="31"/>
      <c r="G676" s="31"/>
      <c r="H676" s="31"/>
      <c r="I676" s="31"/>
      <c r="J676" s="31"/>
      <c r="K676" s="31"/>
      <c r="L676" s="31"/>
      <c r="M676" s="31"/>
      <c r="N676" s="31"/>
      <c r="U676" s="138"/>
      <c r="V676" s="138"/>
      <c r="W676" s="138"/>
    </row>
    <row r="677">
      <c r="A677" s="31"/>
      <c r="B677" s="31"/>
      <c r="C677" s="79"/>
      <c r="D677" s="79"/>
      <c r="E677" s="79"/>
      <c r="F677" s="31"/>
      <c r="G677" s="31"/>
      <c r="H677" s="31"/>
      <c r="I677" s="31"/>
      <c r="J677" s="31"/>
      <c r="K677" s="31"/>
      <c r="L677" s="31"/>
      <c r="M677" s="31"/>
      <c r="N677" s="31"/>
      <c r="U677" s="138"/>
      <c r="V677" s="138"/>
      <c r="W677" s="138"/>
    </row>
    <row r="678">
      <c r="A678" s="31"/>
      <c r="B678" s="31"/>
      <c r="C678" s="79"/>
      <c r="D678" s="79"/>
      <c r="E678" s="79"/>
      <c r="F678" s="31"/>
      <c r="G678" s="31"/>
      <c r="H678" s="31"/>
      <c r="I678" s="31"/>
      <c r="J678" s="31"/>
      <c r="K678" s="31"/>
      <c r="L678" s="31"/>
      <c r="M678" s="31"/>
      <c r="N678" s="31"/>
      <c r="U678" s="138"/>
      <c r="V678" s="138"/>
      <c r="W678" s="138"/>
    </row>
    <row r="679">
      <c r="A679" s="31"/>
      <c r="B679" s="31"/>
      <c r="C679" s="79"/>
      <c r="D679" s="79"/>
      <c r="E679" s="79"/>
      <c r="F679" s="31"/>
      <c r="G679" s="31"/>
      <c r="H679" s="31"/>
      <c r="I679" s="31"/>
      <c r="J679" s="31"/>
      <c r="K679" s="31"/>
      <c r="L679" s="31"/>
      <c r="M679" s="31"/>
      <c r="N679" s="31"/>
      <c r="U679" s="138"/>
      <c r="V679" s="138"/>
      <c r="W679" s="138"/>
    </row>
    <row r="680">
      <c r="A680" s="31"/>
      <c r="B680" s="31"/>
      <c r="C680" s="79"/>
      <c r="D680" s="79"/>
      <c r="E680" s="79"/>
      <c r="F680" s="31"/>
      <c r="G680" s="31"/>
      <c r="H680" s="31"/>
      <c r="I680" s="31"/>
      <c r="J680" s="31"/>
      <c r="K680" s="31"/>
      <c r="L680" s="31"/>
      <c r="M680" s="31"/>
      <c r="N680" s="31"/>
      <c r="U680" s="138"/>
      <c r="V680" s="138"/>
      <c r="W680" s="138"/>
    </row>
    <row r="681">
      <c r="A681" s="31"/>
      <c r="B681" s="31"/>
      <c r="C681" s="79"/>
      <c r="D681" s="79"/>
      <c r="E681" s="79"/>
      <c r="F681" s="31"/>
      <c r="G681" s="31"/>
      <c r="H681" s="31"/>
      <c r="I681" s="31"/>
      <c r="J681" s="31"/>
      <c r="K681" s="31"/>
      <c r="L681" s="31"/>
      <c r="M681" s="31"/>
      <c r="N681" s="31"/>
      <c r="U681" s="138"/>
      <c r="V681" s="138"/>
      <c r="W681" s="138"/>
    </row>
    <row r="682">
      <c r="A682" s="31"/>
      <c r="B682" s="31"/>
      <c r="C682" s="79"/>
      <c r="D682" s="79"/>
      <c r="E682" s="79"/>
      <c r="F682" s="31"/>
      <c r="G682" s="31"/>
      <c r="H682" s="31"/>
      <c r="I682" s="31"/>
      <c r="J682" s="31"/>
      <c r="K682" s="31"/>
      <c r="L682" s="31"/>
      <c r="M682" s="31"/>
      <c r="N682" s="31"/>
      <c r="U682" s="138"/>
      <c r="V682" s="138"/>
      <c r="W682" s="138"/>
    </row>
    <row r="683">
      <c r="A683" s="31"/>
      <c r="B683" s="31"/>
      <c r="C683" s="79"/>
      <c r="D683" s="79"/>
      <c r="E683" s="79"/>
      <c r="F683" s="31"/>
      <c r="G683" s="31"/>
      <c r="H683" s="31"/>
      <c r="I683" s="31"/>
      <c r="J683" s="31"/>
      <c r="K683" s="31"/>
      <c r="L683" s="31"/>
      <c r="M683" s="31"/>
      <c r="N683" s="31"/>
      <c r="U683" s="138"/>
      <c r="V683" s="138"/>
      <c r="W683" s="138"/>
    </row>
    <row r="684">
      <c r="A684" s="31"/>
      <c r="B684" s="31"/>
      <c r="C684" s="79"/>
      <c r="D684" s="79"/>
      <c r="E684" s="79"/>
      <c r="F684" s="31"/>
      <c r="G684" s="31"/>
      <c r="H684" s="31"/>
      <c r="I684" s="31"/>
      <c r="J684" s="31"/>
      <c r="K684" s="31"/>
      <c r="L684" s="31"/>
      <c r="M684" s="31"/>
      <c r="N684" s="31"/>
      <c r="U684" s="138"/>
      <c r="V684" s="138"/>
      <c r="W684" s="138"/>
    </row>
    <row r="685">
      <c r="A685" s="31"/>
      <c r="B685" s="31"/>
      <c r="C685" s="79"/>
      <c r="D685" s="79"/>
      <c r="E685" s="79"/>
      <c r="F685" s="31"/>
      <c r="G685" s="31"/>
      <c r="H685" s="31"/>
      <c r="I685" s="31"/>
      <c r="J685" s="31"/>
      <c r="K685" s="31"/>
      <c r="L685" s="31"/>
      <c r="M685" s="31"/>
      <c r="N685" s="31"/>
      <c r="U685" s="138"/>
      <c r="V685" s="138"/>
      <c r="W685" s="138"/>
    </row>
    <row r="686">
      <c r="A686" s="31"/>
      <c r="B686" s="31"/>
      <c r="C686" s="79"/>
      <c r="D686" s="79"/>
      <c r="E686" s="79"/>
      <c r="F686" s="31"/>
      <c r="G686" s="31"/>
      <c r="H686" s="31"/>
      <c r="I686" s="31"/>
      <c r="J686" s="31"/>
      <c r="K686" s="31"/>
      <c r="L686" s="31"/>
      <c r="M686" s="31"/>
      <c r="N686" s="31"/>
      <c r="U686" s="138"/>
      <c r="V686" s="138"/>
      <c r="W686" s="138"/>
    </row>
    <row r="687">
      <c r="A687" s="31"/>
      <c r="B687" s="31"/>
      <c r="C687" s="79"/>
      <c r="D687" s="79"/>
      <c r="E687" s="79"/>
      <c r="F687" s="31"/>
      <c r="G687" s="31"/>
      <c r="H687" s="31"/>
      <c r="I687" s="31"/>
      <c r="J687" s="31"/>
      <c r="K687" s="31"/>
      <c r="L687" s="31"/>
      <c r="M687" s="31"/>
      <c r="N687" s="31"/>
      <c r="U687" s="138"/>
      <c r="V687" s="138"/>
      <c r="W687" s="138"/>
    </row>
    <row r="688">
      <c r="A688" s="31"/>
      <c r="B688" s="31"/>
      <c r="C688" s="79"/>
      <c r="D688" s="79"/>
      <c r="E688" s="79"/>
      <c r="F688" s="31"/>
      <c r="G688" s="31"/>
      <c r="H688" s="31"/>
      <c r="I688" s="31"/>
      <c r="J688" s="31"/>
      <c r="K688" s="31"/>
      <c r="L688" s="31"/>
      <c r="M688" s="31"/>
      <c r="N688" s="31"/>
      <c r="U688" s="138"/>
      <c r="V688" s="138"/>
      <c r="W688" s="138"/>
    </row>
    <row r="689">
      <c r="A689" s="31"/>
      <c r="B689" s="31"/>
      <c r="C689" s="79"/>
      <c r="D689" s="79"/>
      <c r="E689" s="79"/>
      <c r="F689" s="31"/>
      <c r="G689" s="31"/>
      <c r="H689" s="31"/>
      <c r="I689" s="31"/>
      <c r="J689" s="31"/>
      <c r="K689" s="31"/>
      <c r="L689" s="31"/>
      <c r="M689" s="31"/>
      <c r="N689" s="31"/>
      <c r="U689" s="138"/>
      <c r="V689" s="138"/>
      <c r="W689" s="138"/>
    </row>
    <row r="690">
      <c r="A690" s="31"/>
      <c r="B690" s="31"/>
      <c r="C690" s="79"/>
      <c r="D690" s="79"/>
      <c r="E690" s="79"/>
      <c r="F690" s="31"/>
      <c r="G690" s="31"/>
      <c r="H690" s="31"/>
      <c r="I690" s="31"/>
      <c r="J690" s="31"/>
      <c r="K690" s="31"/>
      <c r="L690" s="31"/>
      <c r="M690" s="31"/>
      <c r="N690" s="31"/>
      <c r="U690" s="138"/>
      <c r="V690" s="138"/>
      <c r="W690" s="138"/>
    </row>
    <row r="691">
      <c r="A691" s="31"/>
      <c r="B691" s="31"/>
      <c r="C691" s="79"/>
      <c r="D691" s="79"/>
      <c r="E691" s="79"/>
      <c r="F691" s="31"/>
      <c r="G691" s="31"/>
      <c r="H691" s="31"/>
      <c r="I691" s="31"/>
      <c r="J691" s="31"/>
      <c r="K691" s="31"/>
      <c r="L691" s="31"/>
      <c r="M691" s="31"/>
      <c r="N691" s="31"/>
      <c r="U691" s="138"/>
      <c r="V691" s="138"/>
      <c r="W691" s="138"/>
    </row>
    <row r="692">
      <c r="A692" s="31"/>
      <c r="B692" s="31"/>
      <c r="C692" s="79"/>
      <c r="D692" s="79"/>
      <c r="E692" s="79"/>
      <c r="F692" s="31"/>
      <c r="G692" s="31"/>
      <c r="H692" s="31"/>
      <c r="I692" s="31"/>
      <c r="J692" s="31"/>
      <c r="K692" s="31"/>
      <c r="L692" s="31"/>
      <c r="M692" s="31"/>
      <c r="N692" s="31"/>
      <c r="U692" s="138"/>
      <c r="V692" s="138"/>
      <c r="W692" s="138"/>
    </row>
    <row r="693">
      <c r="A693" s="31"/>
      <c r="B693" s="31"/>
      <c r="C693" s="79"/>
      <c r="D693" s="79"/>
      <c r="E693" s="79"/>
      <c r="F693" s="31"/>
      <c r="G693" s="31"/>
      <c r="H693" s="31"/>
      <c r="I693" s="31"/>
      <c r="J693" s="31"/>
      <c r="K693" s="31"/>
      <c r="L693" s="31"/>
      <c r="M693" s="31"/>
      <c r="N693" s="31"/>
      <c r="U693" s="138"/>
      <c r="V693" s="138"/>
      <c r="W693" s="138"/>
    </row>
    <row r="694">
      <c r="A694" s="31"/>
      <c r="B694" s="31"/>
      <c r="C694" s="79"/>
      <c r="D694" s="79"/>
      <c r="E694" s="79"/>
      <c r="F694" s="31"/>
      <c r="G694" s="31"/>
      <c r="H694" s="31"/>
      <c r="I694" s="31"/>
      <c r="J694" s="31"/>
      <c r="K694" s="31"/>
      <c r="L694" s="31"/>
      <c r="M694" s="31"/>
      <c r="N694" s="31"/>
      <c r="U694" s="138"/>
      <c r="V694" s="138"/>
      <c r="W694" s="138"/>
    </row>
    <row r="695">
      <c r="A695" s="31"/>
      <c r="B695" s="31"/>
      <c r="C695" s="79"/>
      <c r="D695" s="79"/>
      <c r="E695" s="79"/>
      <c r="F695" s="31"/>
      <c r="G695" s="31"/>
      <c r="H695" s="31"/>
      <c r="I695" s="31"/>
      <c r="J695" s="31"/>
      <c r="K695" s="31"/>
      <c r="L695" s="31"/>
      <c r="M695" s="31"/>
      <c r="N695" s="31"/>
      <c r="U695" s="138"/>
      <c r="V695" s="138"/>
      <c r="W695" s="138"/>
    </row>
    <row r="696">
      <c r="A696" s="31"/>
      <c r="B696" s="31"/>
      <c r="C696" s="79"/>
      <c r="D696" s="79"/>
      <c r="E696" s="79"/>
      <c r="F696" s="31"/>
      <c r="G696" s="31"/>
      <c r="H696" s="31"/>
      <c r="I696" s="31"/>
      <c r="J696" s="31"/>
      <c r="K696" s="31"/>
      <c r="L696" s="31"/>
      <c r="M696" s="31"/>
      <c r="N696" s="31"/>
      <c r="U696" s="138"/>
      <c r="V696" s="138"/>
      <c r="W696" s="138"/>
    </row>
    <row r="697">
      <c r="A697" s="31"/>
      <c r="B697" s="31"/>
      <c r="C697" s="79"/>
      <c r="D697" s="79"/>
      <c r="E697" s="79"/>
      <c r="F697" s="31"/>
      <c r="G697" s="31"/>
      <c r="H697" s="31"/>
      <c r="I697" s="31"/>
      <c r="J697" s="31"/>
      <c r="K697" s="31"/>
      <c r="L697" s="31"/>
      <c r="M697" s="31"/>
      <c r="N697" s="31"/>
      <c r="U697" s="138"/>
      <c r="V697" s="138"/>
      <c r="W697" s="138"/>
    </row>
    <row r="698">
      <c r="A698" s="31"/>
      <c r="B698" s="31"/>
      <c r="C698" s="79"/>
      <c r="D698" s="79"/>
      <c r="E698" s="79"/>
      <c r="F698" s="31"/>
      <c r="G698" s="31"/>
      <c r="H698" s="31"/>
      <c r="I698" s="31"/>
      <c r="J698" s="31"/>
      <c r="K698" s="31"/>
      <c r="L698" s="31"/>
      <c r="M698" s="31"/>
      <c r="N698" s="31"/>
      <c r="U698" s="138"/>
      <c r="V698" s="138"/>
      <c r="W698" s="138"/>
    </row>
    <row r="699">
      <c r="A699" s="31"/>
      <c r="B699" s="31"/>
      <c r="C699" s="79"/>
      <c r="D699" s="79"/>
      <c r="E699" s="79"/>
      <c r="F699" s="31"/>
      <c r="G699" s="31"/>
      <c r="H699" s="31"/>
      <c r="I699" s="31"/>
      <c r="J699" s="31"/>
      <c r="K699" s="31"/>
      <c r="L699" s="31"/>
      <c r="M699" s="31"/>
      <c r="N699" s="31"/>
      <c r="U699" s="138"/>
      <c r="V699" s="138"/>
      <c r="W699" s="138"/>
    </row>
    <row r="700">
      <c r="A700" s="31"/>
      <c r="B700" s="31"/>
      <c r="C700" s="79"/>
      <c r="D700" s="79"/>
      <c r="E700" s="79"/>
      <c r="F700" s="31"/>
      <c r="G700" s="31"/>
      <c r="H700" s="31"/>
      <c r="I700" s="31"/>
      <c r="J700" s="31"/>
      <c r="K700" s="31"/>
      <c r="L700" s="31"/>
      <c r="M700" s="31"/>
      <c r="N700" s="31"/>
      <c r="U700" s="138"/>
      <c r="V700" s="138"/>
      <c r="W700" s="138"/>
    </row>
    <row r="701">
      <c r="A701" s="31"/>
      <c r="B701" s="31"/>
      <c r="C701" s="79"/>
      <c r="D701" s="79"/>
      <c r="E701" s="79"/>
      <c r="F701" s="31"/>
      <c r="G701" s="31"/>
      <c r="H701" s="31"/>
      <c r="I701" s="31"/>
      <c r="J701" s="31"/>
      <c r="K701" s="31"/>
      <c r="L701" s="31"/>
      <c r="M701" s="31"/>
      <c r="N701" s="31"/>
      <c r="U701" s="138"/>
      <c r="V701" s="138"/>
      <c r="W701" s="138"/>
    </row>
    <row r="702">
      <c r="A702" s="31"/>
      <c r="B702" s="31"/>
      <c r="C702" s="79"/>
      <c r="D702" s="79"/>
      <c r="E702" s="79"/>
      <c r="F702" s="31"/>
      <c r="G702" s="31"/>
      <c r="H702" s="31"/>
      <c r="I702" s="31"/>
      <c r="J702" s="31"/>
      <c r="K702" s="31"/>
      <c r="L702" s="31"/>
      <c r="M702" s="31"/>
      <c r="N702" s="31"/>
      <c r="U702" s="138"/>
      <c r="V702" s="138"/>
      <c r="W702" s="138"/>
    </row>
    <row r="703">
      <c r="A703" s="31"/>
      <c r="B703" s="31"/>
      <c r="C703" s="79"/>
      <c r="D703" s="79"/>
      <c r="E703" s="79"/>
      <c r="F703" s="31"/>
      <c r="G703" s="31"/>
      <c r="H703" s="31"/>
      <c r="I703" s="31"/>
      <c r="J703" s="31"/>
      <c r="K703" s="31"/>
      <c r="L703" s="31"/>
      <c r="M703" s="31"/>
      <c r="N703" s="31"/>
      <c r="U703" s="138"/>
      <c r="V703" s="138"/>
      <c r="W703" s="138"/>
    </row>
    <row r="704">
      <c r="A704" s="31"/>
      <c r="B704" s="31"/>
      <c r="C704" s="79"/>
      <c r="D704" s="79"/>
      <c r="E704" s="79"/>
      <c r="F704" s="31"/>
      <c r="G704" s="31"/>
      <c r="H704" s="31"/>
      <c r="I704" s="31"/>
      <c r="J704" s="31"/>
      <c r="K704" s="31"/>
      <c r="L704" s="31"/>
      <c r="M704" s="31"/>
      <c r="N704" s="31"/>
      <c r="U704" s="138"/>
      <c r="V704" s="138"/>
      <c r="W704" s="138"/>
    </row>
    <row r="705">
      <c r="A705" s="31"/>
      <c r="B705" s="31"/>
      <c r="C705" s="79"/>
      <c r="D705" s="79"/>
      <c r="E705" s="79"/>
      <c r="F705" s="31"/>
      <c r="G705" s="31"/>
      <c r="H705" s="31"/>
      <c r="I705" s="31"/>
      <c r="J705" s="31"/>
      <c r="K705" s="31"/>
      <c r="L705" s="31"/>
      <c r="M705" s="31"/>
      <c r="N705" s="31"/>
      <c r="U705" s="138"/>
      <c r="V705" s="138"/>
      <c r="W705" s="138"/>
    </row>
    <row r="706">
      <c r="A706" s="31"/>
      <c r="B706" s="31"/>
      <c r="C706" s="79"/>
      <c r="D706" s="79"/>
      <c r="E706" s="79"/>
      <c r="F706" s="31"/>
      <c r="G706" s="31"/>
      <c r="H706" s="31"/>
      <c r="I706" s="31"/>
      <c r="J706" s="31"/>
      <c r="K706" s="31"/>
      <c r="L706" s="31"/>
      <c r="M706" s="31"/>
      <c r="N706" s="31"/>
      <c r="U706" s="138"/>
      <c r="V706" s="138"/>
      <c r="W706" s="138"/>
    </row>
    <row r="707">
      <c r="A707" s="31"/>
      <c r="B707" s="31"/>
      <c r="C707" s="79"/>
      <c r="D707" s="79"/>
      <c r="E707" s="79"/>
      <c r="F707" s="31"/>
      <c r="G707" s="31"/>
      <c r="H707" s="31"/>
      <c r="I707" s="31"/>
      <c r="J707" s="31"/>
      <c r="K707" s="31"/>
      <c r="L707" s="31"/>
      <c r="M707" s="31"/>
      <c r="N707" s="31"/>
      <c r="U707" s="138"/>
      <c r="V707" s="138"/>
      <c r="W707" s="138"/>
    </row>
    <row r="708">
      <c r="A708" s="31"/>
      <c r="B708" s="31"/>
      <c r="C708" s="79"/>
      <c r="D708" s="79"/>
      <c r="E708" s="79"/>
      <c r="F708" s="31"/>
      <c r="G708" s="31"/>
      <c r="H708" s="31"/>
      <c r="I708" s="31"/>
      <c r="J708" s="31"/>
      <c r="K708" s="31"/>
      <c r="L708" s="31"/>
      <c r="M708" s="31"/>
      <c r="N708" s="31"/>
      <c r="U708" s="138"/>
      <c r="V708" s="138"/>
      <c r="W708" s="138"/>
    </row>
    <row r="709">
      <c r="A709" s="31"/>
      <c r="B709" s="31"/>
      <c r="C709" s="79"/>
      <c r="D709" s="79"/>
      <c r="E709" s="79"/>
      <c r="F709" s="31"/>
      <c r="G709" s="31"/>
      <c r="H709" s="31"/>
      <c r="I709" s="31"/>
      <c r="J709" s="31"/>
      <c r="K709" s="31"/>
      <c r="L709" s="31"/>
      <c r="M709" s="31"/>
      <c r="N709" s="31"/>
      <c r="U709" s="138"/>
      <c r="V709" s="138"/>
      <c r="W709" s="138"/>
    </row>
    <row r="710">
      <c r="A710" s="31"/>
      <c r="B710" s="31"/>
      <c r="C710" s="79"/>
      <c r="D710" s="79"/>
      <c r="E710" s="79"/>
      <c r="F710" s="31"/>
      <c r="G710" s="31"/>
      <c r="H710" s="31"/>
      <c r="I710" s="31"/>
      <c r="J710" s="31"/>
      <c r="K710" s="31"/>
      <c r="L710" s="31"/>
      <c r="M710" s="31"/>
      <c r="N710" s="31"/>
      <c r="U710" s="138"/>
      <c r="V710" s="138"/>
      <c r="W710" s="138"/>
    </row>
    <row r="711">
      <c r="A711" s="31"/>
      <c r="B711" s="31"/>
      <c r="C711" s="79"/>
      <c r="D711" s="79"/>
      <c r="E711" s="79"/>
      <c r="F711" s="31"/>
      <c r="G711" s="31"/>
      <c r="H711" s="31"/>
      <c r="I711" s="31"/>
      <c r="J711" s="31"/>
      <c r="K711" s="31"/>
      <c r="L711" s="31"/>
      <c r="M711" s="31"/>
      <c r="N711" s="31"/>
      <c r="U711" s="138"/>
      <c r="V711" s="138"/>
      <c r="W711" s="138"/>
    </row>
    <row r="712">
      <c r="A712" s="31"/>
      <c r="B712" s="31"/>
      <c r="C712" s="79"/>
      <c r="D712" s="79"/>
      <c r="E712" s="79"/>
      <c r="F712" s="31"/>
      <c r="G712" s="31"/>
      <c r="H712" s="31"/>
      <c r="I712" s="31"/>
      <c r="J712" s="31"/>
      <c r="K712" s="31"/>
      <c r="L712" s="31"/>
      <c r="M712" s="31"/>
      <c r="N712" s="31"/>
      <c r="U712" s="138"/>
      <c r="V712" s="138"/>
      <c r="W712" s="138"/>
    </row>
    <row r="713">
      <c r="A713" s="31"/>
      <c r="B713" s="31"/>
      <c r="C713" s="79"/>
      <c r="D713" s="79"/>
      <c r="E713" s="79"/>
      <c r="F713" s="31"/>
      <c r="G713" s="31"/>
      <c r="H713" s="31"/>
      <c r="I713" s="31"/>
      <c r="J713" s="31"/>
      <c r="K713" s="31"/>
      <c r="L713" s="31"/>
      <c r="M713" s="31"/>
      <c r="N713" s="31"/>
      <c r="U713" s="138"/>
      <c r="V713" s="138"/>
      <c r="W713" s="138"/>
    </row>
    <row r="714">
      <c r="A714" s="31"/>
      <c r="B714" s="31"/>
      <c r="C714" s="79"/>
      <c r="D714" s="79"/>
      <c r="E714" s="79"/>
      <c r="F714" s="31"/>
      <c r="G714" s="31"/>
      <c r="H714" s="31"/>
      <c r="I714" s="31"/>
      <c r="J714" s="31"/>
      <c r="K714" s="31"/>
      <c r="L714" s="31"/>
      <c r="M714" s="31"/>
      <c r="N714" s="31"/>
      <c r="U714" s="138"/>
      <c r="V714" s="138"/>
      <c r="W714" s="138"/>
    </row>
    <row r="715">
      <c r="A715" s="31"/>
      <c r="B715" s="31"/>
      <c r="C715" s="79"/>
      <c r="D715" s="79"/>
      <c r="E715" s="79"/>
      <c r="F715" s="31"/>
      <c r="G715" s="31"/>
      <c r="H715" s="31"/>
      <c r="I715" s="31"/>
      <c r="J715" s="31"/>
      <c r="K715" s="31"/>
      <c r="L715" s="31"/>
      <c r="M715" s="31"/>
      <c r="N715" s="31"/>
      <c r="U715" s="138"/>
      <c r="V715" s="138"/>
      <c r="W715" s="138"/>
    </row>
    <row r="716">
      <c r="A716" s="31"/>
      <c r="B716" s="31"/>
      <c r="C716" s="79"/>
      <c r="D716" s="79"/>
      <c r="E716" s="79"/>
      <c r="F716" s="31"/>
      <c r="G716" s="31"/>
      <c r="H716" s="31"/>
      <c r="I716" s="31"/>
      <c r="J716" s="31"/>
      <c r="K716" s="31"/>
      <c r="L716" s="31"/>
      <c r="M716" s="31"/>
      <c r="N716" s="31"/>
      <c r="U716" s="138"/>
      <c r="V716" s="138"/>
      <c r="W716" s="138"/>
    </row>
    <row r="717">
      <c r="A717" s="31"/>
      <c r="B717" s="31"/>
      <c r="C717" s="79"/>
      <c r="D717" s="79"/>
      <c r="E717" s="79"/>
      <c r="F717" s="31"/>
      <c r="G717" s="31"/>
      <c r="H717" s="31"/>
      <c r="I717" s="31"/>
      <c r="J717" s="31"/>
      <c r="K717" s="31"/>
      <c r="L717" s="31"/>
      <c r="M717" s="31"/>
      <c r="N717" s="31"/>
      <c r="U717" s="138"/>
      <c r="V717" s="138"/>
      <c r="W717" s="138"/>
    </row>
    <row r="718">
      <c r="A718" s="31"/>
      <c r="B718" s="31"/>
      <c r="C718" s="79"/>
      <c r="D718" s="79"/>
      <c r="E718" s="79"/>
      <c r="F718" s="31"/>
      <c r="G718" s="31"/>
      <c r="H718" s="31"/>
      <c r="I718" s="31"/>
      <c r="J718" s="31"/>
      <c r="K718" s="31"/>
      <c r="L718" s="31"/>
      <c r="M718" s="31"/>
      <c r="N718" s="31"/>
      <c r="U718" s="138"/>
      <c r="V718" s="138"/>
      <c r="W718" s="138"/>
    </row>
    <row r="719">
      <c r="A719" s="31"/>
      <c r="B719" s="31"/>
      <c r="C719" s="79"/>
      <c r="D719" s="79"/>
      <c r="E719" s="79"/>
      <c r="F719" s="31"/>
      <c r="G719" s="31"/>
      <c r="H719" s="31"/>
      <c r="I719" s="31"/>
      <c r="J719" s="31"/>
      <c r="K719" s="31"/>
      <c r="L719" s="31"/>
      <c r="M719" s="31"/>
      <c r="N719" s="31"/>
      <c r="U719" s="138"/>
      <c r="V719" s="138"/>
      <c r="W719" s="138"/>
    </row>
    <row r="720">
      <c r="A720" s="31"/>
      <c r="B720" s="31"/>
      <c r="C720" s="79"/>
      <c r="D720" s="79"/>
      <c r="E720" s="79"/>
      <c r="F720" s="31"/>
      <c r="G720" s="31"/>
      <c r="H720" s="31"/>
      <c r="I720" s="31"/>
      <c r="J720" s="31"/>
      <c r="K720" s="31"/>
      <c r="L720" s="31"/>
      <c r="M720" s="31"/>
      <c r="N720" s="31"/>
      <c r="U720" s="138"/>
      <c r="V720" s="138"/>
      <c r="W720" s="138"/>
    </row>
    <row r="721">
      <c r="A721" s="31"/>
      <c r="B721" s="31"/>
      <c r="C721" s="79"/>
      <c r="D721" s="79"/>
      <c r="E721" s="79"/>
      <c r="F721" s="31"/>
      <c r="G721" s="31"/>
      <c r="H721" s="31"/>
      <c r="I721" s="31"/>
      <c r="J721" s="31"/>
      <c r="K721" s="31"/>
      <c r="L721" s="31"/>
      <c r="M721" s="31"/>
      <c r="N721" s="31"/>
      <c r="U721" s="138"/>
      <c r="V721" s="138"/>
      <c r="W721" s="138"/>
    </row>
    <row r="722">
      <c r="A722" s="31"/>
      <c r="B722" s="31"/>
      <c r="C722" s="79"/>
      <c r="D722" s="79"/>
      <c r="E722" s="79"/>
      <c r="F722" s="31"/>
      <c r="G722" s="31"/>
      <c r="H722" s="31"/>
      <c r="I722" s="31"/>
      <c r="J722" s="31"/>
      <c r="K722" s="31"/>
      <c r="L722" s="31"/>
      <c r="M722" s="31"/>
      <c r="N722" s="31"/>
      <c r="U722" s="138"/>
      <c r="V722" s="138"/>
      <c r="W722" s="138"/>
    </row>
    <row r="723">
      <c r="A723" s="31"/>
      <c r="B723" s="31"/>
      <c r="C723" s="79"/>
      <c r="D723" s="79"/>
      <c r="E723" s="79"/>
      <c r="F723" s="31"/>
      <c r="G723" s="31"/>
      <c r="H723" s="31"/>
      <c r="I723" s="31"/>
      <c r="J723" s="31"/>
      <c r="K723" s="31"/>
      <c r="L723" s="31"/>
      <c r="M723" s="31"/>
      <c r="N723" s="31"/>
      <c r="U723" s="138"/>
      <c r="V723" s="138"/>
      <c r="W723" s="138"/>
    </row>
    <row r="724">
      <c r="A724" s="31"/>
      <c r="B724" s="31"/>
      <c r="C724" s="79"/>
      <c r="D724" s="79"/>
      <c r="E724" s="79"/>
      <c r="F724" s="31"/>
      <c r="G724" s="31"/>
      <c r="H724" s="31"/>
      <c r="I724" s="31"/>
      <c r="J724" s="31"/>
      <c r="K724" s="31"/>
      <c r="L724" s="31"/>
      <c r="M724" s="31"/>
      <c r="N724" s="31"/>
      <c r="U724" s="138"/>
      <c r="V724" s="138"/>
      <c r="W724" s="138"/>
    </row>
    <row r="725">
      <c r="A725" s="31"/>
      <c r="B725" s="31"/>
      <c r="C725" s="79"/>
      <c r="D725" s="79"/>
      <c r="E725" s="79"/>
      <c r="F725" s="31"/>
      <c r="G725" s="31"/>
      <c r="H725" s="31"/>
      <c r="I725" s="31"/>
      <c r="J725" s="31"/>
      <c r="K725" s="31"/>
      <c r="L725" s="31"/>
      <c r="M725" s="31"/>
      <c r="N725" s="31"/>
      <c r="U725" s="138"/>
      <c r="V725" s="138"/>
      <c r="W725" s="138"/>
    </row>
    <row r="726">
      <c r="A726" s="31"/>
      <c r="B726" s="31"/>
      <c r="C726" s="79"/>
      <c r="D726" s="79"/>
      <c r="E726" s="79"/>
      <c r="F726" s="31"/>
      <c r="G726" s="31"/>
      <c r="H726" s="31"/>
      <c r="I726" s="31"/>
      <c r="J726" s="31"/>
      <c r="K726" s="31"/>
      <c r="L726" s="31"/>
      <c r="M726" s="31"/>
      <c r="N726" s="31"/>
      <c r="U726" s="138"/>
      <c r="V726" s="138"/>
      <c r="W726" s="138"/>
    </row>
    <row r="727">
      <c r="A727" s="31"/>
      <c r="B727" s="31"/>
      <c r="C727" s="79"/>
      <c r="D727" s="79"/>
      <c r="E727" s="79"/>
      <c r="F727" s="31"/>
      <c r="G727" s="31"/>
      <c r="H727" s="31"/>
      <c r="I727" s="31"/>
      <c r="J727" s="31"/>
      <c r="K727" s="31"/>
      <c r="L727" s="31"/>
      <c r="M727" s="31"/>
      <c r="N727" s="31"/>
      <c r="U727" s="138"/>
      <c r="V727" s="138"/>
      <c r="W727" s="138"/>
    </row>
    <row r="728">
      <c r="A728" s="31"/>
      <c r="B728" s="31"/>
      <c r="C728" s="79"/>
      <c r="D728" s="79"/>
      <c r="E728" s="79"/>
      <c r="F728" s="31"/>
      <c r="G728" s="31"/>
      <c r="H728" s="31"/>
      <c r="I728" s="31"/>
      <c r="J728" s="31"/>
      <c r="K728" s="31"/>
      <c r="L728" s="31"/>
      <c r="M728" s="31"/>
      <c r="N728" s="31"/>
      <c r="U728" s="138"/>
      <c r="V728" s="138"/>
      <c r="W728" s="138"/>
    </row>
    <row r="729">
      <c r="A729" s="31"/>
      <c r="B729" s="31"/>
      <c r="C729" s="79"/>
      <c r="D729" s="79"/>
      <c r="E729" s="79"/>
      <c r="F729" s="31"/>
      <c r="G729" s="31"/>
      <c r="H729" s="31"/>
      <c r="I729" s="31"/>
      <c r="J729" s="31"/>
      <c r="K729" s="31"/>
      <c r="L729" s="31"/>
      <c r="M729" s="31"/>
      <c r="N729" s="31"/>
      <c r="U729" s="138"/>
      <c r="V729" s="138"/>
      <c r="W729" s="138"/>
    </row>
    <row r="730">
      <c r="A730" s="31"/>
      <c r="B730" s="31"/>
      <c r="C730" s="79"/>
      <c r="D730" s="79"/>
      <c r="E730" s="79"/>
      <c r="F730" s="31"/>
      <c r="G730" s="31"/>
      <c r="H730" s="31"/>
      <c r="I730" s="31"/>
      <c r="J730" s="31"/>
      <c r="K730" s="31"/>
      <c r="L730" s="31"/>
      <c r="M730" s="31"/>
      <c r="N730" s="31"/>
      <c r="U730" s="138"/>
      <c r="V730" s="138"/>
      <c r="W730" s="138"/>
    </row>
    <row r="731">
      <c r="A731" s="31"/>
      <c r="B731" s="31"/>
      <c r="C731" s="79"/>
      <c r="D731" s="79"/>
      <c r="E731" s="79"/>
      <c r="F731" s="31"/>
      <c r="G731" s="31"/>
      <c r="H731" s="31"/>
      <c r="I731" s="31"/>
      <c r="J731" s="31"/>
      <c r="K731" s="31"/>
      <c r="L731" s="31"/>
      <c r="M731" s="31"/>
      <c r="N731" s="31"/>
      <c r="U731" s="138"/>
      <c r="V731" s="138"/>
      <c r="W731" s="138"/>
    </row>
    <row r="732">
      <c r="A732" s="31"/>
      <c r="B732" s="31"/>
      <c r="C732" s="79"/>
      <c r="D732" s="79"/>
      <c r="E732" s="79"/>
      <c r="F732" s="31"/>
      <c r="G732" s="31"/>
      <c r="H732" s="31"/>
      <c r="I732" s="31"/>
      <c r="J732" s="31"/>
      <c r="K732" s="31"/>
      <c r="L732" s="31"/>
      <c r="M732" s="31"/>
      <c r="N732" s="31"/>
      <c r="U732" s="138"/>
      <c r="V732" s="138"/>
      <c r="W732" s="138"/>
    </row>
    <row r="733">
      <c r="A733" s="31"/>
      <c r="B733" s="31"/>
      <c r="C733" s="79"/>
      <c r="D733" s="79"/>
      <c r="E733" s="79"/>
      <c r="F733" s="31"/>
      <c r="G733" s="31"/>
      <c r="H733" s="31"/>
      <c r="I733" s="31"/>
      <c r="J733" s="31"/>
      <c r="K733" s="31"/>
      <c r="L733" s="31"/>
      <c r="M733" s="31"/>
      <c r="N733" s="31"/>
      <c r="U733" s="138"/>
      <c r="V733" s="138"/>
      <c r="W733" s="138"/>
    </row>
    <row r="734">
      <c r="A734" s="31"/>
      <c r="B734" s="31"/>
      <c r="C734" s="79"/>
      <c r="D734" s="79"/>
      <c r="E734" s="79"/>
      <c r="F734" s="31"/>
      <c r="G734" s="31"/>
      <c r="H734" s="31"/>
      <c r="I734" s="31"/>
      <c r="J734" s="31"/>
      <c r="K734" s="31"/>
      <c r="L734" s="31"/>
      <c r="M734" s="31"/>
      <c r="N734" s="31"/>
      <c r="U734" s="138"/>
      <c r="V734" s="138"/>
      <c r="W734" s="138"/>
    </row>
    <row r="735">
      <c r="A735" s="31"/>
      <c r="B735" s="31"/>
      <c r="C735" s="79"/>
      <c r="D735" s="79"/>
      <c r="E735" s="79"/>
      <c r="F735" s="31"/>
      <c r="G735" s="31"/>
      <c r="H735" s="31"/>
      <c r="I735" s="31"/>
      <c r="J735" s="31"/>
      <c r="K735" s="31"/>
      <c r="L735" s="31"/>
      <c r="M735" s="31"/>
      <c r="N735" s="31"/>
      <c r="U735" s="138"/>
      <c r="V735" s="138"/>
      <c r="W735" s="138"/>
    </row>
    <row r="736">
      <c r="A736" s="31"/>
      <c r="B736" s="31"/>
      <c r="C736" s="79"/>
      <c r="D736" s="79"/>
      <c r="E736" s="79"/>
      <c r="F736" s="31"/>
      <c r="G736" s="31"/>
      <c r="H736" s="31"/>
      <c r="I736" s="31"/>
      <c r="J736" s="31"/>
      <c r="K736" s="31"/>
      <c r="L736" s="31"/>
      <c r="M736" s="31"/>
      <c r="N736" s="31"/>
      <c r="U736" s="138"/>
      <c r="V736" s="138"/>
      <c r="W736" s="138"/>
    </row>
    <row r="737">
      <c r="A737" s="31"/>
      <c r="B737" s="31"/>
      <c r="C737" s="79"/>
      <c r="D737" s="79"/>
      <c r="E737" s="79"/>
      <c r="F737" s="31"/>
      <c r="G737" s="31"/>
      <c r="H737" s="31"/>
      <c r="I737" s="31"/>
      <c r="J737" s="31"/>
      <c r="K737" s="31"/>
      <c r="L737" s="31"/>
      <c r="M737" s="31"/>
      <c r="N737" s="31"/>
      <c r="U737" s="138"/>
      <c r="V737" s="138"/>
      <c r="W737" s="138"/>
    </row>
    <row r="738">
      <c r="A738" s="31"/>
      <c r="B738" s="31"/>
      <c r="C738" s="79"/>
      <c r="D738" s="79"/>
      <c r="E738" s="79"/>
      <c r="F738" s="31"/>
      <c r="G738" s="31"/>
      <c r="H738" s="31"/>
      <c r="I738" s="31"/>
      <c r="J738" s="31"/>
      <c r="K738" s="31"/>
      <c r="L738" s="31"/>
      <c r="M738" s="31"/>
      <c r="N738" s="31"/>
      <c r="U738" s="138"/>
      <c r="V738" s="138"/>
      <c r="W738" s="138"/>
    </row>
    <row r="739">
      <c r="A739" s="31"/>
      <c r="B739" s="31"/>
      <c r="C739" s="79"/>
      <c r="D739" s="79"/>
      <c r="E739" s="79"/>
      <c r="F739" s="31"/>
      <c r="G739" s="31"/>
      <c r="H739" s="31"/>
      <c r="I739" s="31"/>
      <c r="J739" s="31"/>
      <c r="K739" s="31"/>
      <c r="L739" s="31"/>
      <c r="M739" s="31"/>
      <c r="N739" s="31"/>
      <c r="U739" s="138"/>
      <c r="V739" s="138"/>
      <c r="W739" s="138"/>
    </row>
    <row r="740">
      <c r="A740" s="31"/>
      <c r="B740" s="31"/>
      <c r="C740" s="79"/>
      <c r="D740" s="79"/>
      <c r="E740" s="79"/>
      <c r="F740" s="31"/>
      <c r="G740" s="31"/>
      <c r="H740" s="31"/>
      <c r="I740" s="31"/>
      <c r="J740" s="31"/>
      <c r="K740" s="31"/>
      <c r="L740" s="31"/>
      <c r="M740" s="31"/>
      <c r="N740" s="31"/>
      <c r="U740" s="138"/>
      <c r="V740" s="138"/>
      <c r="W740" s="138"/>
    </row>
    <row r="741">
      <c r="A741" s="31"/>
      <c r="B741" s="31"/>
      <c r="C741" s="79"/>
      <c r="D741" s="79"/>
      <c r="E741" s="79"/>
      <c r="F741" s="31"/>
      <c r="G741" s="31"/>
      <c r="H741" s="31"/>
      <c r="I741" s="31"/>
      <c r="J741" s="31"/>
      <c r="K741" s="31"/>
      <c r="L741" s="31"/>
      <c r="M741" s="31"/>
      <c r="N741" s="31"/>
      <c r="U741" s="138"/>
      <c r="V741" s="138"/>
      <c r="W741" s="138"/>
    </row>
    <row r="742">
      <c r="A742" s="31"/>
      <c r="B742" s="31"/>
      <c r="C742" s="79"/>
      <c r="D742" s="79"/>
      <c r="E742" s="79"/>
      <c r="F742" s="31"/>
      <c r="G742" s="31"/>
      <c r="H742" s="31"/>
      <c r="I742" s="31"/>
      <c r="J742" s="31"/>
      <c r="K742" s="31"/>
      <c r="L742" s="31"/>
      <c r="M742" s="31"/>
      <c r="N742" s="31"/>
      <c r="U742" s="138"/>
      <c r="V742" s="138"/>
      <c r="W742" s="138"/>
    </row>
    <row r="743">
      <c r="A743" s="31"/>
      <c r="B743" s="31"/>
      <c r="C743" s="79"/>
      <c r="D743" s="79"/>
      <c r="E743" s="79"/>
      <c r="F743" s="31"/>
      <c r="G743" s="31"/>
      <c r="H743" s="31"/>
      <c r="I743" s="31"/>
      <c r="J743" s="31"/>
      <c r="K743" s="31"/>
      <c r="L743" s="31"/>
      <c r="M743" s="31"/>
      <c r="N743" s="31"/>
      <c r="U743" s="138"/>
      <c r="V743" s="138"/>
      <c r="W743" s="138"/>
    </row>
    <row r="744">
      <c r="A744" s="31"/>
      <c r="B744" s="31"/>
      <c r="C744" s="79"/>
      <c r="D744" s="79"/>
      <c r="E744" s="79"/>
      <c r="F744" s="31"/>
      <c r="G744" s="31"/>
      <c r="H744" s="31"/>
      <c r="I744" s="31"/>
      <c r="J744" s="31"/>
      <c r="K744" s="31"/>
      <c r="L744" s="31"/>
      <c r="M744" s="31"/>
      <c r="N744" s="31"/>
      <c r="U744" s="138"/>
      <c r="V744" s="138"/>
      <c r="W744" s="138"/>
    </row>
    <row r="745">
      <c r="A745" s="31"/>
      <c r="B745" s="31"/>
      <c r="C745" s="79"/>
      <c r="D745" s="79"/>
      <c r="E745" s="79"/>
      <c r="F745" s="31"/>
      <c r="G745" s="31"/>
      <c r="H745" s="31"/>
      <c r="I745" s="31"/>
      <c r="J745" s="31"/>
      <c r="K745" s="31"/>
      <c r="L745" s="31"/>
      <c r="M745" s="31"/>
      <c r="N745" s="31"/>
      <c r="U745" s="138"/>
      <c r="V745" s="138"/>
      <c r="W745" s="138"/>
    </row>
    <row r="746">
      <c r="A746" s="31"/>
      <c r="B746" s="31"/>
      <c r="C746" s="79"/>
      <c r="D746" s="79"/>
      <c r="E746" s="79"/>
      <c r="F746" s="31"/>
      <c r="G746" s="31"/>
      <c r="H746" s="31"/>
      <c r="I746" s="31"/>
      <c r="J746" s="31"/>
      <c r="K746" s="31"/>
      <c r="L746" s="31"/>
      <c r="M746" s="31"/>
      <c r="N746" s="31"/>
      <c r="U746" s="138"/>
      <c r="V746" s="138"/>
      <c r="W746" s="138"/>
    </row>
    <row r="747">
      <c r="A747" s="31"/>
      <c r="B747" s="31"/>
      <c r="C747" s="79"/>
      <c r="D747" s="79"/>
      <c r="E747" s="79"/>
      <c r="F747" s="31"/>
      <c r="G747" s="31"/>
      <c r="H747" s="31"/>
      <c r="I747" s="31"/>
      <c r="J747" s="31"/>
      <c r="K747" s="31"/>
      <c r="L747" s="31"/>
      <c r="M747" s="31"/>
      <c r="N747" s="31"/>
      <c r="U747" s="138"/>
      <c r="V747" s="138"/>
      <c r="W747" s="138"/>
    </row>
    <row r="748">
      <c r="A748" s="31"/>
      <c r="B748" s="31"/>
      <c r="C748" s="79"/>
      <c r="D748" s="79"/>
      <c r="E748" s="79"/>
      <c r="F748" s="31"/>
      <c r="G748" s="31"/>
      <c r="H748" s="31"/>
      <c r="I748" s="31"/>
      <c r="J748" s="31"/>
      <c r="K748" s="31"/>
      <c r="L748" s="31"/>
      <c r="M748" s="31"/>
      <c r="N748" s="31"/>
      <c r="U748" s="138"/>
      <c r="V748" s="138"/>
      <c r="W748" s="138"/>
    </row>
    <row r="749">
      <c r="A749" s="31"/>
      <c r="B749" s="31"/>
      <c r="C749" s="79"/>
      <c r="D749" s="79"/>
      <c r="E749" s="79"/>
      <c r="F749" s="31"/>
      <c r="G749" s="31"/>
      <c r="H749" s="31"/>
      <c r="I749" s="31"/>
      <c r="J749" s="31"/>
      <c r="K749" s="31"/>
      <c r="L749" s="31"/>
      <c r="M749" s="31"/>
      <c r="N749" s="31"/>
      <c r="U749" s="138"/>
      <c r="V749" s="138"/>
      <c r="W749" s="138"/>
    </row>
    <row r="750">
      <c r="A750" s="31"/>
      <c r="B750" s="31"/>
      <c r="C750" s="79"/>
      <c r="D750" s="79"/>
      <c r="E750" s="79"/>
      <c r="F750" s="31"/>
      <c r="G750" s="31"/>
      <c r="H750" s="31"/>
      <c r="I750" s="31"/>
      <c r="J750" s="31"/>
      <c r="K750" s="31"/>
      <c r="L750" s="31"/>
      <c r="M750" s="31"/>
      <c r="N750" s="31"/>
      <c r="U750" s="138"/>
      <c r="V750" s="138"/>
      <c r="W750" s="138"/>
    </row>
    <row r="751">
      <c r="A751" s="31"/>
      <c r="B751" s="31"/>
      <c r="C751" s="79"/>
      <c r="D751" s="79"/>
      <c r="E751" s="79"/>
      <c r="F751" s="31"/>
      <c r="G751" s="31"/>
      <c r="H751" s="31"/>
      <c r="I751" s="31"/>
      <c r="J751" s="31"/>
      <c r="K751" s="31"/>
      <c r="L751" s="31"/>
      <c r="M751" s="31"/>
      <c r="N751" s="31"/>
      <c r="U751" s="138"/>
      <c r="V751" s="138"/>
      <c r="W751" s="138"/>
    </row>
    <row r="752">
      <c r="A752" s="31"/>
      <c r="B752" s="31"/>
      <c r="C752" s="79"/>
      <c r="D752" s="79"/>
      <c r="E752" s="79"/>
      <c r="F752" s="31"/>
      <c r="G752" s="31"/>
      <c r="H752" s="31"/>
      <c r="I752" s="31"/>
      <c r="J752" s="31"/>
      <c r="K752" s="31"/>
      <c r="L752" s="31"/>
      <c r="M752" s="31"/>
      <c r="N752" s="31"/>
      <c r="U752" s="138"/>
      <c r="V752" s="138"/>
      <c r="W752" s="138"/>
    </row>
    <row r="753">
      <c r="A753" s="31"/>
      <c r="B753" s="31"/>
      <c r="C753" s="79"/>
      <c r="D753" s="79"/>
      <c r="E753" s="79"/>
      <c r="F753" s="31"/>
      <c r="G753" s="31"/>
      <c r="H753" s="31"/>
      <c r="I753" s="31"/>
      <c r="J753" s="31"/>
      <c r="K753" s="31"/>
      <c r="L753" s="31"/>
      <c r="M753" s="31"/>
      <c r="N753" s="31"/>
      <c r="U753" s="138"/>
      <c r="V753" s="138"/>
      <c r="W753" s="138"/>
    </row>
    <row r="754">
      <c r="A754" s="31"/>
      <c r="B754" s="31"/>
      <c r="C754" s="79"/>
      <c r="D754" s="79"/>
      <c r="E754" s="79"/>
      <c r="F754" s="31"/>
      <c r="G754" s="31"/>
      <c r="H754" s="31"/>
      <c r="I754" s="31"/>
      <c r="J754" s="31"/>
      <c r="K754" s="31"/>
      <c r="L754" s="31"/>
      <c r="M754" s="31"/>
      <c r="N754" s="31"/>
      <c r="U754" s="138"/>
      <c r="V754" s="138"/>
      <c r="W754" s="138"/>
    </row>
    <row r="755">
      <c r="A755" s="31"/>
      <c r="B755" s="31"/>
      <c r="C755" s="79"/>
      <c r="D755" s="79"/>
      <c r="E755" s="79"/>
      <c r="F755" s="31"/>
      <c r="G755" s="31"/>
      <c r="H755" s="31"/>
      <c r="I755" s="31"/>
      <c r="J755" s="31"/>
      <c r="K755" s="31"/>
      <c r="L755" s="31"/>
      <c r="M755" s="31"/>
      <c r="N755" s="31"/>
      <c r="U755" s="138"/>
      <c r="V755" s="138"/>
      <c r="W755" s="138"/>
    </row>
    <row r="756">
      <c r="A756" s="31"/>
      <c r="B756" s="31"/>
      <c r="C756" s="79"/>
      <c r="D756" s="79"/>
      <c r="E756" s="79"/>
      <c r="F756" s="31"/>
      <c r="G756" s="31"/>
      <c r="H756" s="31"/>
      <c r="I756" s="31"/>
      <c r="J756" s="31"/>
      <c r="K756" s="31"/>
      <c r="L756" s="31"/>
      <c r="M756" s="31"/>
      <c r="N756" s="31"/>
      <c r="U756" s="138"/>
      <c r="V756" s="138"/>
      <c r="W756" s="138"/>
    </row>
    <row r="757">
      <c r="A757" s="31"/>
      <c r="B757" s="31"/>
      <c r="C757" s="79"/>
      <c r="D757" s="79"/>
      <c r="E757" s="79"/>
      <c r="F757" s="31"/>
      <c r="G757" s="31"/>
      <c r="H757" s="31"/>
      <c r="I757" s="31"/>
      <c r="J757" s="31"/>
      <c r="K757" s="31"/>
      <c r="L757" s="31"/>
      <c r="M757" s="31"/>
      <c r="N757" s="31"/>
      <c r="U757" s="138"/>
      <c r="V757" s="138"/>
      <c r="W757" s="138"/>
    </row>
    <row r="758">
      <c r="A758" s="31"/>
      <c r="B758" s="31"/>
      <c r="C758" s="79"/>
      <c r="D758" s="79"/>
      <c r="E758" s="79"/>
      <c r="F758" s="31"/>
      <c r="G758" s="31"/>
      <c r="H758" s="31"/>
      <c r="I758" s="31"/>
      <c r="J758" s="31"/>
      <c r="K758" s="31"/>
      <c r="L758" s="31"/>
      <c r="M758" s="31"/>
      <c r="N758" s="31"/>
      <c r="U758" s="138"/>
      <c r="V758" s="138"/>
      <c r="W758" s="138"/>
    </row>
    <row r="759">
      <c r="A759" s="31"/>
      <c r="B759" s="31"/>
      <c r="C759" s="79"/>
      <c r="D759" s="79"/>
      <c r="E759" s="79"/>
      <c r="F759" s="31"/>
      <c r="G759" s="31"/>
      <c r="H759" s="31"/>
      <c r="I759" s="31"/>
      <c r="J759" s="31"/>
      <c r="K759" s="31"/>
      <c r="L759" s="31"/>
      <c r="M759" s="31"/>
      <c r="N759" s="31"/>
      <c r="U759" s="138"/>
      <c r="V759" s="138"/>
      <c r="W759" s="138"/>
    </row>
    <row r="760">
      <c r="A760" s="31"/>
      <c r="B760" s="31"/>
      <c r="C760" s="79"/>
      <c r="D760" s="79"/>
      <c r="E760" s="79"/>
      <c r="F760" s="31"/>
      <c r="G760" s="31"/>
      <c r="H760" s="31"/>
      <c r="I760" s="31"/>
      <c r="J760" s="31"/>
      <c r="K760" s="31"/>
      <c r="L760" s="31"/>
      <c r="M760" s="31"/>
      <c r="N760" s="31"/>
      <c r="U760" s="138"/>
      <c r="V760" s="138"/>
      <c r="W760" s="138"/>
    </row>
    <row r="761">
      <c r="A761" s="31"/>
      <c r="B761" s="31"/>
      <c r="C761" s="79"/>
      <c r="D761" s="79"/>
      <c r="E761" s="79"/>
      <c r="F761" s="31"/>
      <c r="G761" s="31"/>
      <c r="H761" s="31"/>
      <c r="I761" s="31"/>
      <c r="J761" s="31"/>
      <c r="K761" s="31"/>
      <c r="L761" s="31"/>
      <c r="M761" s="31"/>
      <c r="N761" s="31"/>
      <c r="U761" s="138"/>
      <c r="V761" s="138"/>
      <c r="W761" s="138"/>
    </row>
    <row r="762">
      <c r="A762" s="31"/>
      <c r="B762" s="31"/>
      <c r="C762" s="79"/>
      <c r="D762" s="79"/>
      <c r="E762" s="79"/>
      <c r="F762" s="31"/>
      <c r="G762" s="31"/>
      <c r="H762" s="31"/>
      <c r="I762" s="31"/>
      <c r="J762" s="31"/>
      <c r="K762" s="31"/>
      <c r="L762" s="31"/>
      <c r="M762" s="31"/>
      <c r="N762" s="31"/>
      <c r="U762" s="138"/>
      <c r="V762" s="138"/>
      <c r="W762" s="138"/>
    </row>
    <row r="763">
      <c r="A763" s="31"/>
      <c r="B763" s="31"/>
      <c r="C763" s="79"/>
      <c r="D763" s="79"/>
      <c r="E763" s="79"/>
      <c r="F763" s="31"/>
      <c r="G763" s="31"/>
      <c r="H763" s="31"/>
      <c r="I763" s="31"/>
      <c r="J763" s="31"/>
      <c r="K763" s="31"/>
      <c r="L763" s="31"/>
      <c r="M763" s="31"/>
      <c r="N763" s="31"/>
      <c r="U763" s="138"/>
      <c r="V763" s="138"/>
      <c r="W763" s="138"/>
    </row>
    <row r="764">
      <c r="A764" s="31"/>
      <c r="B764" s="31"/>
      <c r="C764" s="79"/>
      <c r="D764" s="79"/>
      <c r="E764" s="79"/>
      <c r="F764" s="31"/>
      <c r="G764" s="31"/>
      <c r="H764" s="31"/>
      <c r="I764" s="31"/>
      <c r="J764" s="31"/>
      <c r="K764" s="31"/>
      <c r="L764" s="31"/>
      <c r="M764" s="31"/>
      <c r="N764" s="31"/>
      <c r="U764" s="138"/>
      <c r="V764" s="138"/>
      <c r="W764" s="138"/>
    </row>
    <row r="765">
      <c r="A765" s="31"/>
      <c r="B765" s="31"/>
      <c r="C765" s="79"/>
      <c r="D765" s="79"/>
      <c r="E765" s="79"/>
      <c r="F765" s="31"/>
      <c r="G765" s="31"/>
      <c r="H765" s="31"/>
      <c r="I765" s="31"/>
      <c r="J765" s="31"/>
      <c r="K765" s="31"/>
      <c r="L765" s="31"/>
      <c r="M765" s="31"/>
      <c r="N765" s="31"/>
      <c r="U765" s="138"/>
      <c r="V765" s="138"/>
      <c r="W765" s="138"/>
    </row>
    <row r="766">
      <c r="A766" s="31"/>
      <c r="B766" s="31"/>
      <c r="C766" s="79"/>
      <c r="D766" s="79"/>
      <c r="E766" s="79"/>
      <c r="F766" s="31"/>
      <c r="G766" s="31"/>
      <c r="H766" s="31"/>
      <c r="I766" s="31"/>
      <c r="J766" s="31"/>
      <c r="K766" s="31"/>
      <c r="L766" s="31"/>
      <c r="M766" s="31"/>
      <c r="N766" s="31"/>
      <c r="U766" s="138"/>
      <c r="V766" s="138"/>
      <c r="W766" s="138"/>
    </row>
    <row r="767">
      <c r="A767" s="31"/>
      <c r="B767" s="31"/>
      <c r="C767" s="79"/>
      <c r="D767" s="79"/>
      <c r="E767" s="79"/>
      <c r="F767" s="31"/>
      <c r="G767" s="31"/>
      <c r="H767" s="31"/>
      <c r="I767" s="31"/>
      <c r="J767" s="31"/>
      <c r="K767" s="31"/>
      <c r="L767" s="31"/>
      <c r="M767" s="31"/>
      <c r="N767" s="31"/>
      <c r="U767" s="138"/>
      <c r="V767" s="138"/>
      <c r="W767" s="138"/>
    </row>
    <row r="768">
      <c r="A768" s="31"/>
      <c r="B768" s="31"/>
      <c r="C768" s="79"/>
      <c r="D768" s="79"/>
      <c r="E768" s="79"/>
      <c r="F768" s="31"/>
      <c r="G768" s="31"/>
      <c r="H768" s="31"/>
      <c r="I768" s="31"/>
      <c r="J768" s="31"/>
      <c r="K768" s="31"/>
      <c r="L768" s="31"/>
      <c r="M768" s="31"/>
      <c r="N768" s="31"/>
      <c r="U768" s="138"/>
      <c r="V768" s="138"/>
      <c r="W768" s="138"/>
    </row>
    <row r="769">
      <c r="A769" s="31"/>
      <c r="B769" s="31"/>
      <c r="C769" s="79"/>
      <c r="D769" s="79"/>
      <c r="E769" s="79"/>
      <c r="F769" s="31"/>
      <c r="G769" s="31"/>
      <c r="H769" s="31"/>
      <c r="I769" s="31"/>
      <c r="J769" s="31"/>
      <c r="K769" s="31"/>
      <c r="L769" s="31"/>
      <c r="M769" s="31"/>
      <c r="N769" s="31"/>
      <c r="U769" s="138"/>
      <c r="V769" s="138"/>
      <c r="W769" s="138"/>
    </row>
    <row r="770">
      <c r="A770" s="31"/>
      <c r="B770" s="31"/>
      <c r="C770" s="79"/>
      <c r="D770" s="79"/>
      <c r="E770" s="79"/>
      <c r="F770" s="31"/>
      <c r="G770" s="31"/>
      <c r="H770" s="31"/>
      <c r="I770" s="31"/>
      <c r="J770" s="31"/>
      <c r="K770" s="31"/>
      <c r="L770" s="31"/>
      <c r="M770" s="31"/>
      <c r="N770" s="31"/>
      <c r="U770" s="138"/>
      <c r="V770" s="138"/>
      <c r="W770" s="138"/>
    </row>
    <row r="771">
      <c r="A771" s="31"/>
      <c r="B771" s="31"/>
      <c r="C771" s="79"/>
      <c r="D771" s="79"/>
      <c r="E771" s="79"/>
      <c r="F771" s="31"/>
      <c r="G771" s="31"/>
      <c r="H771" s="31"/>
      <c r="I771" s="31"/>
      <c r="J771" s="31"/>
      <c r="K771" s="31"/>
      <c r="L771" s="31"/>
      <c r="M771" s="31"/>
      <c r="N771" s="31"/>
      <c r="U771" s="138"/>
      <c r="V771" s="138"/>
      <c r="W771" s="138"/>
    </row>
    <row r="772">
      <c r="A772" s="31"/>
      <c r="B772" s="31"/>
      <c r="C772" s="79"/>
      <c r="D772" s="79"/>
      <c r="E772" s="79"/>
      <c r="F772" s="31"/>
      <c r="G772" s="31"/>
      <c r="H772" s="31"/>
      <c r="I772" s="31"/>
      <c r="J772" s="31"/>
      <c r="K772" s="31"/>
      <c r="L772" s="31"/>
      <c r="M772" s="31"/>
      <c r="N772" s="31"/>
      <c r="U772" s="138"/>
      <c r="V772" s="138"/>
      <c r="W772" s="138"/>
    </row>
    <row r="773">
      <c r="A773" s="31"/>
      <c r="B773" s="31"/>
      <c r="C773" s="79"/>
      <c r="D773" s="79"/>
      <c r="E773" s="79"/>
      <c r="F773" s="31"/>
      <c r="G773" s="31"/>
      <c r="H773" s="31"/>
      <c r="I773" s="31"/>
      <c r="J773" s="31"/>
      <c r="K773" s="31"/>
      <c r="L773" s="31"/>
      <c r="M773" s="31"/>
      <c r="N773" s="31"/>
      <c r="U773" s="138"/>
      <c r="V773" s="138"/>
      <c r="W773" s="138"/>
    </row>
    <row r="774">
      <c r="A774" s="31"/>
      <c r="B774" s="31"/>
      <c r="C774" s="79"/>
      <c r="D774" s="79"/>
      <c r="E774" s="79"/>
      <c r="F774" s="31"/>
      <c r="G774" s="31"/>
      <c r="H774" s="31"/>
      <c r="I774" s="31"/>
      <c r="J774" s="31"/>
      <c r="K774" s="31"/>
      <c r="L774" s="31"/>
      <c r="M774" s="31"/>
      <c r="N774" s="31"/>
      <c r="U774" s="138"/>
      <c r="V774" s="138"/>
      <c r="W774" s="138"/>
    </row>
    <row r="775">
      <c r="A775" s="31"/>
      <c r="B775" s="31"/>
      <c r="C775" s="79"/>
      <c r="D775" s="79"/>
      <c r="E775" s="79"/>
      <c r="F775" s="31"/>
      <c r="G775" s="31"/>
      <c r="H775" s="31"/>
      <c r="I775" s="31"/>
      <c r="J775" s="31"/>
      <c r="K775" s="31"/>
      <c r="L775" s="31"/>
      <c r="M775" s="31"/>
      <c r="N775" s="31"/>
      <c r="U775" s="138"/>
      <c r="V775" s="138"/>
      <c r="W775" s="138"/>
    </row>
    <row r="776">
      <c r="A776" s="31"/>
      <c r="B776" s="31"/>
      <c r="C776" s="79"/>
      <c r="D776" s="79"/>
      <c r="E776" s="79"/>
      <c r="F776" s="31"/>
      <c r="G776" s="31"/>
      <c r="H776" s="31"/>
      <c r="I776" s="31"/>
      <c r="J776" s="31"/>
      <c r="K776" s="31"/>
      <c r="L776" s="31"/>
      <c r="M776" s="31"/>
      <c r="N776" s="31"/>
      <c r="U776" s="138"/>
      <c r="V776" s="138"/>
      <c r="W776" s="138"/>
    </row>
    <row r="777">
      <c r="A777" s="31"/>
      <c r="B777" s="31"/>
      <c r="C777" s="79"/>
      <c r="D777" s="79"/>
      <c r="E777" s="79"/>
      <c r="F777" s="31"/>
      <c r="G777" s="31"/>
      <c r="H777" s="31"/>
      <c r="I777" s="31"/>
      <c r="J777" s="31"/>
      <c r="K777" s="31"/>
      <c r="L777" s="31"/>
      <c r="M777" s="31"/>
      <c r="N777" s="31"/>
      <c r="U777" s="138"/>
      <c r="V777" s="138"/>
      <c r="W777" s="138"/>
    </row>
    <row r="778">
      <c r="A778" s="31"/>
      <c r="B778" s="31"/>
      <c r="C778" s="79"/>
      <c r="D778" s="79"/>
      <c r="E778" s="79"/>
      <c r="F778" s="31"/>
      <c r="G778" s="31"/>
      <c r="H778" s="31"/>
      <c r="I778" s="31"/>
      <c r="J778" s="31"/>
      <c r="K778" s="31"/>
      <c r="L778" s="31"/>
      <c r="M778" s="31"/>
      <c r="N778" s="31"/>
      <c r="U778" s="138"/>
      <c r="V778" s="138"/>
      <c r="W778" s="138"/>
    </row>
    <row r="779">
      <c r="A779" s="31"/>
      <c r="B779" s="31"/>
      <c r="C779" s="79"/>
      <c r="D779" s="79"/>
      <c r="E779" s="79"/>
      <c r="F779" s="31"/>
      <c r="G779" s="31"/>
      <c r="H779" s="31"/>
      <c r="I779" s="31"/>
      <c r="J779" s="31"/>
      <c r="K779" s="31"/>
      <c r="L779" s="31"/>
      <c r="M779" s="31"/>
      <c r="N779" s="31"/>
      <c r="U779" s="138"/>
      <c r="V779" s="138"/>
      <c r="W779" s="138"/>
    </row>
    <row r="780">
      <c r="A780" s="31"/>
      <c r="B780" s="31"/>
      <c r="C780" s="79"/>
      <c r="D780" s="79"/>
      <c r="E780" s="79"/>
      <c r="F780" s="31"/>
      <c r="G780" s="31"/>
      <c r="H780" s="31"/>
      <c r="I780" s="31"/>
      <c r="J780" s="31"/>
      <c r="K780" s="31"/>
      <c r="L780" s="31"/>
      <c r="M780" s="31"/>
      <c r="N780" s="31"/>
      <c r="U780" s="138"/>
      <c r="V780" s="138"/>
      <c r="W780" s="138"/>
    </row>
    <row r="781">
      <c r="A781" s="31"/>
      <c r="B781" s="31"/>
      <c r="C781" s="79"/>
      <c r="D781" s="79"/>
      <c r="E781" s="79"/>
      <c r="F781" s="31"/>
      <c r="G781" s="31"/>
      <c r="H781" s="31"/>
      <c r="I781" s="31"/>
      <c r="J781" s="31"/>
      <c r="K781" s="31"/>
      <c r="L781" s="31"/>
      <c r="M781" s="31"/>
      <c r="N781" s="31"/>
      <c r="U781" s="138"/>
      <c r="V781" s="138"/>
      <c r="W781" s="138"/>
    </row>
    <row r="782">
      <c r="A782" s="31"/>
      <c r="B782" s="31"/>
      <c r="C782" s="79"/>
      <c r="D782" s="79"/>
      <c r="E782" s="79"/>
      <c r="F782" s="31"/>
      <c r="G782" s="31"/>
      <c r="H782" s="31"/>
      <c r="I782" s="31"/>
      <c r="J782" s="31"/>
      <c r="K782" s="31"/>
      <c r="L782" s="31"/>
      <c r="M782" s="31"/>
      <c r="N782" s="31"/>
      <c r="U782" s="138"/>
      <c r="V782" s="138"/>
      <c r="W782" s="138"/>
    </row>
    <row r="783">
      <c r="A783" s="31"/>
      <c r="B783" s="31"/>
      <c r="C783" s="79"/>
      <c r="D783" s="79"/>
      <c r="E783" s="79"/>
      <c r="F783" s="31"/>
      <c r="G783" s="31"/>
      <c r="H783" s="31"/>
      <c r="I783" s="31"/>
      <c r="J783" s="31"/>
      <c r="K783" s="31"/>
      <c r="L783" s="31"/>
      <c r="M783" s="31"/>
      <c r="N783" s="31"/>
      <c r="U783" s="138"/>
      <c r="V783" s="138"/>
      <c r="W783" s="138"/>
    </row>
    <row r="784">
      <c r="A784" s="31"/>
      <c r="B784" s="31"/>
      <c r="C784" s="79"/>
      <c r="D784" s="79"/>
      <c r="E784" s="79"/>
      <c r="F784" s="31"/>
      <c r="G784" s="31"/>
      <c r="H784" s="31"/>
      <c r="I784" s="31"/>
      <c r="J784" s="31"/>
      <c r="K784" s="31"/>
      <c r="L784" s="31"/>
      <c r="M784" s="31"/>
      <c r="N784" s="31"/>
      <c r="U784" s="138"/>
      <c r="V784" s="138"/>
      <c r="W784" s="138"/>
    </row>
    <row r="785">
      <c r="A785" s="31"/>
      <c r="B785" s="31"/>
      <c r="C785" s="79"/>
      <c r="D785" s="79"/>
      <c r="E785" s="79"/>
      <c r="F785" s="31"/>
      <c r="G785" s="31"/>
      <c r="H785" s="31"/>
      <c r="I785" s="31"/>
      <c r="J785" s="31"/>
      <c r="K785" s="31"/>
      <c r="L785" s="31"/>
      <c r="M785" s="31"/>
      <c r="N785" s="31"/>
      <c r="U785" s="138"/>
      <c r="V785" s="138"/>
      <c r="W785" s="138"/>
    </row>
    <row r="786">
      <c r="A786" s="31"/>
      <c r="B786" s="31"/>
      <c r="C786" s="79"/>
      <c r="D786" s="79"/>
      <c r="E786" s="79"/>
      <c r="F786" s="31"/>
      <c r="G786" s="31"/>
      <c r="H786" s="31"/>
      <c r="I786" s="31"/>
      <c r="J786" s="31"/>
      <c r="K786" s="31"/>
      <c r="L786" s="31"/>
      <c r="M786" s="31"/>
      <c r="N786" s="31"/>
      <c r="U786" s="138"/>
      <c r="V786" s="138"/>
      <c r="W786" s="138"/>
    </row>
    <row r="787">
      <c r="A787" s="31"/>
      <c r="B787" s="31"/>
      <c r="C787" s="79"/>
      <c r="D787" s="79"/>
      <c r="E787" s="79"/>
      <c r="F787" s="31"/>
      <c r="G787" s="31"/>
      <c r="H787" s="31"/>
      <c r="I787" s="31"/>
      <c r="J787" s="31"/>
      <c r="K787" s="31"/>
      <c r="L787" s="31"/>
      <c r="M787" s="31"/>
      <c r="N787" s="31"/>
      <c r="U787" s="138"/>
      <c r="V787" s="138"/>
      <c r="W787" s="138"/>
    </row>
    <row r="788">
      <c r="A788" s="31"/>
      <c r="B788" s="31"/>
      <c r="C788" s="79"/>
      <c r="D788" s="79"/>
      <c r="E788" s="79"/>
      <c r="F788" s="31"/>
      <c r="G788" s="31"/>
      <c r="H788" s="31"/>
      <c r="I788" s="31"/>
      <c r="J788" s="31"/>
      <c r="K788" s="31"/>
      <c r="L788" s="31"/>
      <c r="M788" s="31"/>
      <c r="N788" s="31"/>
      <c r="U788" s="138"/>
      <c r="V788" s="138"/>
      <c r="W788" s="138"/>
    </row>
    <row r="789">
      <c r="A789" s="31"/>
      <c r="B789" s="31"/>
      <c r="C789" s="79"/>
      <c r="D789" s="79"/>
      <c r="E789" s="79"/>
      <c r="F789" s="31"/>
      <c r="G789" s="31"/>
      <c r="H789" s="31"/>
      <c r="I789" s="31"/>
      <c r="J789" s="31"/>
      <c r="K789" s="31"/>
      <c r="L789" s="31"/>
      <c r="M789" s="31"/>
      <c r="N789" s="31"/>
      <c r="U789" s="138"/>
      <c r="V789" s="138"/>
      <c r="W789" s="138"/>
    </row>
    <row r="790">
      <c r="A790" s="31"/>
      <c r="B790" s="31"/>
      <c r="C790" s="79"/>
      <c r="D790" s="79"/>
      <c r="E790" s="79"/>
      <c r="F790" s="31"/>
      <c r="G790" s="31"/>
      <c r="H790" s="31"/>
      <c r="I790" s="31"/>
      <c r="J790" s="31"/>
      <c r="K790" s="31"/>
      <c r="L790" s="31"/>
      <c r="M790" s="31"/>
      <c r="N790" s="31"/>
      <c r="U790" s="138"/>
      <c r="V790" s="138"/>
      <c r="W790" s="138"/>
    </row>
    <row r="791">
      <c r="A791" s="31"/>
      <c r="B791" s="31"/>
      <c r="C791" s="79"/>
      <c r="D791" s="79"/>
      <c r="E791" s="79"/>
      <c r="F791" s="31"/>
      <c r="G791" s="31"/>
      <c r="H791" s="31"/>
      <c r="I791" s="31"/>
      <c r="J791" s="31"/>
      <c r="K791" s="31"/>
      <c r="L791" s="31"/>
      <c r="M791" s="31"/>
      <c r="N791" s="31"/>
      <c r="U791" s="138"/>
      <c r="V791" s="138"/>
      <c r="W791" s="138"/>
    </row>
    <row r="792">
      <c r="A792" s="31"/>
      <c r="B792" s="31"/>
      <c r="C792" s="79"/>
      <c r="D792" s="79"/>
      <c r="E792" s="79"/>
      <c r="F792" s="31"/>
      <c r="G792" s="31"/>
      <c r="H792" s="31"/>
      <c r="I792" s="31"/>
      <c r="J792" s="31"/>
      <c r="K792" s="31"/>
      <c r="L792" s="31"/>
      <c r="M792" s="31"/>
      <c r="N792" s="31"/>
      <c r="U792" s="138"/>
      <c r="V792" s="138"/>
      <c r="W792" s="138"/>
    </row>
    <row r="793">
      <c r="A793" s="31"/>
      <c r="B793" s="31"/>
      <c r="C793" s="79"/>
      <c r="D793" s="79"/>
      <c r="E793" s="79"/>
      <c r="F793" s="31"/>
      <c r="G793" s="31"/>
      <c r="H793" s="31"/>
      <c r="I793" s="31"/>
      <c r="J793" s="31"/>
      <c r="K793" s="31"/>
      <c r="L793" s="31"/>
      <c r="M793" s="31"/>
      <c r="N793" s="31"/>
      <c r="U793" s="138"/>
      <c r="V793" s="138"/>
      <c r="W793" s="138"/>
    </row>
    <row r="794">
      <c r="A794" s="31"/>
      <c r="B794" s="31"/>
      <c r="C794" s="79"/>
      <c r="D794" s="79"/>
      <c r="E794" s="79"/>
      <c r="F794" s="31"/>
      <c r="G794" s="31"/>
      <c r="H794" s="31"/>
      <c r="I794" s="31"/>
      <c r="J794" s="31"/>
      <c r="K794" s="31"/>
      <c r="L794" s="31"/>
      <c r="M794" s="31"/>
      <c r="N794" s="31"/>
      <c r="U794" s="138"/>
      <c r="V794" s="138"/>
      <c r="W794" s="138"/>
    </row>
    <row r="795">
      <c r="A795" s="31"/>
      <c r="B795" s="31"/>
      <c r="C795" s="79"/>
      <c r="D795" s="79"/>
      <c r="E795" s="79"/>
      <c r="F795" s="31"/>
      <c r="G795" s="31"/>
      <c r="H795" s="31"/>
      <c r="I795" s="31"/>
      <c r="J795" s="31"/>
      <c r="K795" s="31"/>
      <c r="L795" s="31"/>
      <c r="M795" s="31"/>
      <c r="N795" s="31"/>
      <c r="U795" s="138"/>
      <c r="V795" s="138"/>
      <c r="W795" s="138"/>
    </row>
    <row r="796">
      <c r="A796" s="31"/>
      <c r="B796" s="31"/>
      <c r="C796" s="79"/>
      <c r="D796" s="79"/>
      <c r="E796" s="79"/>
      <c r="F796" s="31"/>
      <c r="G796" s="31"/>
      <c r="H796" s="31"/>
      <c r="I796" s="31"/>
      <c r="J796" s="31"/>
      <c r="K796" s="31"/>
      <c r="L796" s="31"/>
      <c r="M796" s="31"/>
      <c r="N796" s="31"/>
      <c r="U796" s="138"/>
      <c r="V796" s="138"/>
      <c r="W796" s="138"/>
    </row>
    <row r="797">
      <c r="A797" s="31"/>
      <c r="B797" s="31"/>
      <c r="C797" s="79"/>
      <c r="D797" s="79"/>
      <c r="E797" s="79"/>
      <c r="F797" s="31"/>
      <c r="G797" s="31"/>
      <c r="H797" s="31"/>
      <c r="I797" s="31"/>
      <c r="J797" s="31"/>
      <c r="K797" s="31"/>
      <c r="L797" s="31"/>
      <c r="M797" s="31"/>
      <c r="N797" s="31"/>
      <c r="U797" s="138"/>
      <c r="V797" s="138"/>
      <c r="W797" s="138"/>
    </row>
    <row r="798">
      <c r="A798" s="31"/>
      <c r="B798" s="31"/>
      <c r="C798" s="79"/>
      <c r="D798" s="79"/>
      <c r="E798" s="79"/>
      <c r="F798" s="31"/>
      <c r="G798" s="31"/>
      <c r="H798" s="31"/>
      <c r="I798" s="31"/>
      <c r="J798" s="31"/>
      <c r="K798" s="31"/>
      <c r="L798" s="31"/>
      <c r="M798" s="31"/>
      <c r="N798" s="31"/>
      <c r="U798" s="138"/>
      <c r="V798" s="138"/>
      <c r="W798" s="138"/>
    </row>
    <row r="799">
      <c r="A799" s="31"/>
      <c r="B799" s="31"/>
      <c r="C799" s="79"/>
      <c r="D799" s="79"/>
      <c r="E799" s="79"/>
      <c r="F799" s="31"/>
      <c r="G799" s="31"/>
      <c r="H799" s="31"/>
      <c r="I799" s="31"/>
      <c r="J799" s="31"/>
      <c r="K799" s="31"/>
      <c r="L799" s="31"/>
      <c r="M799" s="31"/>
      <c r="N799" s="31"/>
      <c r="U799" s="138"/>
      <c r="V799" s="138"/>
      <c r="W799" s="138"/>
    </row>
    <row r="800">
      <c r="A800" s="31"/>
      <c r="B800" s="31"/>
      <c r="C800" s="79"/>
      <c r="D800" s="79"/>
      <c r="E800" s="79"/>
      <c r="F800" s="31"/>
      <c r="G800" s="31"/>
      <c r="H800" s="31"/>
      <c r="I800" s="31"/>
      <c r="J800" s="31"/>
      <c r="K800" s="31"/>
      <c r="L800" s="31"/>
      <c r="M800" s="31"/>
      <c r="N800" s="31"/>
      <c r="U800" s="138"/>
      <c r="V800" s="138"/>
      <c r="W800" s="138"/>
    </row>
    <row r="801">
      <c r="A801" s="31"/>
      <c r="B801" s="31"/>
      <c r="C801" s="79"/>
      <c r="D801" s="79"/>
      <c r="E801" s="79"/>
      <c r="F801" s="31"/>
      <c r="G801" s="31"/>
      <c r="H801" s="31"/>
      <c r="I801" s="31"/>
      <c r="J801" s="31"/>
      <c r="K801" s="31"/>
      <c r="L801" s="31"/>
      <c r="M801" s="31"/>
      <c r="N801" s="31"/>
      <c r="U801" s="138"/>
      <c r="V801" s="138"/>
      <c r="W801" s="138"/>
    </row>
    <row r="802">
      <c r="A802" s="31"/>
      <c r="B802" s="31"/>
      <c r="C802" s="79"/>
      <c r="D802" s="79"/>
      <c r="E802" s="79"/>
      <c r="F802" s="31"/>
      <c r="G802" s="31"/>
      <c r="H802" s="31"/>
      <c r="I802" s="31"/>
      <c r="J802" s="31"/>
      <c r="K802" s="31"/>
      <c r="L802" s="31"/>
      <c r="M802" s="31"/>
      <c r="N802" s="31"/>
      <c r="U802" s="138"/>
      <c r="V802" s="138"/>
      <c r="W802" s="138"/>
    </row>
    <row r="803">
      <c r="A803" s="31"/>
      <c r="B803" s="31"/>
      <c r="C803" s="79"/>
      <c r="D803" s="79"/>
      <c r="E803" s="79"/>
      <c r="F803" s="31"/>
      <c r="G803" s="31"/>
      <c r="H803" s="31"/>
      <c r="I803" s="31"/>
      <c r="J803" s="31"/>
      <c r="K803" s="31"/>
      <c r="L803" s="31"/>
      <c r="M803" s="31"/>
      <c r="N803" s="31"/>
      <c r="U803" s="138"/>
      <c r="V803" s="138"/>
      <c r="W803" s="138"/>
    </row>
    <row r="804">
      <c r="A804" s="31"/>
      <c r="B804" s="31"/>
      <c r="C804" s="79"/>
      <c r="D804" s="79"/>
      <c r="E804" s="79"/>
      <c r="F804" s="31"/>
      <c r="G804" s="31"/>
      <c r="H804" s="31"/>
      <c r="I804" s="31"/>
      <c r="J804" s="31"/>
      <c r="K804" s="31"/>
      <c r="L804" s="31"/>
      <c r="M804" s="31"/>
      <c r="N804" s="31"/>
      <c r="U804" s="138"/>
      <c r="V804" s="138"/>
      <c r="W804" s="138"/>
    </row>
    <row r="805">
      <c r="A805" s="31"/>
      <c r="B805" s="31"/>
      <c r="C805" s="79"/>
      <c r="D805" s="79"/>
      <c r="E805" s="79"/>
      <c r="F805" s="31"/>
      <c r="G805" s="31"/>
      <c r="H805" s="31"/>
      <c r="I805" s="31"/>
      <c r="J805" s="31"/>
      <c r="K805" s="31"/>
      <c r="L805" s="31"/>
      <c r="M805" s="31"/>
      <c r="N805" s="31"/>
      <c r="U805" s="138"/>
      <c r="V805" s="138"/>
      <c r="W805" s="138"/>
    </row>
    <row r="806">
      <c r="A806" s="31"/>
      <c r="B806" s="31"/>
      <c r="C806" s="79"/>
      <c r="D806" s="79"/>
      <c r="E806" s="79"/>
      <c r="F806" s="31"/>
      <c r="G806" s="31"/>
      <c r="H806" s="31"/>
      <c r="I806" s="31"/>
      <c r="J806" s="31"/>
      <c r="K806" s="31"/>
      <c r="L806" s="31"/>
      <c r="M806" s="31"/>
      <c r="N806" s="31"/>
      <c r="U806" s="138"/>
      <c r="V806" s="138"/>
      <c r="W806" s="138"/>
    </row>
    <row r="807">
      <c r="A807" s="31"/>
      <c r="B807" s="31"/>
      <c r="C807" s="79"/>
      <c r="D807" s="79"/>
      <c r="E807" s="79"/>
      <c r="F807" s="31"/>
      <c r="G807" s="31"/>
      <c r="H807" s="31"/>
      <c r="I807" s="31"/>
      <c r="J807" s="31"/>
      <c r="K807" s="31"/>
      <c r="L807" s="31"/>
      <c r="M807" s="31"/>
      <c r="N807" s="31"/>
      <c r="U807" s="138"/>
      <c r="V807" s="138"/>
      <c r="W807" s="138"/>
    </row>
    <row r="808">
      <c r="A808" s="31"/>
      <c r="B808" s="31"/>
      <c r="C808" s="79"/>
      <c r="D808" s="79"/>
      <c r="E808" s="79"/>
      <c r="F808" s="31"/>
      <c r="G808" s="31"/>
      <c r="H808" s="31"/>
      <c r="I808" s="31"/>
      <c r="J808" s="31"/>
      <c r="K808" s="31"/>
      <c r="L808" s="31"/>
      <c r="M808" s="31"/>
      <c r="N808" s="31"/>
      <c r="U808" s="138"/>
      <c r="V808" s="138"/>
      <c r="W808" s="138"/>
    </row>
    <row r="809">
      <c r="A809" s="31"/>
      <c r="B809" s="31"/>
      <c r="C809" s="79"/>
      <c r="D809" s="79"/>
      <c r="E809" s="79"/>
      <c r="F809" s="31"/>
      <c r="G809" s="31"/>
      <c r="H809" s="31"/>
      <c r="I809" s="31"/>
      <c r="J809" s="31"/>
      <c r="K809" s="31"/>
      <c r="L809" s="31"/>
      <c r="M809" s="31"/>
      <c r="N809" s="31"/>
      <c r="U809" s="138"/>
      <c r="V809" s="138"/>
      <c r="W809" s="138"/>
    </row>
    <row r="810">
      <c r="A810" s="31"/>
      <c r="B810" s="31"/>
      <c r="C810" s="79"/>
      <c r="D810" s="79"/>
      <c r="E810" s="79"/>
      <c r="F810" s="31"/>
      <c r="G810" s="31"/>
      <c r="H810" s="31"/>
      <c r="I810" s="31"/>
      <c r="J810" s="31"/>
      <c r="K810" s="31"/>
      <c r="L810" s="31"/>
      <c r="M810" s="31"/>
      <c r="N810" s="31"/>
      <c r="U810" s="138"/>
      <c r="V810" s="138"/>
      <c r="W810" s="138"/>
    </row>
    <row r="811">
      <c r="A811" s="31"/>
      <c r="B811" s="31"/>
      <c r="C811" s="79"/>
      <c r="D811" s="79"/>
      <c r="E811" s="79"/>
      <c r="F811" s="31"/>
      <c r="G811" s="31"/>
      <c r="H811" s="31"/>
      <c r="I811" s="31"/>
      <c r="J811" s="31"/>
      <c r="K811" s="31"/>
      <c r="L811" s="31"/>
      <c r="M811" s="31"/>
      <c r="N811" s="31"/>
      <c r="U811" s="138"/>
      <c r="V811" s="138"/>
      <c r="W811" s="138"/>
    </row>
    <row r="812">
      <c r="A812" s="31"/>
      <c r="B812" s="31"/>
      <c r="C812" s="79"/>
      <c r="D812" s="79"/>
      <c r="E812" s="79"/>
      <c r="F812" s="31"/>
      <c r="G812" s="31"/>
      <c r="H812" s="31"/>
      <c r="I812" s="31"/>
      <c r="J812" s="31"/>
      <c r="K812" s="31"/>
      <c r="L812" s="31"/>
      <c r="M812" s="31"/>
      <c r="N812" s="31"/>
      <c r="U812" s="138"/>
      <c r="V812" s="138"/>
      <c r="W812" s="138"/>
    </row>
    <row r="813">
      <c r="A813" s="31"/>
      <c r="B813" s="31"/>
      <c r="C813" s="79"/>
      <c r="D813" s="79"/>
      <c r="E813" s="79"/>
      <c r="F813" s="31"/>
      <c r="G813" s="31"/>
      <c r="H813" s="31"/>
      <c r="I813" s="31"/>
      <c r="J813" s="31"/>
      <c r="K813" s="31"/>
      <c r="L813" s="31"/>
      <c r="M813" s="31"/>
      <c r="N813" s="31"/>
      <c r="U813" s="138"/>
      <c r="V813" s="138"/>
      <c r="W813" s="138"/>
    </row>
    <row r="814">
      <c r="A814" s="31"/>
      <c r="B814" s="31"/>
      <c r="C814" s="79"/>
      <c r="D814" s="79"/>
      <c r="E814" s="79"/>
      <c r="F814" s="31"/>
      <c r="G814" s="31"/>
      <c r="H814" s="31"/>
      <c r="I814" s="31"/>
      <c r="J814" s="31"/>
      <c r="K814" s="31"/>
      <c r="L814" s="31"/>
      <c r="M814" s="31"/>
      <c r="N814" s="31"/>
      <c r="U814" s="138"/>
      <c r="V814" s="138"/>
      <c r="W814" s="138"/>
    </row>
    <row r="815">
      <c r="A815" s="31"/>
      <c r="B815" s="31"/>
      <c r="C815" s="79"/>
      <c r="D815" s="79"/>
      <c r="E815" s="79"/>
      <c r="F815" s="31"/>
      <c r="G815" s="31"/>
      <c r="H815" s="31"/>
      <c r="I815" s="31"/>
      <c r="J815" s="31"/>
      <c r="K815" s="31"/>
      <c r="L815" s="31"/>
      <c r="M815" s="31"/>
      <c r="N815" s="31"/>
      <c r="U815" s="138"/>
      <c r="V815" s="138"/>
      <c r="W815" s="138"/>
    </row>
    <row r="816">
      <c r="A816" s="31"/>
      <c r="B816" s="31"/>
      <c r="C816" s="79"/>
      <c r="D816" s="79"/>
      <c r="E816" s="79"/>
      <c r="F816" s="31"/>
      <c r="G816" s="31"/>
      <c r="H816" s="31"/>
      <c r="I816" s="31"/>
      <c r="J816" s="31"/>
      <c r="K816" s="31"/>
      <c r="L816" s="31"/>
      <c r="M816" s="31"/>
      <c r="N816" s="31"/>
      <c r="U816" s="138"/>
      <c r="V816" s="138"/>
      <c r="W816" s="138"/>
    </row>
    <row r="817">
      <c r="A817" s="31"/>
      <c r="B817" s="31"/>
      <c r="C817" s="79"/>
      <c r="D817" s="79"/>
      <c r="E817" s="79"/>
      <c r="F817" s="31"/>
      <c r="G817" s="31"/>
      <c r="H817" s="31"/>
      <c r="I817" s="31"/>
      <c r="J817" s="31"/>
      <c r="K817" s="31"/>
      <c r="L817" s="31"/>
      <c r="M817" s="31"/>
      <c r="N817" s="31"/>
      <c r="U817" s="138"/>
      <c r="V817" s="138"/>
      <c r="W817" s="138"/>
    </row>
    <row r="818">
      <c r="A818" s="31"/>
      <c r="B818" s="31"/>
      <c r="C818" s="79"/>
      <c r="D818" s="79"/>
      <c r="E818" s="79"/>
      <c r="F818" s="31"/>
      <c r="G818" s="31"/>
      <c r="H818" s="31"/>
      <c r="I818" s="31"/>
      <c r="J818" s="31"/>
      <c r="K818" s="31"/>
      <c r="L818" s="31"/>
      <c r="M818" s="31"/>
      <c r="N818" s="31"/>
      <c r="U818" s="138"/>
      <c r="V818" s="138"/>
      <c r="W818" s="138"/>
    </row>
    <row r="819">
      <c r="A819" s="31"/>
      <c r="B819" s="31"/>
      <c r="C819" s="79"/>
      <c r="D819" s="79"/>
      <c r="E819" s="79"/>
      <c r="F819" s="31"/>
      <c r="G819" s="31"/>
      <c r="H819" s="31"/>
      <c r="I819" s="31"/>
      <c r="J819" s="31"/>
      <c r="K819" s="31"/>
      <c r="L819" s="31"/>
      <c r="M819" s="31"/>
      <c r="N819" s="31"/>
      <c r="U819" s="138"/>
      <c r="V819" s="138"/>
      <c r="W819" s="138"/>
    </row>
    <row r="820">
      <c r="A820" s="31"/>
      <c r="B820" s="31"/>
      <c r="C820" s="79"/>
      <c r="D820" s="79"/>
      <c r="E820" s="79"/>
      <c r="F820" s="31"/>
      <c r="G820" s="31"/>
      <c r="H820" s="31"/>
      <c r="I820" s="31"/>
      <c r="J820" s="31"/>
      <c r="K820" s="31"/>
      <c r="L820" s="31"/>
      <c r="M820" s="31"/>
      <c r="N820" s="31"/>
      <c r="U820" s="138"/>
      <c r="V820" s="138"/>
      <c r="W820" s="138"/>
    </row>
    <row r="821">
      <c r="A821" s="31"/>
      <c r="B821" s="31"/>
      <c r="C821" s="79"/>
      <c r="D821" s="79"/>
      <c r="E821" s="79"/>
      <c r="F821" s="31"/>
      <c r="G821" s="31"/>
      <c r="H821" s="31"/>
      <c r="I821" s="31"/>
      <c r="J821" s="31"/>
      <c r="K821" s="31"/>
      <c r="L821" s="31"/>
      <c r="M821" s="31"/>
      <c r="N821" s="31"/>
      <c r="U821" s="138"/>
      <c r="V821" s="138"/>
      <c r="W821" s="138"/>
    </row>
    <row r="822">
      <c r="A822" s="31"/>
      <c r="B822" s="31"/>
      <c r="C822" s="79"/>
      <c r="D822" s="79"/>
      <c r="E822" s="79"/>
      <c r="F822" s="31"/>
      <c r="G822" s="31"/>
      <c r="H822" s="31"/>
      <c r="I822" s="31"/>
      <c r="J822" s="31"/>
      <c r="K822" s="31"/>
      <c r="L822" s="31"/>
      <c r="M822" s="31"/>
      <c r="N822" s="31"/>
      <c r="U822" s="138"/>
      <c r="V822" s="138"/>
      <c r="W822" s="138"/>
    </row>
    <row r="823">
      <c r="A823" s="31"/>
      <c r="B823" s="31"/>
      <c r="C823" s="79"/>
      <c r="D823" s="79"/>
      <c r="E823" s="79"/>
      <c r="F823" s="31"/>
      <c r="G823" s="31"/>
      <c r="H823" s="31"/>
      <c r="I823" s="31"/>
      <c r="J823" s="31"/>
      <c r="K823" s="31"/>
      <c r="L823" s="31"/>
      <c r="M823" s="31"/>
      <c r="N823" s="31"/>
      <c r="U823" s="138"/>
      <c r="V823" s="138"/>
      <c r="W823" s="138"/>
    </row>
    <row r="824">
      <c r="A824" s="31"/>
      <c r="B824" s="31"/>
      <c r="C824" s="79"/>
      <c r="D824" s="79"/>
      <c r="E824" s="79"/>
      <c r="F824" s="31"/>
      <c r="G824" s="31"/>
      <c r="H824" s="31"/>
      <c r="I824" s="31"/>
      <c r="J824" s="31"/>
      <c r="K824" s="31"/>
      <c r="L824" s="31"/>
      <c r="M824" s="31"/>
      <c r="N824" s="31"/>
      <c r="U824" s="138"/>
      <c r="V824" s="138"/>
      <c r="W824" s="138"/>
    </row>
    <row r="825">
      <c r="A825" s="31"/>
      <c r="B825" s="31"/>
      <c r="C825" s="79"/>
      <c r="D825" s="79"/>
      <c r="E825" s="79"/>
      <c r="F825" s="31"/>
      <c r="G825" s="31"/>
      <c r="H825" s="31"/>
      <c r="I825" s="31"/>
      <c r="J825" s="31"/>
      <c r="K825" s="31"/>
      <c r="L825" s="31"/>
      <c r="M825" s="31"/>
      <c r="N825" s="31"/>
      <c r="U825" s="138"/>
      <c r="V825" s="138"/>
      <c r="W825" s="138"/>
    </row>
    <row r="826">
      <c r="A826" s="31"/>
      <c r="B826" s="31"/>
      <c r="C826" s="79"/>
      <c r="D826" s="79"/>
      <c r="E826" s="79"/>
      <c r="F826" s="31"/>
      <c r="G826" s="31"/>
      <c r="H826" s="31"/>
      <c r="I826" s="31"/>
      <c r="J826" s="31"/>
      <c r="K826" s="31"/>
      <c r="L826" s="31"/>
      <c r="M826" s="31"/>
      <c r="N826" s="31"/>
      <c r="U826" s="138"/>
      <c r="V826" s="138"/>
      <c r="W826" s="138"/>
    </row>
    <row r="827">
      <c r="A827" s="31"/>
      <c r="B827" s="31"/>
      <c r="C827" s="79"/>
      <c r="D827" s="79"/>
      <c r="E827" s="79"/>
      <c r="F827" s="31"/>
      <c r="G827" s="31"/>
      <c r="H827" s="31"/>
      <c r="I827" s="31"/>
      <c r="J827" s="31"/>
      <c r="K827" s="31"/>
      <c r="L827" s="31"/>
      <c r="M827" s="31"/>
      <c r="N827" s="31"/>
      <c r="U827" s="138"/>
      <c r="V827" s="138"/>
      <c r="W827" s="138"/>
    </row>
    <row r="828">
      <c r="A828" s="31"/>
      <c r="B828" s="31"/>
      <c r="C828" s="79"/>
      <c r="D828" s="79"/>
      <c r="E828" s="79"/>
      <c r="F828" s="31"/>
      <c r="G828" s="31"/>
      <c r="H828" s="31"/>
      <c r="I828" s="31"/>
      <c r="J828" s="31"/>
      <c r="K828" s="31"/>
      <c r="L828" s="31"/>
      <c r="M828" s="31"/>
      <c r="N828" s="31"/>
      <c r="U828" s="138"/>
      <c r="V828" s="138"/>
      <c r="W828" s="138"/>
    </row>
    <row r="829">
      <c r="A829" s="31"/>
      <c r="B829" s="31"/>
      <c r="C829" s="79"/>
      <c r="D829" s="79"/>
      <c r="E829" s="79"/>
      <c r="F829" s="31"/>
      <c r="G829" s="31"/>
      <c r="H829" s="31"/>
      <c r="I829" s="31"/>
      <c r="J829" s="31"/>
      <c r="K829" s="31"/>
      <c r="L829" s="31"/>
      <c r="M829" s="31"/>
      <c r="N829" s="31"/>
      <c r="U829" s="138"/>
      <c r="V829" s="138"/>
      <c r="W829" s="138"/>
    </row>
    <row r="830">
      <c r="A830" s="31"/>
      <c r="B830" s="31"/>
      <c r="C830" s="79"/>
      <c r="D830" s="79"/>
      <c r="E830" s="79"/>
      <c r="F830" s="31"/>
      <c r="G830" s="31"/>
      <c r="H830" s="31"/>
      <c r="I830" s="31"/>
      <c r="J830" s="31"/>
      <c r="K830" s="31"/>
      <c r="L830" s="31"/>
      <c r="M830" s="31"/>
      <c r="N830" s="31"/>
      <c r="U830" s="138"/>
      <c r="V830" s="138"/>
      <c r="W830" s="138"/>
    </row>
    <row r="831">
      <c r="A831" s="31"/>
      <c r="B831" s="31"/>
      <c r="C831" s="79"/>
      <c r="D831" s="79"/>
      <c r="E831" s="79"/>
      <c r="F831" s="31"/>
      <c r="G831" s="31"/>
      <c r="H831" s="31"/>
      <c r="I831" s="31"/>
      <c r="J831" s="31"/>
      <c r="K831" s="31"/>
      <c r="L831" s="31"/>
      <c r="M831" s="31"/>
      <c r="N831" s="31"/>
      <c r="U831" s="138"/>
      <c r="V831" s="138"/>
      <c r="W831" s="138"/>
    </row>
    <row r="832">
      <c r="A832" s="31"/>
      <c r="B832" s="31"/>
      <c r="C832" s="79"/>
      <c r="D832" s="79"/>
      <c r="E832" s="79"/>
      <c r="F832" s="31"/>
      <c r="G832" s="31"/>
      <c r="H832" s="31"/>
      <c r="I832" s="31"/>
      <c r="J832" s="31"/>
      <c r="K832" s="31"/>
      <c r="L832" s="31"/>
      <c r="M832" s="31"/>
      <c r="N832" s="31"/>
      <c r="U832" s="138"/>
      <c r="V832" s="138"/>
      <c r="W832" s="138"/>
    </row>
    <row r="833">
      <c r="A833" s="31"/>
      <c r="B833" s="31"/>
      <c r="C833" s="79"/>
      <c r="D833" s="79"/>
      <c r="E833" s="79"/>
      <c r="F833" s="31"/>
      <c r="G833" s="31"/>
      <c r="H833" s="31"/>
      <c r="I833" s="31"/>
      <c r="J833" s="31"/>
      <c r="K833" s="31"/>
      <c r="L833" s="31"/>
      <c r="M833" s="31"/>
      <c r="N833" s="31"/>
      <c r="U833" s="138"/>
      <c r="V833" s="138"/>
      <c r="W833" s="138"/>
    </row>
    <row r="834">
      <c r="A834" s="31"/>
      <c r="B834" s="31"/>
      <c r="C834" s="79"/>
      <c r="D834" s="79"/>
      <c r="E834" s="79"/>
      <c r="F834" s="31"/>
      <c r="G834" s="31"/>
      <c r="H834" s="31"/>
      <c r="I834" s="31"/>
      <c r="J834" s="31"/>
      <c r="K834" s="31"/>
      <c r="L834" s="31"/>
      <c r="M834" s="31"/>
      <c r="N834" s="31"/>
      <c r="U834" s="138"/>
      <c r="V834" s="138"/>
      <c r="W834" s="138"/>
    </row>
    <row r="835">
      <c r="A835" s="31"/>
      <c r="B835" s="31"/>
      <c r="C835" s="79"/>
      <c r="D835" s="79"/>
      <c r="E835" s="79"/>
      <c r="F835" s="31"/>
      <c r="G835" s="31"/>
      <c r="H835" s="31"/>
      <c r="I835" s="31"/>
      <c r="J835" s="31"/>
      <c r="K835" s="31"/>
      <c r="L835" s="31"/>
      <c r="M835" s="31"/>
      <c r="N835" s="31"/>
      <c r="U835" s="138"/>
      <c r="V835" s="138"/>
      <c r="W835" s="138"/>
    </row>
    <row r="836">
      <c r="A836" s="31"/>
      <c r="B836" s="31"/>
      <c r="C836" s="79"/>
      <c r="D836" s="79"/>
      <c r="E836" s="79"/>
      <c r="F836" s="31"/>
      <c r="G836" s="31"/>
      <c r="H836" s="31"/>
      <c r="I836" s="31"/>
      <c r="J836" s="31"/>
      <c r="K836" s="31"/>
      <c r="L836" s="31"/>
      <c r="M836" s="31"/>
      <c r="N836" s="31"/>
      <c r="U836" s="138"/>
      <c r="V836" s="138"/>
      <c r="W836" s="138"/>
    </row>
    <row r="837">
      <c r="A837" s="31"/>
      <c r="B837" s="31"/>
      <c r="C837" s="79"/>
      <c r="D837" s="79"/>
      <c r="E837" s="79"/>
      <c r="F837" s="31"/>
      <c r="G837" s="31"/>
      <c r="H837" s="31"/>
      <c r="I837" s="31"/>
      <c r="J837" s="31"/>
      <c r="K837" s="31"/>
      <c r="L837" s="31"/>
      <c r="M837" s="31"/>
      <c r="N837" s="31"/>
      <c r="U837" s="138"/>
      <c r="V837" s="138"/>
      <c r="W837" s="138"/>
    </row>
    <row r="838">
      <c r="A838" s="31"/>
      <c r="B838" s="31"/>
      <c r="C838" s="79"/>
      <c r="D838" s="79"/>
      <c r="E838" s="79"/>
      <c r="F838" s="31"/>
      <c r="G838" s="31"/>
      <c r="H838" s="31"/>
      <c r="I838" s="31"/>
      <c r="J838" s="31"/>
      <c r="K838" s="31"/>
      <c r="L838" s="31"/>
      <c r="M838" s="31"/>
      <c r="N838" s="31"/>
      <c r="U838" s="138"/>
      <c r="V838" s="138"/>
      <c r="W838" s="138"/>
    </row>
    <row r="839">
      <c r="A839" s="31"/>
      <c r="B839" s="31"/>
      <c r="C839" s="79"/>
      <c r="D839" s="79"/>
      <c r="E839" s="79"/>
      <c r="F839" s="31"/>
      <c r="G839" s="31"/>
      <c r="H839" s="31"/>
      <c r="I839" s="31"/>
      <c r="J839" s="31"/>
      <c r="K839" s="31"/>
      <c r="L839" s="31"/>
      <c r="M839" s="31"/>
      <c r="N839" s="31"/>
      <c r="U839" s="138"/>
      <c r="V839" s="138"/>
      <c r="W839" s="138"/>
    </row>
    <row r="840">
      <c r="A840" s="31"/>
      <c r="B840" s="31"/>
      <c r="C840" s="79"/>
      <c r="D840" s="79"/>
      <c r="E840" s="79"/>
      <c r="F840" s="31"/>
      <c r="G840" s="31"/>
      <c r="H840" s="31"/>
      <c r="I840" s="31"/>
      <c r="J840" s="31"/>
      <c r="K840" s="31"/>
      <c r="L840" s="31"/>
      <c r="M840" s="31"/>
      <c r="N840" s="31"/>
      <c r="U840" s="138"/>
      <c r="V840" s="138"/>
      <c r="W840" s="138"/>
    </row>
    <row r="841">
      <c r="A841" s="31"/>
      <c r="B841" s="31"/>
      <c r="C841" s="79"/>
      <c r="D841" s="79"/>
      <c r="E841" s="79"/>
      <c r="F841" s="31"/>
      <c r="G841" s="31"/>
      <c r="H841" s="31"/>
      <c r="I841" s="31"/>
      <c r="J841" s="31"/>
      <c r="K841" s="31"/>
      <c r="L841" s="31"/>
      <c r="M841" s="31"/>
      <c r="N841" s="31"/>
      <c r="U841" s="138"/>
      <c r="V841" s="138"/>
      <c r="W841" s="138"/>
    </row>
    <row r="842">
      <c r="A842" s="31"/>
      <c r="B842" s="31"/>
      <c r="C842" s="79"/>
      <c r="D842" s="79"/>
      <c r="E842" s="79"/>
      <c r="F842" s="31"/>
      <c r="G842" s="31"/>
      <c r="H842" s="31"/>
      <c r="I842" s="31"/>
      <c r="J842" s="31"/>
      <c r="K842" s="31"/>
      <c r="L842" s="31"/>
      <c r="M842" s="31"/>
      <c r="N842" s="31"/>
      <c r="U842" s="138"/>
      <c r="V842" s="138"/>
      <c r="W842" s="138"/>
    </row>
    <row r="843">
      <c r="A843" s="31"/>
      <c r="B843" s="31"/>
      <c r="C843" s="79"/>
      <c r="D843" s="79"/>
      <c r="E843" s="79"/>
      <c r="F843" s="31"/>
      <c r="G843" s="31"/>
      <c r="H843" s="31"/>
      <c r="I843" s="31"/>
      <c r="J843" s="31"/>
      <c r="K843" s="31"/>
      <c r="L843" s="31"/>
      <c r="M843" s="31"/>
      <c r="N843" s="31"/>
      <c r="U843" s="138"/>
      <c r="V843" s="138"/>
      <c r="W843" s="138"/>
    </row>
    <row r="844">
      <c r="A844" s="31"/>
      <c r="B844" s="31"/>
      <c r="C844" s="79"/>
      <c r="D844" s="79"/>
      <c r="E844" s="79"/>
      <c r="F844" s="31"/>
      <c r="G844" s="31"/>
      <c r="H844" s="31"/>
      <c r="I844" s="31"/>
      <c r="J844" s="31"/>
      <c r="K844" s="31"/>
      <c r="L844" s="31"/>
      <c r="M844" s="31"/>
      <c r="N844" s="31"/>
      <c r="U844" s="138"/>
      <c r="V844" s="138"/>
      <c r="W844" s="138"/>
    </row>
    <row r="845">
      <c r="A845" s="31"/>
      <c r="B845" s="31"/>
      <c r="C845" s="79"/>
      <c r="D845" s="79"/>
      <c r="E845" s="79"/>
      <c r="F845" s="31"/>
      <c r="G845" s="31"/>
      <c r="H845" s="31"/>
      <c r="I845" s="31"/>
      <c r="J845" s="31"/>
      <c r="K845" s="31"/>
      <c r="L845" s="31"/>
      <c r="M845" s="31"/>
      <c r="N845" s="31"/>
      <c r="U845" s="138"/>
      <c r="V845" s="138"/>
      <c r="W845" s="138"/>
    </row>
    <row r="846">
      <c r="A846" s="31"/>
      <c r="B846" s="31"/>
      <c r="C846" s="79"/>
      <c r="D846" s="79"/>
      <c r="E846" s="79"/>
      <c r="F846" s="31"/>
      <c r="G846" s="31"/>
      <c r="H846" s="31"/>
      <c r="I846" s="31"/>
      <c r="J846" s="31"/>
      <c r="K846" s="31"/>
      <c r="L846" s="31"/>
      <c r="M846" s="31"/>
      <c r="N846" s="31"/>
      <c r="U846" s="138"/>
      <c r="V846" s="138"/>
      <c r="W846" s="138"/>
    </row>
    <row r="847">
      <c r="A847" s="31"/>
      <c r="B847" s="31"/>
      <c r="C847" s="79"/>
      <c r="D847" s="79"/>
      <c r="E847" s="79"/>
      <c r="F847" s="31"/>
      <c r="G847" s="31"/>
      <c r="H847" s="31"/>
      <c r="I847" s="31"/>
      <c r="J847" s="31"/>
      <c r="K847" s="31"/>
      <c r="L847" s="31"/>
      <c r="M847" s="31"/>
      <c r="N847" s="31"/>
      <c r="U847" s="138"/>
      <c r="V847" s="138"/>
      <c r="W847" s="138"/>
    </row>
    <row r="848">
      <c r="A848" s="31"/>
      <c r="B848" s="31"/>
      <c r="C848" s="79"/>
      <c r="D848" s="79"/>
      <c r="E848" s="79"/>
      <c r="F848" s="31"/>
      <c r="G848" s="31"/>
      <c r="H848" s="31"/>
      <c r="I848" s="31"/>
      <c r="J848" s="31"/>
      <c r="K848" s="31"/>
      <c r="L848" s="31"/>
      <c r="M848" s="31"/>
      <c r="N848" s="31"/>
      <c r="U848" s="138"/>
      <c r="V848" s="138"/>
      <c r="W848" s="138"/>
    </row>
    <row r="849">
      <c r="A849" s="31"/>
      <c r="B849" s="31"/>
      <c r="C849" s="79"/>
      <c r="D849" s="79"/>
      <c r="E849" s="79"/>
      <c r="F849" s="31"/>
      <c r="G849" s="31"/>
      <c r="H849" s="31"/>
      <c r="I849" s="31"/>
      <c r="J849" s="31"/>
      <c r="K849" s="31"/>
      <c r="L849" s="31"/>
      <c r="M849" s="31"/>
      <c r="N849" s="31"/>
      <c r="U849" s="138"/>
      <c r="V849" s="138"/>
      <c r="W849" s="138"/>
    </row>
    <row r="850">
      <c r="A850" s="31"/>
      <c r="B850" s="31"/>
      <c r="C850" s="79"/>
      <c r="D850" s="79"/>
      <c r="E850" s="79"/>
      <c r="F850" s="31"/>
      <c r="G850" s="31"/>
      <c r="H850" s="31"/>
      <c r="I850" s="31"/>
      <c r="J850" s="31"/>
      <c r="K850" s="31"/>
      <c r="L850" s="31"/>
      <c r="M850" s="31"/>
      <c r="N850" s="31"/>
      <c r="U850" s="138"/>
      <c r="V850" s="138"/>
      <c r="W850" s="138"/>
    </row>
    <row r="851">
      <c r="A851" s="31"/>
      <c r="B851" s="31"/>
      <c r="C851" s="79"/>
      <c r="D851" s="79"/>
      <c r="E851" s="79"/>
      <c r="F851" s="31"/>
      <c r="G851" s="31"/>
      <c r="H851" s="31"/>
      <c r="I851" s="31"/>
      <c r="J851" s="31"/>
      <c r="K851" s="31"/>
      <c r="L851" s="31"/>
      <c r="M851" s="31"/>
      <c r="N851" s="31"/>
      <c r="U851" s="138"/>
      <c r="V851" s="138"/>
      <c r="W851" s="138"/>
    </row>
    <row r="852">
      <c r="A852" s="31"/>
      <c r="B852" s="31"/>
      <c r="C852" s="79"/>
      <c r="D852" s="79"/>
      <c r="E852" s="79"/>
      <c r="F852" s="31"/>
      <c r="G852" s="31"/>
      <c r="H852" s="31"/>
      <c r="I852" s="31"/>
      <c r="J852" s="31"/>
      <c r="K852" s="31"/>
      <c r="L852" s="31"/>
      <c r="M852" s="31"/>
      <c r="N852" s="31"/>
      <c r="U852" s="138"/>
      <c r="V852" s="138"/>
      <c r="W852" s="138"/>
    </row>
    <row r="853">
      <c r="A853" s="31"/>
      <c r="B853" s="31"/>
      <c r="C853" s="79"/>
      <c r="D853" s="79"/>
      <c r="E853" s="79"/>
      <c r="F853" s="31"/>
      <c r="G853" s="31"/>
      <c r="H853" s="31"/>
      <c r="I853" s="31"/>
      <c r="J853" s="31"/>
      <c r="K853" s="31"/>
      <c r="L853" s="31"/>
      <c r="M853" s="31"/>
      <c r="N853" s="31"/>
      <c r="U853" s="138"/>
      <c r="V853" s="138"/>
      <c r="W853" s="138"/>
    </row>
    <row r="854">
      <c r="A854" s="31"/>
      <c r="B854" s="31"/>
      <c r="C854" s="79"/>
      <c r="D854" s="79"/>
      <c r="E854" s="79"/>
      <c r="F854" s="31"/>
      <c r="G854" s="31"/>
      <c r="H854" s="31"/>
      <c r="I854" s="31"/>
      <c r="J854" s="31"/>
      <c r="K854" s="31"/>
      <c r="L854" s="31"/>
      <c r="M854" s="31"/>
      <c r="N854" s="31"/>
      <c r="U854" s="138"/>
      <c r="V854" s="138"/>
      <c r="W854" s="138"/>
    </row>
    <row r="855">
      <c r="A855" s="31"/>
      <c r="B855" s="31"/>
      <c r="C855" s="79"/>
      <c r="D855" s="79"/>
      <c r="E855" s="79"/>
      <c r="F855" s="31"/>
      <c r="G855" s="31"/>
      <c r="H855" s="31"/>
      <c r="I855" s="31"/>
      <c r="J855" s="31"/>
      <c r="K855" s="31"/>
      <c r="L855" s="31"/>
      <c r="M855" s="31"/>
      <c r="N855" s="31"/>
      <c r="U855" s="138"/>
      <c r="V855" s="138"/>
      <c r="W855" s="138"/>
    </row>
    <row r="856">
      <c r="A856" s="31"/>
      <c r="B856" s="31"/>
      <c r="C856" s="79"/>
      <c r="D856" s="79"/>
      <c r="E856" s="79"/>
      <c r="F856" s="31"/>
      <c r="G856" s="31"/>
      <c r="H856" s="31"/>
      <c r="I856" s="31"/>
      <c r="J856" s="31"/>
      <c r="K856" s="31"/>
      <c r="L856" s="31"/>
      <c r="M856" s="31"/>
      <c r="N856" s="31"/>
      <c r="U856" s="138"/>
      <c r="V856" s="138"/>
      <c r="W856" s="138"/>
    </row>
    <row r="857">
      <c r="A857" s="31"/>
      <c r="B857" s="31"/>
      <c r="C857" s="79"/>
      <c r="D857" s="79"/>
      <c r="E857" s="79"/>
      <c r="F857" s="31"/>
      <c r="G857" s="31"/>
      <c r="H857" s="31"/>
      <c r="I857" s="31"/>
      <c r="J857" s="31"/>
      <c r="K857" s="31"/>
      <c r="L857" s="31"/>
      <c r="M857" s="31"/>
      <c r="N857" s="31"/>
      <c r="U857" s="138"/>
      <c r="V857" s="138"/>
      <c r="W857" s="138"/>
    </row>
    <row r="858">
      <c r="A858" s="31"/>
      <c r="B858" s="31"/>
      <c r="C858" s="79"/>
      <c r="D858" s="79"/>
      <c r="E858" s="79"/>
      <c r="F858" s="31"/>
      <c r="G858" s="31"/>
      <c r="H858" s="31"/>
      <c r="I858" s="31"/>
      <c r="J858" s="31"/>
      <c r="K858" s="31"/>
      <c r="L858" s="31"/>
      <c r="M858" s="31"/>
      <c r="N858" s="31"/>
      <c r="U858" s="138"/>
      <c r="V858" s="138"/>
      <c r="W858" s="138"/>
    </row>
    <row r="859">
      <c r="A859" s="31"/>
      <c r="B859" s="31"/>
      <c r="C859" s="79"/>
      <c r="D859" s="79"/>
      <c r="E859" s="79"/>
      <c r="F859" s="31"/>
      <c r="G859" s="31"/>
      <c r="H859" s="31"/>
      <c r="I859" s="31"/>
      <c r="J859" s="31"/>
      <c r="K859" s="31"/>
      <c r="L859" s="31"/>
      <c r="M859" s="31"/>
      <c r="N859" s="31"/>
      <c r="U859" s="138"/>
      <c r="V859" s="138"/>
      <c r="W859" s="138"/>
    </row>
    <row r="860">
      <c r="A860" s="31"/>
      <c r="B860" s="31"/>
      <c r="C860" s="79"/>
      <c r="D860" s="79"/>
      <c r="E860" s="79"/>
      <c r="F860" s="31"/>
      <c r="G860" s="31"/>
      <c r="H860" s="31"/>
      <c r="I860" s="31"/>
      <c r="J860" s="31"/>
      <c r="K860" s="31"/>
      <c r="L860" s="31"/>
      <c r="M860" s="31"/>
      <c r="N860" s="31"/>
      <c r="U860" s="138"/>
      <c r="V860" s="138"/>
      <c r="W860" s="138"/>
    </row>
    <row r="861">
      <c r="A861" s="31"/>
      <c r="B861" s="31"/>
      <c r="C861" s="79"/>
      <c r="D861" s="79"/>
      <c r="E861" s="79"/>
      <c r="F861" s="31"/>
      <c r="G861" s="31"/>
      <c r="H861" s="31"/>
      <c r="I861" s="31"/>
      <c r="J861" s="31"/>
      <c r="K861" s="31"/>
      <c r="L861" s="31"/>
      <c r="M861" s="31"/>
      <c r="N861" s="31"/>
      <c r="U861" s="138"/>
      <c r="V861" s="138"/>
      <c r="W861" s="138"/>
    </row>
    <row r="862">
      <c r="A862" s="31"/>
      <c r="B862" s="31"/>
      <c r="C862" s="79"/>
      <c r="D862" s="79"/>
      <c r="E862" s="79"/>
      <c r="F862" s="31"/>
      <c r="G862" s="31"/>
      <c r="H862" s="31"/>
      <c r="I862" s="31"/>
      <c r="J862" s="31"/>
      <c r="K862" s="31"/>
      <c r="L862" s="31"/>
      <c r="M862" s="31"/>
      <c r="N862" s="31"/>
      <c r="U862" s="138"/>
      <c r="V862" s="138"/>
      <c r="W862" s="138"/>
    </row>
    <row r="863">
      <c r="A863" s="31"/>
      <c r="B863" s="31"/>
      <c r="C863" s="79"/>
      <c r="D863" s="79"/>
      <c r="E863" s="79"/>
      <c r="F863" s="31"/>
      <c r="G863" s="31"/>
      <c r="H863" s="31"/>
      <c r="I863" s="31"/>
      <c r="J863" s="31"/>
      <c r="K863" s="31"/>
      <c r="L863" s="31"/>
      <c r="M863" s="31"/>
      <c r="N863" s="31"/>
      <c r="U863" s="138"/>
      <c r="V863" s="138"/>
      <c r="W863" s="138"/>
    </row>
    <row r="864">
      <c r="A864" s="31"/>
      <c r="B864" s="31"/>
      <c r="C864" s="79"/>
      <c r="D864" s="79"/>
      <c r="E864" s="79"/>
      <c r="F864" s="31"/>
      <c r="G864" s="31"/>
      <c r="H864" s="31"/>
      <c r="I864" s="31"/>
      <c r="J864" s="31"/>
      <c r="K864" s="31"/>
      <c r="L864" s="31"/>
      <c r="M864" s="31"/>
      <c r="N864" s="31"/>
      <c r="U864" s="138"/>
      <c r="V864" s="138"/>
      <c r="W864" s="138"/>
    </row>
    <row r="865">
      <c r="A865" s="31"/>
      <c r="B865" s="31"/>
      <c r="C865" s="79"/>
      <c r="D865" s="79"/>
      <c r="E865" s="79"/>
      <c r="F865" s="31"/>
      <c r="G865" s="31"/>
      <c r="H865" s="31"/>
      <c r="I865" s="31"/>
      <c r="J865" s="31"/>
      <c r="K865" s="31"/>
      <c r="L865" s="31"/>
      <c r="M865" s="31"/>
      <c r="N865" s="31"/>
      <c r="U865" s="138"/>
      <c r="V865" s="138"/>
      <c r="W865" s="138"/>
    </row>
    <row r="866">
      <c r="A866" s="31"/>
      <c r="B866" s="31"/>
      <c r="C866" s="79"/>
      <c r="D866" s="79"/>
      <c r="E866" s="79"/>
      <c r="F866" s="31"/>
      <c r="G866" s="31"/>
      <c r="H866" s="31"/>
      <c r="I866" s="31"/>
      <c r="J866" s="31"/>
      <c r="K866" s="31"/>
      <c r="L866" s="31"/>
      <c r="M866" s="31"/>
      <c r="N866" s="31"/>
      <c r="U866" s="138"/>
      <c r="V866" s="138"/>
      <c r="W866" s="138"/>
    </row>
    <row r="867">
      <c r="A867" s="31"/>
      <c r="B867" s="31"/>
      <c r="C867" s="79"/>
      <c r="D867" s="79"/>
      <c r="E867" s="79"/>
      <c r="F867" s="31"/>
      <c r="G867" s="31"/>
      <c r="H867" s="31"/>
      <c r="I867" s="31"/>
      <c r="J867" s="31"/>
      <c r="K867" s="31"/>
      <c r="L867" s="31"/>
      <c r="M867" s="31"/>
      <c r="N867" s="31"/>
      <c r="U867" s="138"/>
      <c r="V867" s="138"/>
      <c r="W867" s="138"/>
    </row>
    <row r="868">
      <c r="A868" s="31"/>
      <c r="B868" s="31"/>
      <c r="C868" s="79"/>
      <c r="D868" s="79"/>
      <c r="E868" s="79"/>
      <c r="F868" s="31"/>
      <c r="G868" s="31"/>
      <c r="H868" s="31"/>
      <c r="I868" s="31"/>
      <c r="J868" s="31"/>
      <c r="K868" s="31"/>
      <c r="L868" s="31"/>
      <c r="M868" s="31"/>
      <c r="N868" s="31"/>
      <c r="U868" s="138"/>
      <c r="V868" s="138"/>
      <c r="W868" s="138"/>
    </row>
    <row r="869">
      <c r="A869" s="31"/>
      <c r="B869" s="31"/>
      <c r="C869" s="79"/>
      <c r="D869" s="79"/>
      <c r="E869" s="79"/>
      <c r="F869" s="31"/>
      <c r="G869" s="31"/>
      <c r="H869" s="31"/>
      <c r="I869" s="31"/>
      <c r="J869" s="31"/>
      <c r="K869" s="31"/>
      <c r="L869" s="31"/>
      <c r="M869" s="31"/>
      <c r="N869" s="31"/>
      <c r="U869" s="138"/>
      <c r="V869" s="138"/>
      <c r="W869" s="138"/>
    </row>
    <row r="870">
      <c r="A870" s="31"/>
      <c r="B870" s="31"/>
      <c r="C870" s="79"/>
      <c r="D870" s="79"/>
      <c r="E870" s="79"/>
      <c r="F870" s="31"/>
      <c r="G870" s="31"/>
      <c r="H870" s="31"/>
      <c r="I870" s="31"/>
      <c r="J870" s="31"/>
      <c r="K870" s="31"/>
      <c r="L870" s="31"/>
      <c r="M870" s="31"/>
      <c r="N870" s="31"/>
      <c r="U870" s="138"/>
      <c r="V870" s="138"/>
      <c r="W870" s="138"/>
    </row>
    <row r="871">
      <c r="A871" s="31"/>
      <c r="B871" s="31"/>
      <c r="C871" s="79"/>
      <c r="D871" s="79"/>
      <c r="E871" s="79"/>
      <c r="F871" s="31"/>
      <c r="G871" s="31"/>
      <c r="H871" s="31"/>
      <c r="I871" s="31"/>
      <c r="J871" s="31"/>
      <c r="K871" s="31"/>
      <c r="L871" s="31"/>
      <c r="M871" s="31"/>
      <c r="N871" s="31"/>
      <c r="U871" s="138"/>
      <c r="V871" s="138"/>
      <c r="W871" s="138"/>
    </row>
    <row r="872">
      <c r="A872" s="31"/>
      <c r="B872" s="31"/>
      <c r="C872" s="79"/>
      <c r="D872" s="79"/>
      <c r="E872" s="79"/>
      <c r="F872" s="31"/>
      <c r="G872" s="31"/>
      <c r="H872" s="31"/>
      <c r="I872" s="31"/>
      <c r="J872" s="31"/>
      <c r="K872" s="31"/>
      <c r="L872" s="31"/>
      <c r="M872" s="31"/>
      <c r="N872" s="31"/>
      <c r="U872" s="138"/>
      <c r="V872" s="138"/>
      <c r="W872" s="138"/>
    </row>
    <row r="873">
      <c r="A873" s="31"/>
      <c r="B873" s="31"/>
      <c r="C873" s="79"/>
      <c r="D873" s="79"/>
      <c r="E873" s="79"/>
      <c r="F873" s="31"/>
      <c r="G873" s="31"/>
      <c r="H873" s="31"/>
      <c r="I873" s="31"/>
      <c r="J873" s="31"/>
      <c r="K873" s="31"/>
      <c r="L873" s="31"/>
      <c r="M873" s="31"/>
      <c r="N873" s="31"/>
      <c r="U873" s="138"/>
      <c r="V873" s="138"/>
      <c r="W873" s="138"/>
    </row>
    <row r="874">
      <c r="A874" s="31"/>
      <c r="B874" s="31"/>
      <c r="C874" s="79"/>
      <c r="D874" s="79"/>
      <c r="E874" s="79"/>
      <c r="F874" s="31"/>
      <c r="G874" s="31"/>
      <c r="H874" s="31"/>
      <c r="I874" s="31"/>
      <c r="J874" s="31"/>
      <c r="K874" s="31"/>
      <c r="L874" s="31"/>
      <c r="M874" s="31"/>
      <c r="N874" s="31"/>
      <c r="U874" s="138"/>
      <c r="V874" s="138"/>
      <c r="W874" s="138"/>
    </row>
    <row r="875">
      <c r="A875" s="31"/>
      <c r="B875" s="31"/>
      <c r="C875" s="79"/>
      <c r="D875" s="79"/>
      <c r="E875" s="79"/>
      <c r="F875" s="31"/>
      <c r="G875" s="31"/>
      <c r="H875" s="31"/>
      <c r="I875" s="31"/>
      <c r="J875" s="31"/>
      <c r="K875" s="31"/>
      <c r="L875" s="31"/>
      <c r="M875" s="31"/>
      <c r="N875" s="31"/>
      <c r="U875" s="138"/>
      <c r="V875" s="138"/>
      <c r="W875" s="138"/>
    </row>
    <row r="876">
      <c r="A876" s="31"/>
      <c r="B876" s="31"/>
      <c r="C876" s="79"/>
      <c r="D876" s="79"/>
      <c r="E876" s="79"/>
      <c r="F876" s="31"/>
      <c r="G876" s="31"/>
      <c r="H876" s="31"/>
      <c r="I876" s="31"/>
      <c r="J876" s="31"/>
      <c r="K876" s="31"/>
      <c r="L876" s="31"/>
      <c r="M876" s="31"/>
      <c r="N876" s="31"/>
      <c r="U876" s="138"/>
      <c r="V876" s="138"/>
      <c r="W876" s="138"/>
    </row>
    <row r="877">
      <c r="A877" s="31"/>
      <c r="B877" s="31"/>
      <c r="C877" s="79"/>
      <c r="D877" s="79"/>
      <c r="E877" s="79"/>
      <c r="F877" s="31"/>
      <c r="G877" s="31"/>
      <c r="H877" s="31"/>
      <c r="I877" s="31"/>
      <c r="J877" s="31"/>
      <c r="K877" s="31"/>
      <c r="L877" s="31"/>
      <c r="M877" s="31"/>
      <c r="N877" s="31"/>
      <c r="U877" s="138"/>
      <c r="V877" s="138"/>
      <c r="W877" s="138"/>
    </row>
    <row r="878">
      <c r="A878" s="31"/>
      <c r="B878" s="31"/>
      <c r="C878" s="79"/>
      <c r="D878" s="79"/>
      <c r="E878" s="79"/>
      <c r="F878" s="31"/>
      <c r="G878" s="31"/>
      <c r="H878" s="31"/>
      <c r="I878" s="31"/>
      <c r="J878" s="31"/>
      <c r="K878" s="31"/>
      <c r="L878" s="31"/>
      <c r="M878" s="31"/>
      <c r="N878" s="31"/>
      <c r="U878" s="138"/>
      <c r="V878" s="138"/>
      <c r="W878" s="138"/>
    </row>
    <row r="879">
      <c r="A879" s="31"/>
      <c r="B879" s="31"/>
      <c r="C879" s="79"/>
      <c r="D879" s="79"/>
      <c r="E879" s="79"/>
      <c r="F879" s="31"/>
      <c r="G879" s="31"/>
      <c r="H879" s="31"/>
      <c r="I879" s="31"/>
      <c r="J879" s="31"/>
      <c r="K879" s="31"/>
      <c r="L879" s="31"/>
      <c r="M879" s="31"/>
      <c r="N879" s="31"/>
      <c r="U879" s="138"/>
      <c r="V879" s="138"/>
      <c r="W879" s="138"/>
    </row>
    <row r="880">
      <c r="A880" s="31"/>
      <c r="B880" s="31"/>
      <c r="C880" s="79"/>
      <c r="D880" s="79"/>
      <c r="E880" s="79"/>
      <c r="F880" s="31"/>
      <c r="G880" s="31"/>
      <c r="H880" s="31"/>
      <c r="I880" s="31"/>
      <c r="J880" s="31"/>
      <c r="K880" s="31"/>
      <c r="L880" s="31"/>
      <c r="M880" s="31"/>
      <c r="N880" s="31"/>
      <c r="U880" s="138"/>
      <c r="V880" s="138"/>
      <c r="W880" s="138"/>
    </row>
    <row r="881">
      <c r="A881" s="31"/>
      <c r="B881" s="31"/>
      <c r="C881" s="79"/>
      <c r="D881" s="79"/>
      <c r="E881" s="79"/>
      <c r="F881" s="31"/>
      <c r="G881" s="31"/>
      <c r="H881" s="31"/>
      <c r="I881" s="31"/>
      <c r="J881" s="31"/>
      <c r="K881" s="31"/>
      <c r="L881" s="31"/>
      <c r="M881" s="31"/>
      <c r="N881" s="31"/>
      <c r="U881" s="138"/>
      <c r="V881" s="138"/>
      <c r="W881" s="138"/>
    </row>
    <row r="882">
      <c r="A882" s="31"/>
      <c r="B882" s="31"/>
      <c r="C882" s="79"/>
      <c r="D882" s="79"/>
      <c r="E882" s="79"/>
      <c r="F882" s="31"/>
      <c r="G882" s="31"/>
      <c r="H882" s="31"/>
      <c r="I882" s="31"/>
      <c r="J882" s="31"/>
      <c r="K882" s="31"/>
      <c r="L882" s="31"/>
      <c r="M882" s="31"/>
      <c r="N882" s="31"/>
      <c r="U882" s="138"/>
      <c r="V882" s="138"/>
      <c r="W882" s="138"/>
    </row>
    <row r="883">
      <c r="A883" s="31"/>
      <c r="B883" s="31"/>
      <c r="C883" s="79"/>
      <c r="D883" s="79"/>
      <c r="E883" s="79"/>
      <c r="F883" s="31"/>
      <c r="G883" s="31"/>
      <c r="H883" s="31"/>
      <c r="I883" s="31"/>
      <c r="J883" s="31"/>
      <c r="K883" s="31"/>
      <c r="L883" s="31"/>
      <c r="M883" s="31"/>
      <c r="N883" s="31"/>
      <c r="U883" s="138"/>
      <c r="V883" s="138"/>
      <c r="W883" s="138"/>
    </row>
    <row r="884">
      <c r="A884" s="31"/>
      <c r="B884" s="31"/>
      <c r="C884" s="79"/>
      <c r="D884" s="79"/>
      <c r="E884" s="79"/>
      <c r="F884" s="31"/>
      <c r="G884" s="31"/>
      <c r="H884" s="31"/>
      <c r="I884" s="31"/>
      <c r="J884" s="31"/>
      <c r="K884" s="31"/>
      <c r="L884" s="31"/>
      <c r="M884" s="31"/>
      <c r="N884" s="31"/>
      <c r="U884" s="138"/>
      <c r="V884" s="138"/>
      <c r="W884" s="138"/>
    </row>
    <row r="885">
      <c r="A885" s="31"/>
      <c r="B885" s="31"/>
      <c r="C885" s="79"/>
      <c r="D885" s="79"/>
      <c r="E885" s="79"/>
      <c r="F885" s="31"/>
      <c r="G885" s="31"/>
      <c r="H885" s="31"/>
      <c r="I885" s="31"/>
      <c r="J885" s="31"/>
      <c r="K885" s="31"/>
      <c r="L885" s="31"/>
      <c r="M885" s="31"/>
      <c r="N885" s="31"/>
      <c r="U885" s="138"/>
      <c r="V885" s="138"/>
      <c r="W885" s="138"/>
    </row>
    <row r="886">
      <c r="A886" s="31"/>
      <c r="B886" s="31"/>
      <c r="C886" s="79"/>
      <c r="D886" s="79"/>
      <c r="E886" s="79"/>
      <c r="F886" s="31"/>
      <c r="G886" s="31"/>
      <c r="H886" s="31"/>
      <c r="I886" s="31"/>
      <c r="J886" s="31"/>
      <c r="K886" s="31"/>
      <c r="L886" s="31"/>
      <c r="M886" s="31"/>
      <c r="N886" s="31"/>
      <c r="U886" s="138"/>
      <c r="V886" s="138"/>
      <c r="W886" s="138"/>
    </row>
    <row r="887">
      <c r="A887" s="31"/>
      <c r="B887" s="31"/>
      <c r="C887" s="79"/>
      <c r="D887" s="79"/>
      <c r="E887" s="79"/>
      <c r="F887" s="31"/>
      <c r="G887" s="31"/>
      <c r="H887" s="31"/>
      <c r="I887" s="31"/>
      <c r="J887" s="31"/>
      <c r="K887" s="31"/>
      <c r="L887" s="31"/>
      <c r="M887" s="31"/>
      <c r="N887" s="31"/>
      <c r="U887" s="138"/>
      <c r="V887" s="138"/>
      <c r="W887" s="138"/>
    </row>
    <row r="888">
      <c r="A888" s="31"/>
      <c r="B888" s="31"/>
      <c r="C888" s="79"/>
      <c r="D888" s="79"/>
      <c r="E888" s="79"/>
      <c r="F888" s="31"/>
      <c r="G888" s="31"/>
      <c r="H888" s="31"/>
      <c r="I888" s="31"/>
      <c r="J888" s="31"/>
      <c r="K888" s="31"/>
      <c r="L888" s="31"/>
      <c r="M888" s="31"/>
      <c r="N888" s="31"/>
      <c r="U888" s="138"/>
      <c r="V888" s="138"/>
      <c r="W888" s="138"/>
    </row>
    <row r="889">
      <c r="A889" s="31"/>
      <c r="B889" s="31"/>
      <c r="C889" s="79"/>
      <c r="D889" s="79"/>
      <c r="E889" s="79"/>
      <c r="F889" s="31"/>
      <c r="G889" s="31"/>
      <c r="H889" s="31"/>
      <c r="I889" s="31"/>
      <c r="J889" s="31"/>
      <c r="K889" s="31"/>
      <c r="L889" s="31"/>
      <c r="M889" s="31"/>
      <c r="N889" s="31"/>
      <c r="U889" s="138"/>
      <c r="V889" s="138"/>
      <c r="W889" s="138"/>
    </row>
    <row r="890">
      <c r="A890" s="31"/>
      <c r="B890" s="31"/>
      <c r="C890" s="79"/>
      <c r="D890" s="79"/>
      <c r="E890" s="79"/>
      <c r="F890" s="31"/>
      <c r="G890" s="31"/>
      <c r="H890" s="31"/>
      <c r="I890" s="31"/>
      <c r="J890" s="31"/>
      <c r="K890" s="31"/>
      <c r="L890" s="31"/>
      <c r="M890" s="31"/>
      <c r="N890" s="31"/>
      <c r="U890" s="138"/>
      <c r="V890" s="138"/>
      <c r="W890" s="138"/>
    </row>
    <row r="891">
      <c r="A891" s="31"/>
      <c r="B891" s="31"/>
      <c r="C891" s="79"/>
      <c r="D891" s="79"/>
      <c r="E891" s="79"/>
      <c r="F891" s="31"/>
      <c r="G891" s="31"/>
      <c r="H891" s="31"/>
      <c r="I891" s="31"/>
      <c r="J891" s="31"/>
      <c r="K891" s="31"/>
      <c r="L891" s="31"/>
      <c r="M891" s="31"/>
      <c r="N891" s="31"/>
      <c r="U891" s="138"/>
      <c r="V891" s="138"/>
      <c r="W891" s="138"/>
    </row>
    <row r="892">
      <c r="A892" s="31"/>
      <c r="B892" s="31"/>
      <c r="C892" s="79"/>
      <c r="D892" s="79"/>
      <c r="E892" s="79"/>
      <c r="F892" s="31"/>
      <c r="G892" s="31"/>
      <c r="H892" s="31"/>
      <c r="I892" s="31"/>
      <c r="J892" s="31"/>
      <c r="K892" s="31"/>
      <c r="L892" s="31"/>
      <c r="M892" s="31"/>
      <c r="N892" s="31"/>
      <c r="U892" s="138"/>
      <c r="V892" s="138"/>
      <c r="W892" s="138"/>
    </row>
    <row r="893">
      <c r="A893" s="31"/>
      <c r="B893" s="31"/>
      <c r="C893" s="79"/>
      <c r="D893" s="79"/>
      <c r="E893" s="79"/>
      <c r="F893" s="31"/>
      <c r="G893" s="31"/>
      <c r="H893" s="31"/>
      <c r="I893" s="31"/>
      <c r="J893" s="31"/>
      <c r="K893" s="31"/>
      <c r="L893" s="31"/>
      <c r="M893" s="31"/>
      <c r="N893" s="31"/>
      <c r="U893" s="138"/>
      <c r="V893" s="138"/>
      <c r="W893" s="138"/>
    </row>
    <row r="894">
      <c r="A894" s="31"/>
      <c r="B894" s="31"/>
      <c r="C894" s="79"/>
      <c r="D894" s="79"/>
      <c r="E894" s="79"/>
      <c r="F894" s="31"/>
      <c r="G894" s="31"/>
      <c r="H894" s="31"/>
      <c r="I894" s="31"/>
      <c r="J894" s="31"/>
      <c r="K894" s="31"/>
      <c r="L894" s="31"/>
      <c r="M894" s="31"/>
      <c r="N894" s="31"/>
      <c r="U894" s="138"/>
      <c r="V894" s="138"/>
      <c r="W894" s="138"/>
    </row>
    <row r="895">
      <c r="A895" s="31"/>
      <c r="B895" s="31"/>
      <c r="C895" s="79"/>
      <c r="D895" s="79"/>
      <c r="E895" s="79"/>
      <c r="F895" s="31"/>
      <c r="G895" s="31"/>
      <c r="H895" s="31"/>
      <c r="I895" s="31"/>
      <c r="J895" s="31"/>
      <c r="K895" s="31"/>
      <c r="L895" s="31"/>
      <c r="M895" s="31"/>
      <c r="N895" s="31"/>
      <c r="U895" s="138"/>
      <c r="V895" s="138"/>
      <c r="W895" s="138"/>
    </row>
    <row r="896">
      <c r="A896" s="31"/>
      <c r="B896" s="31"/>
      <c r="C896" s="79"/>
      <c r="D896" s="79"/>
      <c r="E896" s="79"/>
      <c r="F896" s="31"/>
      <c r="G896" s="31"/>
      <c r="H896" s="31"/>
      <c r="I896" s="31"/>
      <c r="J896" s="31"/>
      <c r="K896" s="31"/>
      <c r="L896" s="31"/>
      <c r="M896" s="31"/>
      <c r="N896" s="31"/>
      <c r="U896" s="138"/>
      <c r="V896" s="138"/>
      <c r="W896" s="138"/>
    </row>
    <row r="897">
      <c r="A897" s="31"/>
      <c r="B897" s="31"/>
      <c r="C897" s="79"/>
      <c r="D897" s="79"/>
      <c r="E897" s="79"/>
      <c r="F897" s="31"/>
      <c r="G897" s="31"/>
      <c r="H897" s="31"/>
      <c r="I897" s="31"/>
      <c r="J897" s="31"/>
      <c r="K897" s="31"/>
      <c r="L897" s="31"/>
      <c r="M897" s="31"/>
      <c r="N897" s="31"/>
      <c r="U897" s="138"/>
      <c r="V897" s="138"/>
      <c r="W897" s="138"/>
    </row>
    <row r="898">
      <c r="A898" s="31"/>
      <c r="B898" s="31"/>
      <c r="C898" s="79"/>
      <c r="D898" s="79"/>
      <c r="E898" s="79"/>
      <c r="F898" s="31"/>
      <c r="G898" s="31"/>
      <c r="H898" s="31"/>
      <c r="I898" s="31"/>
      <c r="J898" s="31"/>
      <c r="K898" s="31"/>
      <c r="L898" s="31"/>
      <c r="M898" s="31"/>
      <c r="N898" s="31"/>
      <c r="U898" s="138"/>
      <c r="V898" s="138"/>
      <c r="W898" s="138"/>
    </row>
    <row r="899">
      <c r="A899" s="31"/>
      <c r="B899" s="31"/>
      <c r="C899" s="79"/>
      <c r="D899" s="79"/>
      <c r="E899" s="79"/>
      <c r="F899" s="31"/>
      <c r="G899" s="31"/>
      <c r="H899" s="31"/>
      <c r="I899" s="31"/>
      <c r="J899" s="31"/>
      <c r="K899" s="31"/>
      <c r="L899" s="31"/>
      <c r="M899" s="31"/>
      <c r="N899" s="31"/>
      <c r="U899" s="138"/>
      <c r="V899" s="138"/>
      <c r="W899" s="138"/>
    </row>
    <row r="900">
      <c r="A900" s="31"/>
      <c r="B900" s="31"/>
      <c r="C900" s="79"/>
      <c r="D900" s="79"/>
      <c r="E900" s="79"/>
      <c r="F900" s="31"/>
      <c r="G900" s="31"/>
      <c r="H900" s="31"/>
      <c r="I900" s="31"/>
      <c r="J900" s="31"/>
      <c r="K900" s="31"/>
      <c r="L900" s="31"/>
      <c r="M900" s="31"/>
      <c r="N900" s="31"/>
      <c r="U900" s="138"/>
      <c r="V900" s="138"/>
      <c r="W900" s="138"/>
    </row>
    <row r="901">
      <c r="A901" s="31"/>
      <c r="B901" s="31"/>
      <c r="C901" s="79"/>
      <c r="D901" s="79"/>
      <c r="E901" s="79"/>
      <c r="F901" s="31"/>
      <c r="G901" s="31"/>
      <c r="H901" s="31"/>
      <c r="I901" s="31"/>
      <c r="J901" s="31"/>
      <c r="K901" s="31"/>
      <c r="L901" s="31"/>
      <c r="M901" s="31"/>
      <c r="N901" s="31"/>
      <c r="U901" s="138"/>
      <c r="V901" s="138"/>
      <c r="W901" s="138"/>
    </row>
    <row r="902">
      <c r="A902" s="31"/>
      <c r="B902" s="31"/>
      <c r="C902" s="79"/>
      <c r="D902" s="79"/>
      <c r="E902" s="79"/>
      <c r="F902" s="31"/>
      <c r="G902" s="31"/>
      <c r="H902" s="31"/>
      <c r="I902" s="31"/>
      <c r="J902" s="31"/>
      <c r="K902" s="31"/>
      <c r="L902" s="31"/>
      <c r="M902" s="31"/>
      <c r="N902" s="31"/>
      <c r="U902" s="138"/>
      <c r="V902" s="138"/>
      <c r="W902" s="138"/>
    </row>
    <row r="903">
      <c r="A903" s="31"/>
      <c r="B903" s="31"/>
      <c r="C903" s="79"/>
      <c r="D903" s="79"/>
      <c r="E903" s="79"/>
      <c r="F903" s="31"/>
      <c r="G903" s="31"/>
      <c r="H903" s="31"/>
      <c r="I903" s="31"/>
      <c r="J903" s="31"/>
      <c r="K903" s="31"/>
      <c r="L903" s="31"/>
      <c r="M903" s="31"/>
      <c r="N903" s="31"/>
      <c r="U903" s="138"/>
      <c r="V903" s="138"/>
      <c r="W903" s="138"/>
    </row>
    <row r="904">
      <c r="A904" s="31"/>
      <c r="B904" s="31"/>
      <c r="C904" s="79"/>
      <c r="D904" s="79"/>
      <c r="E904" s="79"/>
      <c r="F904" s="31"/>
      <c r="G904" s="31"/>
      <c r="H904" s="31"/>
      <c r="I904" s="31"/>
      <c r="J904" s="31"/>
      <c r="K904" s="31"/>
      <c r="L904" s="31"/>
      <c r="M904" s="31"/>
      <c r="N904" s="31"/>
      <c r="U904" s="138"/>
      <c r="V904" s="138"/>
      <c r="W904" s="138"/>
    </row>
    <row r="905">
      <c r="A905" s="31"/>
      <c r="B905" s="31"/>
      <c r="C905" s="79"/>
      <c r="D905" s="79"/>
      <c r="E905" s="79"/>
      <c r="F905" s="31"/>
      <c r="G905" s="31"/>
      <c r="H905" s="31"/>
      <c r="I905" s="31"/>
      <c r="J905" s="31"/>
      <c r="K905" s="31"/>
      <c r="L905" s="31"/>
      <c r="M905" s="31"/>
      <c r="N905" s="31"/>
      <c r="U905" s="138"/>
      <c r="V905" s="138"/>
      <c r="W905" s="138"/>
    </row>
    <row r="906">
      <c r="A906" s="31"/>
      <c r="B906" s="31"/>
      <c r="C906" s="79"/>
      <c r="D906" s="79"/>
      <c r="E906" s="79"/>
      <c r="F906" s="31"/>
      <c r="G906" s="31"/>
      <c r="H906" s="31"/>
      <c r="I906" s="31"/>
      <c r="J906" s="31"/>
      <c r="K906" s="31"/>
      <c r="L906" s="31"/>
      <c r="M906" s="31"/>
      <c r="N906" s="31"/>
      <c r="U906" s="138"/>
      <c r="V906" s="138"/>
      <c r="W906" s="138"/>
    </row>
    <row r="907">
      <c r="A907" s="31"/>
      <c r="B907" s="31"/>
      <c r="C907" s="79"/>
      <c r="D907" s="79"/>
      <c r="E907" s="79"/>
      <c r="F907" s="31"/>
      <c r="G907" s="31"/>
      <c r="H907" s="31"/>
      <c r="I907" s="31"/>
      <c r="J907" s="31"/>
      <c r="K907" s="31"/>
      <c r="L907" s="31"/>
      <c r="M907" s="31"/>
      <c r="N907" s="31"/>
      <c r="U907" s="138"/>
      <c r="V907" s="138"/>
      <c r="W907" s="138"/>
    </row>
    <row r="908">
      <c r="A908" s="31"/>
      <c r="B908" s="31"/>
      <c r="C908" s="79"/>
      <c r="D908" s="79"/>
      <c r="E908" s="79"/>
      <c r="F908" s="31"/>
      <c r="G908" s="31"/>
      <c r="H908" s="31"/>
      <c r="I908" s="31"/>
      <c r="J908" s="31"/>
      <c r="K908" s="31"/>
      <c r="L908" s="31"/>
      <c r="M908" s="31"/>
      <c r="N908" s="31"/>
      <c r="U908" s="138"/>
      <c r="V908" s="138"/>
      <c r="W908" s="138"/>
    </row>
    <row r="909">
      <c r="A909" s="31"/>
      <c r="B909" s="31"/>
      <c r="C909" s="79"/>
      <c r="D909" s="79"/>
      <c r="E909" s="79"/>
      <c r="F909" s="31"/>
      <c r="G909" s="31"/>
      <c r="H909" s="31"/>
      <c r="I909" s="31"/>
      <c r="J909" s="31"/>
      <c r="K909" s="31"/>
      <c r="L909" s="31"/>
      <c r="M909" s="31"/>
      <c r="N909" s="31"/>
      <c r="U909" s="138"/>
      <c r="V909" s="138"/>
      <c r="W909" s="138"/>
    </row>
    <row r="910">
      <c r="A910" s="31"/>
      <c r="B910" s="31"/>
      <c r="C910" s="79"/>
      <c r="D910" s="79"/>
      <c r="E910" s="79"/>
      <c r="F910" s="31"/>
      <c r="G910" s="31"/>
      <c r="H910" s="31"/>
      <c r="I910" s="31"/>
      <c r="J910" s="31"/>
      <c r="K910" s="31"/>
      <c r="L910" s="31"/>
      <c r="M910" s="31"/>
      <c r="N910" s="31"/>
      <c r="U910" s="138"/>
      <c r="V910" s="138"/>
      <c r="W910" s="138"/>
    </row>
    <row r="911">
      <c r="A911" s="31"/>
      <c r="B911" s="31"/>
      <c r="C911" s="79"/>
      <c r="D911" s="79"/>
      <c r="E911" s="79"/>
      <c r="F911" s="31"/>
      <c r="G911" s="31"/>
      <c r="H911" s="31"/>
      <c r="I911" s="31"/>
      <c r="J911" s="31"/>
      <c r="K911" s="31"/>
      <c r="L911" s="31"/>
      <c r="M911" s="31"/>
      <c r="N911" s="31"/>
      <c r="U911" s="138"/>
      <c r="V911" s="138"/>
      <c r="W911" s="138"/>
    </row>
    <row r="912">
      <c r="A912" s="31"/>
      <c r="B912" s="31"/>
      <c r="C912" s="79"/>
      <c r="D912" s="79"/>
      <c r="E912" s="79"/>
      <c r="F912" s="31"/>
      <c r="G912" s="31"/>
      <c r="H912" s="31"/>
      <c r="I912" s="31"/>
      <c r="J912" s="31"/>
      <c r="K912" s="31"/>
      <c r="L912" s="31"/>
      <c r="M912" s="31"/>
      <c r="N912" s="31"/>
      <c r="U912" s="138"/>
      <c r="V912" s="138"/>
      <c r="W912" s="138"/>
    </row>
    <row r="913">
      <c r="A913" s="31"/>
      <c r="B913" s="31"/>
      <c r="C913" s="79"/>
      <c r="D913" s="79"/>
      <c r="E913" s="79"/>
      <c r="F913" s="31"/>
      <c r="G913" s="31"/>
      <c r="H913" s="31"/>
      <c r="I913" s="31"/>
      <c r="J913" s="31"/>
      <c r="K913" s="31"/>
      <c r="L913" s="31"/>
      <c r="M913" s="31"/>
      <c r="N913" s="31"/>
      <c r="U913" s="138"/>
      <c r="V913" s="138"/>
      <c r="W913" s="138"/>
    </row>
    <row r="914">
      <c r="A914" s="31"/>
      <c r="B914" s="31"/>
      <c r="C914" s="79"/>
      <c r="D914" s="79"/>
      <c r="E914" s="79"/>
      <c r="F914" s="31"/>
      <c r="G914" s="31"/>
      <c r="H914" s="31"/>
      <c r="I914" s="31"/>
      <c r="J914" s="31"/>
      <c r="K914" s="31"/>
      <c r="L914" s="31"/>
      <c r="M914" s="31"/>
      <c r="N914" s="31"/>
      <c r="U914" s="138"/>
      <c r="V914" s="138"/>
      <c r="W914" s="138"/>
    </row>
    <row r="915">
      <c r="A915" s="31"/>
      <c r="B915" s="31"/>
      <c r="C915" s="79"/>
      <c r="D915" s="79"/>
      <c r="E915" s="79"/>
      <c r="F915" s="31"/>
      <c r="G915" s="31"/>
      <c r="H915" s="31"/>
      <c r="I915" s="31"/>
      <c r="J915" s="31"/>
      <c r="K915" s="31"/>
      <c r="L915" s="31"/>
      <c r="M915" s="31"/>
      <c r="N915" s="31"/>
      <c r="U915" s="138"/>
      <c r="V915" s="138"/>
      <c r="W915" s="138"/>
    </row>
    <row r="916">
      <c r="A916" s="31"/>
      <c r="B916" s="31"/>
      <c r="C916" s="79"/>
      <c r="D916" s="79"/>
      <c r="E916" s="79"/>
      <c r="F916" s="31"/>
      <c r="G916" s="31"/>
      <c r="H916" s="31"/>
      <c r="I916" s="31"/>
      <c r="J916" s="31"/>
      <c r="K916" s="31"/>
      <c r="L916" s="31"/>
      <c r="M916" s="31"/>
      <c r="N916" s="31"/>
      <c r="U916" s="138"/>
      <c r="V916" s="138"/>
      <c r="W916" s="138"/>
    </row>
    <row r="917">
      <c r="A917" s="31"/>
      <c r="B917" s="31"/>
      <c r="C917" s="79"/>
      <c r="D917" s="79"/>
      <c r="E917" s="79"/>
      <c r="F917" s="31"/>
      <c r="G917" s="31"/>
      <c r="H917" s="31"/>
      <c r="I917" s="31"/>
      <c r="J917" s="31"/>
      <c r="K917" s="31"/>
      <c r="L917" s="31"/>
      <c r="M917" s="31"/>
      <c r="N917" s="31"/>
      <c r="U917" s="138"/>
      <c r="V917" s="138"/>
      <c r="W917" s="138"/>
    </row>
    <row r="918">
      <c r="A918" s="31"/>
      <c r="B918" s="31"/>
      <c r="C918" s="79"/>
      <c r="D918" s="79"/>
      <c r="E918" s="79"/>
      <c r="F918" s="31"/>
      <c r="G918" s="31"/>
      <c r="H918" s="31"/>
      <c r="I918" s="31"/>
      <c r="J918" s="31"/>
      <c r="K918" s="31"/>
      <c r="L918" s="31"/>
      <c r="M918" s="31"/>
      <c r="N918" s="31"/>
      <c r="U918" s="138"/>
      <c r="V918" s="138"/>
      <c r="W918" s="138"/>
    </row>
    <row r="919">
      <c r="A919" s="31"/>
      <c r="B919" s="31"/>
      <c r="C919" s="79"/>
      <c r="D919" s="79"/>
      <c r="E919" s="79"/>
      <c r="F919" s="31"/>
      <c r="G919" s="31"/>
      <c r="H919" s="31"/>
      <c r="I919" s="31"/>
      <c r="J919" s="31"/>
      <c r="K919" s="31"/>
      <c r="L919" s="31"/>
      <c r="M919" s="31"/>
      <c r="N919" s="31"/>
      <c r="U919" s="138"/>
      <c r="V919" s="138"/>
      <c r="W919" s="138"/>
    </row>
    <row r="920">
      <c r="A920" s="31"/>
      <c r="B920" s="31"/>
      <c r="C920" s="79"/>
      <c r="D920" s="79"/>
      <c r="E920" s="79"/>
      <c r="F920" s="31"/>
      <c r="G920" s="31"/>
      <c r="H920" s="31"/>
      <c r="I920" s="31"/>
      <c r="J920" s="31"/>
      <c r="K920" s="31"/>
      <c r="L920" s="31"/>
      <c r="M920" s="31"/>
      <c r="N920" s="31"/>
      <c r="U920" s="138"/>
      <c r="V920" s="138"/>
      <c r="W920" s="138"/>
    </row>
    <row r="921">
      <c r="A921" s="31"/>
      <c r="B921" s="31"/>
      <c r="C921" s="79"/>
      <c r="D921" s="79"/>
      <c r="E921" s="79"/>
      <c r="F921" s="31"/>
      <c r="G921" s="31"/>
      <c r="H921" s="31"/>
      <c r="I921" s="31"/>
      <c r="J921" s="31"/>
      <c r="K921" s="31"/>
      <c r="L921" s="31"/>
      <c r="M921" s="31"/>
      <c r="N921" s="31"/>
      <c r="U921" s="138"/>
      <c r="V921" s="138"/>
      <c r="W921" s="138"/>
    </row>
    <row r="922">
      <c r="A922" s="31"/>
      <c r="B922" s="31"/>
      <c r="C922" s="79"/>
      <c r="D922" s="79"/>
      <c r="E922" s="79"/>
      <c r="F922" s="31"/>
      <c r="G922" s="31"/>
      <c r="H922" s="31"/>
      <c r="I922" s="31"/>
      <c r="J922" s="31"/>
      <c r="K922" s="31"/>
      <c r="L922" s="31"/>
      <c r="M922" s="31"/>
      <c r="N922" s="31"/>
      <c r="U922" s="138"/>
      <c r="V922" s="138"/>
      <c r="W922" s="138"/>
    </row>
    <row r="923">
      <c r="A923" s="31"/>
      <c r="B923" s="31"/>
      <c r="C923" s="79"/>
      <c r="D923" s="79"/>
      <c r="E923" s="79"/>
      <c r="F923" s="31"/>
      <c r="G923" s="31"/>
      <c r="H923" s="31"/>
      <c r="I923" s="31"/>
      <c r="J923" s="31"/>
      <c r="K923" s="31"/>
      <c r="L923" s="31"/>
      <c r="M923" s="31"/>
      <c r="N923" s="31"/>
      <c r="U923" s="138"/>
      <c r="V923" s="138"/>
      <c r="W923" s="138"/>
    </row>
    <row r="924">
      <c r="A924" s="31"/>
      <c r="B924" s="31"/>
      <c r="C924" s="79"/>
      <c r="D924" s="79"/>
      <c r="E924" s="79"/>
      <c r="F924" s="31"/>
      <c r="G924" s="31"/>
      <c r="H924" s="31"/>
      <c r="I924" s="31"/>
      <c r="J924" s="31"/>
      <c r="K924" s="31"/>
      <c r="L924" s="31"/>
      <c r="M924" s="31"/>
      <c r="N924" s="31"/>
      <c r="U924" s="138"/>
      <c r="V924" s="138"/>
      <c r="W924" s="138"/>
    </row>
    <row r="925">
      <c r="A925" s="31"/>
      <c r="B925" s="31"/>
      <c r="C925" s="79"/>
      <c r="D925" s="79"/>
      <c r="E925" s="79"/>
      <c r="F925" s="31"/>
      <c r="G925" s="31"/>
      <c r="H925" s="31"/>
      <c r="I925" s="31"/>
      <c r="J925" s="31"/>
      <c r="K925" s="31"/>
      <c r="L925" s="31"/>
      <c r="M925" s="31"/>
      <c r="N925" s="31"/>
      <c r="U925" s="138"/>
      <c r="V925" s="138"/>
      <c r="W925" s="138"/>
    </row>
    <row r="926">
      <c r="A926" s="31"/>
      <c r="B926" s="31"/>
      <c r="C926" s="79"/>
      <c r="D926" s="79"/>
      <c r="E926" s="79"/>
      <c r="F926" s="31"/>
      <c r="G926" s="31"/>
      <c r="H926" s="31"/>
      <c r="I926" s="31"/>
      <c r="J926" s="31"/>
      <c r="K926" s="31"/>
      <c r="L926" s="31"/>
      <c r="M926" s="31"/>
      <c r="N926" s="31"/>
      <c r="U926" s="138"/>
      <c r="V926" s="138"/>
      <c r="W926" s="138"/>
    </row>
    <row r="927">
      <c r="A927" s="31"/>
      <c r="B927" s="31"/>
      <c r="C927" s="79"/>
      <c r="D927" s="79"/>
      <c r="E927" s="79"/>
      <c r="F927" s="31"/>
      <c r="G927" s="31"/>
      <c r="H927" s="31"/>
      <c r="I927" s="31"/>
      <c r="J927" s="31"/>
      <c r="K927" s="31"/>
      <c r="L927" s="31"/>
      <c r="M927" s="31"/>
      <c r="N927" s="31"/>
      <c r="U927" s="138"/>
      <c r="V927" s="138"/>
      <c r="W927" s="138"/>
    </row>
    <row r="928">
      <c r="A928" s="31"/>
      <c r="B928" s="31"/>
      <c r="C928" s="79"/>
      <c r="D928" s="79"/>
      <c r="E928" s="79"/>
      <c r="F928" s="31"/>
      <c r="G928" s="31"/>
      <c r="H928" s="31"/>
      <c r="I928" s="31"/>
      <c r="J928" s="31"/>
      <c r="K928" s="31"/>
      <c r="L928" s="31"/>
      <c r="M928" s="31"/>
      <c r="N928" s="31"/>
      <c r="U928" s="138"/>
      <c r="V928" s="138"/>
      <c r="W928" s="138"/>
    </row>
    <row r="929">
      <c r="A929" s="31"/>
      <c r="B929" s="31"/>
      <c r="C929" s="79"/>
      <c r="D929" s="79"/>
      <c r="E929" s="79"/>
      <c r="F929" s="31"/>
      <c r="G929" s="31"/>
      <c r="H929" s="31"/>
      <c r="I929" s="31"/>
      <c r="J929" s="31"/>
      <c r="K929" s="31"/>
      <c r="L929" s="31"/>
      <c r="M929" s="31"/>
      <c r="N929" s="31"/>
      <c r="U929" s="138"/>
      <c r="V929" s="138"/>
      <c r="W929" s="138"/>
    </row>
    <row r="930">
      <c r="A930" s="31"/>
      <c r="B930" s="31"/>
      <c r="C930" s="79"/>
      <c r="D930" s="79"/>
      <c r="E930" s="79"/>
      <c r="F930" s="31"/>
      <c r="G930" s="31"/>
      <c r="H930" s="31"/>
      <c r="I930" s="31"/>
      <c r="J930" s="31"/>
      <c r="K930" s="31"/>
      <c r="L930" s="31"/>
      <c r="M930" s="31"/>
      <c r="N930" s="31"/>
      <c r="U930" s="138"/>
      <c r="V930" s="138"/>
      <c r="W930" s="138"/>
    </row>
    <row r="931">
      <c r="A931" s="31"/>
      <c r="B931" s="31"/>
      <c r="C931" s="79"/>
      <c r="D931" s="79"/>
      <c r="E931" s="79"/>
      <c r="F931" s="31"/>
      <c r="G931" s="31"/>
      <c r="H931" s="31"/>
      <c r="I931" s="31"/>
      <c r="J931" s="31"/>
      <c r="K931" s="31"/>
      <c r="L931" s="31"/>
      <c r="M931" s="31"/>
      <c r="N931" s="31"/>
      <c r="U931" s="138"/>
      <c r="V931" s="138"/>
      <c r="W931" s="138"/>
    </row>
    <row r="932">
      <c r="A932" s="31"/>
      <c r="B932" s="31"/>
      <c r="C932" s="79"/>
      <c r="D932" s="79"/>
      <c r="E932" s="79"/>
      <c r="F932" s="31"/>
      <c r="G932" s="31"/>
      <c r="H932" s="31"/>
      <c r="I932" s="31"/>
      <c r="J932" s="31"/>
      <c r="K932" s="31"/>
      <c r="L932" s="31"/>
      <c r="M932" s="31"/>
      <c r="N932" s="31"/>
      <c r="U932" s="138"/>
      <c r="V932" s="138"/>
      <c r="W932" s="138"/>
    </row>
    <row r="933">
      <c r="A933" s="31"/>
      <c r="B933" s="31"/>
      <c r="C933" s="79"/>
      <c r="D933" s="79"/>
      <c r="E933" s="79"/>
      <c r="F933" s="31"/>
      <c r="G933" s="31"/>
      <c r="H933" s="31"/>
      <c r="I933" s="31"/>
      <c r="J933" s="31"/>
      <c r="K933" s="31"/>
      <c r="L933" s="31"/>
      <c r="M933" s="31"/>
      <c r="N933" s="31"/>
      <c r="U933" s="138"/>
      <c r="V933" s="138"/>
      <c r="W933" s="138"/>
    </row>
    <row r="934">
      <c r="A934" s="31"/>
      <c r="B934" s="31"/>
      <c r="C934" s="79"/>
      <c r="D934" s="79"/>
      <c r="E934" s="79"/>
      <c r="F934" s="31"/>
      <c r="G934" s="31"/>
      <c r="H934" s="31"/>
      <c r="I934" s="31"/>
      <c r="J934" s="31"/>
      <c r="K934" s="31"/>
      <c r="L934" s="31"/>
      <c r="M934" s="31"/>
      <c r="N934" s="31"/>
      <c r="U934" s="138"/>
      <c r="V934" s="138"/>
      <c r="W934" s="138"/>
    </row>
    <row r="935">
      <c r="A935" s="31"/>
      <c r="B935" s="31"/>
      <c r="C935" s="79"/>
      <c r="D935" s="79"/>
      <c r="E935" s="79"/>
      <c r="F935" s="31"/>
      <c r="G935" s="31"/>
      <c r="H935" s="31"/>
      <c r="I935" s="31"/>
      <c r="J935" s="31"/>
      <c r="K935" s="31"/>
      <c r="L935" s="31"/>
      <c r="M935" s="31"/>
      <c r="N935" s="31"/>
      <c r="U935" s="138"/>
      <c r="V935" s="138"/>
      <c r="W935" s="138"/>
    </row>
    <row r="936">
      <c r="A936" s="31"/>
      <c r="B936" s="31"/>
      <c r="C936" s="79"/>
      <c r="D936" s="79"/>
      <c r="E936" s="79"/>
      <c r="F936" s="31"/>
      <c r="G936" s="31"/>
      <c r="H936" s="31"/>
      <c r="I936" s="31"/>
      <c r="J936" s="31"/>
      <c r="K936" s="31"/>
      <c r="L936" s="31"/>
      <c r="M936" s="31"/>
      <c r="N936" s="31"/>
      <c r="U936" s="138"/>
      <c r="V936" s="138"/>
      <c r="W936" s="138"/>
    </row>
    <row r="937">
      <c r="A937" s="31"/>
      <c r="B937" s="31"/>
      <c r="C937" s="79"/>
      <c r="D937" s="79"/>
      <c r="E937" s="79"/>
      <c r="F937" s="31"/>
      <c r="G937" s="31"/>
      <c r="H937" s="31"/>
      <c r="I937" s="31"/>
      <c r="J937" s="31"/>
      <c r="K937" s="31"/>
      <c r="L937" s="31"/>
      <c r="M937" s="31"/>
      <c r="N937" s="31"/>
      <c r="U937" s="138"/>
      <c r="V937" s="138"/>
      <c r="W937" s="138"/>
    </row>
    <row r="938">
      <c r="A938" s="31"/>
      <c r="B938" s="31"/>
      <c r="C938" s="79"/>
      <c r="D938" s="79"/>
      <c r="E938" s="79"/>
      <c r="F938" s="31"/>
      <c r="G938" s="31"/>
      <c r="H938" s="31"/>
      <c r="I938" s="31"/>
      <c r="J938" s="31"/>
      <c r="K938" s="31"/>
      <c r="L938" s="31"/>
      <c r="M938" s="31"/>
      <c r="N938" s="31"/>
      <c r="U938" s="138"/>
      <c r="V938" s="138"/>
      <c r="W938" s="138"/>
    </row>
    <row r="939">
      <c r="A939" s="31"/>
      <c r="B939" s="31"/>
      <c r="C939" s="79"/>
      <c r="D939" s="79"/>
      <c r="E939" s="79"/>
      <c r="F939" s="31"/>
      <c r="G939" s="31"/>
      <c r="H939" s="31"/>
      <c r="I939" s="31"/>
      <c r="J939" s="31"/>
      <c r="K939" s="31"/>
      <c r="L939" s="31"/>
      <c r="M939" s="31"/>
      <c r="N939" s="31"/>
      <c r="U939" s="138"/>
      <c r="V939" s="138"/>
      <c r="W939" s="138"/>
    </row>
    <row r="940">
      <c r="A940" s="31"/>
      <c r="B940" s="31"/>
      <c r="C940" s="79"/>
      <c r="D940" s="79"/>
      <c r="E940" s="79"/>
      <c r="F940" s="31"/>
      <c r="G940" s="31"/>
      <c r="H940" s="31"/>
      <c r="I940" s="31"/>
      <c r="J940" s="31"/>
      <c r="K940" s="31"/>
      <c r="L940" s="31"/>
      <c r="M940" s="31"/>
      <c r="N940" s="31"/>
      <c r="U940" s="138"/>
      <c r="V940" s="138"/>
      <c r="W940" s="138"/>
    </row>
    <row r="941">
      <c r="A941" s="31"/>
      <c r="B941" s="31"/>
      <c r="C941" s="79"/>
      <c r="D941" s="79"/>
      <c r="E941" s="79"/>
      <c r="F941" s="31"/>
      <c r="G941" s="31"/>
      <c r="H941" s="31"/>
      <c r="I941" s="31"/>
      <c r="J941" s="31"/>
      <c r="K941" s="31"/>
      <c r="L941" s="31"/>
      <c r="M941" s="31"/>
      <c r="N941" s="31"/>
      <c r="U941" s="138"/>
      <c r="V941" s="138"/>
      <c r="W941" s="138"/>
    </row>
    <row r="942">
      <c r="A942" s="31"/>
      <c r="B942" s="31"/>
      <c r="C942" s="79"/>
      <c r="D942" s="79"/>
      <c r="E942" s="79"/>
      <c r="F942" s="31"/>
      <c r="G942" s="31"/>
      <c r="H942" s="31"/>
      <c r="I942" s="31"/>
      <c r="J942" s="31"/>
      <c r="K942" s="31"/>
      <c r="L942" s="31"/>
      <c r="M942" s="31"/>
      <c r="N942" s="31"/>
      <c r="U942" s="138"/>
      <c r="V942" s="138"/>
      <c r="W942" s="138"/>
    </row>
    <row r="943">
      <c r="A943" s="31"/>
      <c r="B943" s="31"/>
      <c r="C943" s="79"/>
      <c r="D943" s="79"/>
      <c r="E943" s="79"/>
      <c r="F943" s="31"/>
      <c r="G943" s="31"/>
      <c r="H943" s="31"/>
      <c r="I943" s="31"/>
      <c r="J943" s="31"/>
      <c r="K943" s="31"/>
      <c r="L943" s="31"/>
      <c r="M943" s="31"/>
      <c r="N943" s="31"/>
      <c r="U943" s="138"/>
      <c r="V943" s="138"/>
      <c r="W943" s="138"/>
    </row>
    <row r="944">
      <c r="A944" s="31"/>
      <c r="B944" s="31"/>
      <c r="C944" s="79"/>
      <c r="D944" s="79"/>
      <c r="E944" s="79"/>
      <c r="F944" s="31"/>
      <c r="G944" s="31"/>
      <c r="H944" s="31"/>
      <c r="I944" s="31"/>
      <c r="J944" s="31"/>
      <c r="K944" s="31"/>
      <c r="L944" s="31"/>
      <c r="M944" s="31"/>
      <c r="N944" s="31"/>
      <c r="U944" s="138"/>
      <c r="V944" s="138"/>
      <c r="W944" s="138"/>
    </row>
    <row r="945">
      <c r="A945" s="31"/>
      <c r="B945" s="31"/>
      <c r="C945" s="79"/>
      <c r="D945" s="79"/>
      <c r="E945" s="79"/>
      <c r="F945" s="31"/>
      <c r="G945" s="31"/>
      <c r="H945" s="31"/>
      <c r="I945" s="31"/>
      <c r="J945" s="31"/>
      <c r="K945" s="31"/>
      <c r="L945" s="31"/>
      <c r="M945" s="31"/>
      <c r="N945" s="31"/>
      <c r="U945" s="138"/>
      <c r="V945" s="138"/>
      <c r="W945" s="138"/>
    </row>
    <row r="946">
      <c r="A946" s="31"/>
      <c r="B946" s="31"/>
      <c r="C946" s="79"/>
      <c r="D946" s="79"/>
      <c r="E946" s="79"/>
      <c r="F946" s="31"/>
      <c r="G946" s="31"/>
      <c r="H946" s="31"/>
      <c r="I946" s="31"/>
      <c r="J946" s="31"/>
      <c r="K946" s="31"/>
      <c r="L946" s="31"/>
      <c r="M946" s="31"/>
      <c r="N946" s="31"/>
      <c r="U946" s="138"/>
      <c r="V946" s="138"/>
      <c r="W946" s="138"/>
    </row>
    <row r="947">
      <c r="A947" s="31"/>
      <c r="B947" s="31"/>
      <c r="C947" s="79"/>
      <c r="D947" s="79"/>
      <c r="E947" s="79"/>
      <c r="F947" s="31"/>
      <c r="G947" s="31"/>
      <c r="H947" s="31"/>
      <c r="I947" s="31"/>
      <c r="J947" s="31"/>
      <c r="K947" s="31"/>
      <c r="L947" s="31"/>
      <c r="M947" s="31"/>
      <c r="N947" s="31"/>
      <c r="U947" s="138"/>
      <c r="V947" s="138"/>
      <c r="W947" s="138"/>
    </row>
    <row r="948">
      <c r="A948" s="31"/>
      <c r="B948" s="31"/>
      <c r="C948" s="79"/>
      <c r="D948" s="79"/>
      <c r="E948" s="79"/>
      <c r="F948" s="31"/>
      <c r="G948" s="31"/>
      <c r="H948" s="31"/>
      <c r="I948" s="31"/>
      <c r="J948" s="31"/>
      <c r="K948" s="31"/>
      <c r="L948" s="31"/>
      <c r="M948" s="31"/>
      <c r="N948" s="31"/>
      <c r="U948" s="138"/>
      <c r="V948" s="138"/>
      <c r="W948" s="138"/>
    </row>
    <row r="949">
      <c r="A949" s="31"/>
      <c r="B949" s="31"/>
      <c r="C949" s="79"/>
      <c r="D949" s="79"/>
      <c r="E949" s="79"/>
      <c r="F949" s="31"/>
      <c r="G949" s="31"/>
      <c r="H949" s="31"/>
      <c r="I949" s="31"/>
      <c r="J949" s="31"/>
      <c r="K949" s="31"/>
      <c r="L949" s="31"/>
      <c r="M949" s="31"/>
      <c r="N949" s="31"/>
      <c r="U949" s="138"/>
      <c r="V949" s="138"/>
      <c r="W949" s="138"/>
    </row>
    <row r="950">
      <c r="A950" s="31"/>
      <c r="B950" s="31"/>
      <c r="C950" s="79"/>
      <c r="D950" s="79"/>
      <c r="E950" s="79"/>
      <c r="F950" s="31"/>
      <c r="G950" s="31"/>
      <c r="H950" s="31"/>
      <c r="I950" s="31"/>
      <c r="J950" s="31"/>
      <c r="K950" s="31"/>
      <c r="L950" s="31"/>
      <c r="M950" s="31"/>
      <c r="N950" s="31"/>
      <c r="U950" s="138"/>
      <c r="V950" s="138"/>
      <c r="W950" s="138"/>
    </row>
    <row r="951">
      <c r="A951" s="31"/>
      <c r="B951" s="31"/>
      <c r="C951" s="79"/>
      <c r="D951" s="79"/>
      <c r="E951" s="79"/>
      <c r="F951" s="31"/>
      <c r="G951" s="31"/>
      <c r="H951" s="31"/>
      <c r="I951" s="31"/>
      <c r="J951" s="31"/>
      <c r="K951" s="31"/>
      <c r="L951" s="31"/>
      <c r="M951" s="31"/>
      <c r="N951" s="31"/>
      <c r="U951" s="138"/>
      <c r="V951" s="138"/>
      <c r="W951" s="138"/>
    </row>
    <row r="952">
      <c r="A952" s="31"/>
      <c r="B952" s="31"/>
      <c r="C952" s="79"/>
      <c r="D952" s="79"/>
      <c r="E952" s="79"/>
      <c r="F952" s="31"/>
      <c r="G952" s="31"/>
      <c r="H952" s="31"/>
      <c r="I952" s="31"/>
      <c r="J952" s="31"/>
      <c r="K952" s="31"/>
      <c r="L952" s="31"/>
      <c r="M952" s="31"/>
      <c r="N952" s="31"/>
      <c r="U952" s="138"/>
      <c r="V952" s="138"/>
      <c r="W952" s="138"/>
    </row>
    <row r="953">
      <c r="A953" s="31"/>
      <c r="B953" s="31"/>
      <c r="C953" s="79"/>
      <c r="D953" s="79"/>
      <c r="E953" s="79"/>
      <c r="F953" s="31"/>
      <c r="G953" s="31"/>
      <c r="H953" s="31"/>
      <c r="I953" s="31"/>
      <c r="J953" s="31"/>
      <c r="K953" s="31"/>
      <c r="L953" s="31"/>
      <c r="M953" s="31"/>
      <c r="N953" s="31"/>
      <c r="U953" s="138"/>
      <c r="V953" s="138"/>
      <c r="W953" s="138"/>
    </row>
    <row r="954">
      <c r="A954" s="31"/>
      <c r="B954" s="31"/>
      <c r="C954" s="79"/>
      <c r="D954" s="79"/>
      <c r="E954" s="79"/>
      <c r="F954" s="31"/>
      <c r="G954" s="31"/>
      <c r="H954" s="31"/>
      <c r="I954" s="31"/>
      <c r="J954" s="31"/>
      <c r="K954" s="31"/>
      <c r="L954" s="31"/>
      <c r="M954" s="31"/>
      <c r="N954" s="31"/>
      <c r="U954" s="138"/>
      <c r="V954" s="138"/>
      <c r="W954" s="138"/>
    </row>
    <row r="955">
      <c r="A955" s="31"/>
      <c r="B955" s="31"/>
      <c r="C955" s="79"/>
      <c r="D955" s="79"/>
      <c r="E955" s="79"/>
      <c r="F955" s="31"/>
      <c r="G955" s="31"/>
      <c r="H955" s="31"/>
      <c r="I955" s="31"/>
      <c r="J955" s="31"/>
      <c r="K955" s="31"/>
      <c r="L955" s="31"/>
      <c r="M955" s="31"/>
      <c r="N955" s="31"/>
      <c r="U955" s="138"/>
      <c r="V955" s="138"/>
      <c r="W955" s="138"/>
    </row>
    <row r="956">
      <c r="A956" s="31"/>
      <c r="B956" s="31"/>
      <c r="C956" s="79"/>
      <c r="D956" s="79"/>
      <c r="E956" s="79"/>
      <c r="F956" s="31"/>
      <c r="G956" s="31"/>
      <c r="H956" s="31"/>
      <c r="I956" s="31"/>
      <c r="J956" s="31"/>
      <c r="K956" s="31"/>
      <c r="L956" s="31"/>
      <c r="M956" s="31"/>
      <c r="N956" s="31"/>
      <c r="U956" s="138"/>
      <c r="V956" s="138"/>
      <c r="W956" s="138"/>
    </row>
    <row r="957">
      <c r="A957" s="31"/>
      <c r="B957" s="31"/>
      <c r="C957" s="79"/>
      <c r="D957" s="79"/>
      <c r="E957" s="79"/>
      <c r="F957" s="31"/>
      <c r="G957" s="31"/>
      <c r="H957" s="31"/>
      <c r="I957" s="31"/>
      <c r="J957" s="31"/>
      <c r="K957" s="31"/>
      <c r="L957" s="31"/>
      <c r="M957" s="31"/>
      <c r="N957" s="31"/>
      <c r="U957" s="138"/>
      <c r="V957" s="138"/>
      <c r="W957" s="138"/>
    </row>
    <row r="958">
      <c r="A958" s="31"/>
      <c r="B958" s="31"/>
      <c r="C958" s="79"/>
      <c r="D958" s="79"/>
      <c r="E958" s="79"/>
      <c r="F958" s="31"/>
      <c r="G958" s="31"/>
      <c r="H958" s="31"/>
      <c r="I958" s="31"/>
      <c r="J958" s="31"/>
      <c r="K958" s="31"/>
      <c r="L958" s="31"/>
      <c r="M958" s="31"/>
      <c r="N958" s="31"/>
      <c r="U958" s="138"/>
      <c r="V958" s="138"/>
      <c r="W958" s="138"/>
    </row>
    <row r="959">
      <c r="A959" s="31"/>
      <c r="B959" s="31"/>
      <c r="C959" s="79"/>
      <c r="D959" s="79"/>
      <c r="E959" s="79"/>
      <c r="F959" s="31"/>
      <c r="G959" s="31"/>
      <c r="H959" s="31"/>
      <c r="I959" s="31"/>
      <c r="J959" s="31"/>
      <c r="K959" s="31"/>
      <c r="L959" s="31"/>
      <c r="M959" s="31"/>
      <c r="N959" s="31"/>
      <c r="U959" s="138"/>
      <c r="V959" s="138"/>
      <c r="W959" s="138"/>
    </row>
    <row r="960">
      <c r="A960" s="31"/>
      <c r="B960" s="31"/>
      <c r="C960" s="79"/>
      <c r="D960" s="79"/>
      <c r="E960" s="79"/>
      <c r="F960" s="31"/>
      <c r="G960" s="31"/>
      <c r="H960" s="31"/>
      <c r="I960" s="31"/>
      <c r="J960" s="31"/>
      <c r="K960" s="31"/>
      <c r="L960" s="31"/>
      <c r="M960" s="31"/>
      <c r="N960" s="31"/>
      <c r="U960" s="138"/>
      <c r="V960" s="138"/>
      <c r="W960" s="138"/>
    </row>
    <row r="961">
      <c r="A961" s="31"/>
      <c r="B961" s="31"/>
      <c r="C961" s="79"/>
      <c r="D961" s="79"/>
      <c r="E961" s="79"/>
      <c r="F961" s="31"/>
      <c r="G961" s="31"/>
      <c r="H961" s="31"/>
      <c r="I961" s="31"/>
      <c r="J961" s="31"/>
      <c r="K961" s="31"/>
      <c r="L961" s="31"/>
      <c r="M961" s="31"/>
      <c r="N961" s="31"/>
      <c r="U961" s="138"/>
      <c r="V961" s="138"/>
      <c r="W961" s="138"/>
    </row>
    <row r="962">
      <c r="A962" s="31"/>
      <c r="B962" s="31"/>
      <c r="C962" s="79"/>
      <c r="D962" s="79"/>
      <c r="E962" s="79"/>
      <c r="F962" s="31"/>
      <c r="G962" s="31"/>
      <c r="H962" s="31"/>
      <c r="I962" s="31"/>
      <c r="J962" s="31"/>
      <c r="K962" s="31"/>
      <c r="L962" s="31"/>
      <c r="M962" s="31"/>
      <c r="N962" s="31"/>
      <c r="U962" s="138"/>
      <c r="V962" s="138"/>
      <c r="W962" s="138"/>
    </row>
    <row r="963">
      <c r="A963" s="31"/>
      <c r="B963" s="31"/>
      <c r="C963" s="79"/>
      <c r="D963" s="79"/>
      <c r="E963" s="79"/>
      <c r="F963" s="31"/>
      <c r="G963" s="31"/>
      <c r="H963" s="31"/>
      <c r="I963" s="31"/>
      <c r="J963" s="31"/>
      <c r="K963" s="31"/>
      <c r="L963" s="31"/>
      <c r="M963" s="31"/>
      <c r="N963" s="31"/>
      <c r="U963" s="138"/>
      <c r="V963" s="138"/>
      <c r="W963" s="138"/>
    </row>
    <row r="964">
      <c r="A964" s="31"/>
      <c r="B964" s="31"/>
      <c r="C964" s="79"/>
      <c r="D964" s="79"/>
      <c r="E964" s="79"/>
      <c r="F964" s="31"/>
      <c r="G964" s="31"/>
      <c r="H964" s="31"/>
      <c r="I964" s="31"/>
      <c r="J964" s="31"/>
      <c r="K964" s="31"/>
      <c r="L964" s="31"/>
      <c r="M964" s="31"/>
      <c r="N964" s="31"/>
      <c r="U964" s="138"/>
      <c r="V964" s="138"/>
      <c r="W964" s="138"/>
    </row>
    <row r="965">
      <c r="A965" s="31"/>
      <c r="B965" s="31"/>
      <c r="C965" s="79"/>
      <c r="D965" s="79"/>
      <c r="E965" s="79"/>
      <c r="F965" s="31"/>
      <c r="G965" s="31"/>
      <c r="H965" s="31"/>
      <c r="I965" s="31"/>
      <c r="J965" s="31"/>
      <c r="K965" s="31"/>
      <c r="L965" s="31"/>
      <c r="M965" s="31"/>
      <c r="N965" s="31"/>
      <c r="U965" s="138"/>
      <c r="V965" s="138"/>
      <c r="W965" s="138"/>
    </row>
    <row r="966">
      <c r="A966" s="31"/>
      <c r="B966" s="31"/>
      <c r="C966" s="79"/>
      <c r="D966" s="79"/>
      <c r="E966" s="79"/>
      <c r="F966" s="31"/>
      <c r="G966" s="31"/>
      <c r="H966" s="31"/>
      <c r="I966" s="31"/>
      <c r="J966" s="31"/>
      <c r="K966" s="31"/>
      <c r="L966" s="31"/>
      <c r="M966" s="31"/>
      <c r="N966" s="31"/>
      <c r="U966" s="138"/>
      <c r="V966" s="138"/>
      <c r="W966" s="138"/>
    </row>
    <row r="967">
      <c r="A967" s="31"/>
      <c r="B967" s="31"/>
      <c r="C967" s="79"/>
      <c r="D967" s="79"/>
      <c r="E967" s="79"/>
      <c r="F967" s="31"/>
      <c r="G967" s="31"/>
      <c r="H967" s="31"/>
      <c r="I967" s="31"/>
      <c r="J967" s="31"/>
      <c r="K967" s="31"/>
      <c r="L967" s="31"/>
      <c r="M967" s="31"/>
      <c r="N967" s="31"/>
      <c r="U967" s="138"/>
      <c r="V967" s="138"/>
      <c r="W967" s="138"/>
    </row>
    <row r="968">
      <c r="A968" s="31"/>
      <c r="B968" s="31"/>
      <c r="C968" s="79"/>
      <c r="D968" s="79"/>
      <c r="E968" s="79"/>
      <c r="F968" s="31"/>
      <c r="G968" s="31"/>
      <c r="H968" s="31"/>
      <c r="I968" s="31"/>
      <c r="J968" s="31"/>
      <c r="K968" s="31"/>
      <c r="L968" s="31"/>
      <c r="M968" s="31"/>
      <c r="N968" s="31"/>
      <c r="U968" s="138"/>
      <c r="V968" s="138"/>
      <c r="W968" s="138"/>
    </row>
    <row r="969">
      <c r="A969" s="31"/>
      <c r="B969" s="31"/>
      <c r="C969" s="79"/>
      <c r="D969" s="79"/>
      <c r="E969" s="79"/>
      <c r="F969" s="31"/>
      <c r="G969" s="31"/>
      <c r="H969" s="31"/>
      <c r="I969" s="31"/>
      <c r="J969" s="31"/>
      <c r="K969" s="31"/>
      <c r="L969" s="31"/>
      <c r="M969" s="31"/>
      <c r="N969" s="31"/>
      <c r="U969" s="138"/>
      <c r="V969" s="138"/>
      <c r="W969" s="138"/>
    </row>
    <row r="970">
      <c r="A970" s="31"/>
      <c r="B970" s="31"/>
      <c r="C970" s="79"/>
      <c r="D970" s="79"/>
      <c r="E970" s="79"/>
      <c r="F970" s="31"/>
      <c r="G970" s="31"/>
      <c r="H970" s="31"/>
      <c r="I970" s="31"/>
      <c r="J970" s="31"/>
      <c r="K970" s="31"/>
      <c r="L970" s="31"/>
      <c r="M970" s="31"/>
      <c r="N970" s="31"/>
      <c r="U970" s="138"/>
      <c r="V970" s="138"/>
      <c r="W970" s="138"/>
    </row>
    <row r="971">
      <c r="A971" s="31"/>
      <c r="B971" s="31"/>
      <c r="C971" s="79"/>
      <c r="D971" s="79"/>
      <c r="E971" s="79"/>
      <c r="F971" s="31"/>
      <c r="G971" s="31"/>
      <c r="H971" s="31"/>
      <c r="I971" s="31"/>
      <c r="J971" s="31"/>
      <c r="K971" s="31"/>
      <c r="L971" s="31"/>
      <c r="M971" s="31"/>
      <c r="N971" s="31"/>
      <c r="U971" s="138"/>
      <c r="V971" s="138"/>
      <c r="W971" s="138"/>
    </row>
    <row r="972">
      <c r="A972" s="31"/>
      <c r="B972" s="31"/>
      <c r="C972" s="79"/>
      <c r="D972" s="79"/>
      <c r="E972" s="79"/>
      <c r="F972" s="31"/>
      <c r="G972" s="31"/>
      <c r="H972" s="31"/>
      <c r="I972" s="31"/>
      <c r="J972" s="31"/>
      <c r="K972" s="31"/>
      <c r="L972" s="31"/>
      <c r="M972" s="31"/>
      <c r="N972" s="31"/>
      <c r="U972" s="138"/>
      <c r="V972" s="138"/>
      <c r="W972" s="138"/>
    </row>
    <row r="973">
      <c r="A973" s="31"/>
      <c r="B973" s="31"/>
      <c r="C973" s="79"/>
      <c r="D973" s="79"/>
      <c r="E973" s="79"/>
      <c r="F973" s="31"/>
      <c r="G973" s="31"/>
      <c r="H973" s="31"/>
      <c r="I973" s="31"/>
      <c r="J973" s="31"/>
      <c r="K973" s="31"/>
      <c r="L973" s="31"/>
      <c r="M973" s="31"/>
      <c r="N973" s="31"/>
      <c r="U973" s="138"/>
      <c r="V973" s="138"/>
      <c r="W973" s="138"/>
    </row>
    <row r="974">
      <c r="A974" s="31"/>
      <c r="B974" s="31"/>
      <c r="C974" s="79"/>
      <c r="D974" s="79"/>
      <c r="E974" s="79"/>
      <c r="F974" s="31"/>
      <c r="G974" s="31"/>
      <c r="H974" s="31"/>
      <c r="I974" s="31"/>
      <c r="J974" s="31"/>
      <c r="K974" s="31"/>
      <c r="L974" s="31"/>
      <c r="M974" s="31"/>
      <c r="N974" s="31"/>
      <c r="U974" s="138"/>
      <c r="V974" s="138"/>
      <c r="W974" s="138"/>
    </row>
    <row r="975">
      <c r="A975" s="31"/>
      <c r="B975" s="31"/>
      <c r="C975" s="79"/>
      <c r="D975" s="79"/>
      <c r="E975" s="79"/>
      <c r="F975" s="31"/>
      <c r="G975" s="31"/>
      <c r="H975" s="31"/>
      <c r="I975" s="31"/>
      <c r="J975" s="31"/>
      <c r="K975" s="31"/>
      <c r="L975" s="31"/>
      <c r="M975" s="31"/>
      <c r="N975" s="31"/>
      <c r="U975" s="138"/>
      <c r="V975" s="138"/>
      <c r="W975" s="138"/>
    </row>
    <row r="976">
      <c r="A976" s="31"/>
      <c r="B976" s="31"/>
      <c r="C976" s="79"/>
      <c r="D976" s="79"/>
      <c r="E976" s="79"/>
      <c r="F976" s="31"/>
      <c r="G976" s="31"/>
      <c r="H976" s="31"/>
      <c r="I976" s="31"/>
      <c r="J976" s="31"/>
      <c r="K976" s="31"/>
      <c r="L976" s="31"/>
      <c r="M976" s="31"/>
      <c r="N976" s="31"/>
      <c r="U976" s="138"/>
      <c r="V976" s="138"/>
      <c r="W976" s="138"/>
    </row>
    <row r="977">
      <c r="A977" s="31"/>
      <c r="B977" s="31"/>
      <c r="C977" s="79"/>
      <c r="D977" s="79"/>
      <c r="E977" s="79"/>
      <c r="F977" s="31"/>
      <c r="G977" s="31"/>
      <c r="H977" s="31"/>
      <c r="I977" s="31"/>
      <c r="J977" s="31"/>
      <c r="K977" s="31"/>
      <c r="L977" s="31"/>
      <c r="M977" s="31"/>
      <c r="N977" s="31"/>
      <c r="U977" s="138"/>
      <c r="V977" s="138"/>
      <c r="W977" s="138"/>
    </row>
    <row r="978">
      <c r="A978" s="31"/>
      <c r="B978" s="31"/>
      <c r="C978" s="79"/>
      <c r="D978" s="79"/>
      <c r="E978" s="79"/>
      <c r="F978" s="31"/>
      <c r="G978" s="31"/>
      <c r="H978" s="31"/>
      <c r="I978" s="31"/>
      <c r="J978" s="31"/>
      <c r="K978" s="31"/>
      <c r="L978" s="31"/>
      <c r="M978" s="31"/>
      <c r="N978" s="31"/>
      <c r="U978" s="138"/>
      <c r="V978" s="138"/>
      <c r="W978" s="138"/>
    </row>
    <row r="979">
      <c r="A979" s="31"/>
      <c r="B979" s="31"/>
      <c r="C979" s="79"/>
      <c r="D979" s="79"/>
      <c r="E979" s="79"/>
      <c r="F979" s="31"/>
      <c r="G979" s="31"/>
      <c r="H979" s="31"/>
      <c r="I979" s="31"/>
      <c r="J979" s="31"/>
      <c r="K979" s="31"/>
      <c r="L979" s="31"/>
      <c r="M979" s="31"/>
      <c r="N979" s="31"/>
      <c r="U979" s="138"/>
      <c r="V979" s="138"/>
      <c r="W979" s="138"/>
    </row>
    <row r="980">
      <c r="A980" s="31"/>
      <c r="B980" s="31"/>
      <c r="C980" s="79"/>
      <c r="D980" s="79"/>
      <c r="E980" s="79"/>
      <c r="F980" s="31"/>
      <c r="G980" s="31"/>
      <c r="H980" s="31"/>
      <c r="I980" s="31"/>
      <c r="J980" s="31"/>
      <c r="K980" s="31"/>
      <c r="L980" s="31"/>
      <c r="M980" s="31"/>
      <c r="N980" s="31"/>
      <c r="U980" s="138"/>
      <c r="V980" s="138"/>
      <c r="W980" s="138"/>
    </row>
    <row r="981">
      <c r="A981" s="31"/>
      <c r="B981" s="31"/>
      <c r="C981" s="79"/>
      <c r="D981" s="79"/>
      <c r="E981" s="79"/>
      <c r="F981" s="31"/>
      <c r="G981" s="31"/>
      <c r="H981" s="31"/>
      <c r="I981" s="31"/>
      <c r="J981" s="31"/>
      <c r="K981" s="31"/>
      <c r="L981" s="31"/>
      <c r="M981" s="31"/>
      <c r="N981" s="31"/>
      <c r="U981" s="138"/>
      <c r="V981" s="138"/>
      <c r="W981" s="138"/>
    </row>
    <row r="982">
      <c r="A982" s="31"/>
      <c r="B982" s="31"/>
      <c r="C982" s="79"/>
      <c r="D982" s="79"/>
      <c r="E982" s="79"/>
      <c r="F982" s="31"/>
      <c r="G982" s="31"/>
      <c r="H982" s="31"/>
      <c r="I982" s="31"/>
      <c r="J982" s="31"/>
      <c r="K982" s="31"/>
      <c r="L982" s="31"/>
      <c r="M982" s="31"/>
      <c r="N982" s="31"/>
      <c r="U982" s="138"/>
      <c r="V982" s="138"/>
      <c r="W982" s="138"/>
    </row>
    <row r="983">
      <c r="A983" s="31"/>
      <c r="B983" s="31"/>
      <c r="C983" s="79"/>
      <c r="D983" s="79"/>
      <c r="E983" s="79"/>
      <c r="F983" s="31"/>
      <c r="G983" s="31"/>
      <c r="H983" s="31"/>
      <c r="I983" s="31"/>
      <c r="J983" s="31"/>
      <c r="K983" s="31"/>
      <c r="L983" s="31"/>
      <c r="M983" s="31"/>
      <c r="N983" s="31"/>
      <c r="U983" s="138"/>
      <c r="V983" s="138"/>
      <c r="W983" s="138"/>
    </row>
    <row r="984">
      <c r="A984" s="31"/>
      <c r="B984" s="31"/>
      <c r="C984" s="79"/>
      <c r="D984" s="79"/>
      <c r="E984" s="79"/>
      <c r="F984" s="31"/>
      <c r="G984" s="31"/>
      <c r="H984" s="31"/>
      <c r="I984" s="31"/>
      <c r="J984" s="31"/>
      <c r="K984" s="31"/>
      <c r="L984" s="31"/>
      <c r="M984" s="31"/>
      <c r="N984" s="31"/>
      <c r="U984" s="138"/>
      <c r="V984" s="138"/>
      <c r="W984" s="138"/>
    </row>
    <row r="985">
      <c r="A985" s="31"/>
      <c r="B985" s="31"/>
      <c r="C985" s="79"/>
      <c r="D985" s="79"/>
      <c r="E985" s="79"/>
      <c r="F985" s="31"/>
      <c r="G985" s="31"/>
      <c r="H985" s="31"/>
      <c r="I985" s="31"/>
      <c r="J985" s="31"/>
      <c r="K985" s="31"/>
      <c r="L985" s="31"/>
      <c r="M985" s="31"/>
      <c r="N985" s="31"/>
      <c r="U985" s="138"/>
      <c r="V985" s="138"/>
      <c r="W985" s="138"/>
    </row>
    <row r="986">
      <c r="A986" s="31"/>
      <c r="B986" s="31"/>
      <c r="C986" s="79"/>
      <c r="D986" s="79"/>
      <c r="E986" s="79"/>
      <c r="F986" s="31"/>
      <c r="G986" s="31"/>
      <c r="H986" s="31"/>
      <c r="I986" s="31"/>
      <c r="J986" s="31"/>
      <c r="K986" s="31"/>
      <c r="L986" s="31"/>
      <c r="M986" s="31"/>
      <c r="N986" s="31"/>
      <c r="U986" s="138"/>
      <c r="V986" s="138"/>
      <c r="W986" s="138"/>
    </row>
    <row r="987">
      <c r="A987" s="31"/>
      <c r="B987" s="31"/>
      <c r="C987" s="79"/>
      <c r="D987" s="79"/>
      <c r="E987" s="79"/>
      <c r="F987" s="31"/>
      <c r="G987" s="31"/>
      <c r="H987" s="31"/>
      <c r="I987" s="31"/>
      <c r="J987" s="31"/>
      <c r="K987" s="31"/>
      <c r="L987" s="31"/>
      <c r="M987" s="31"/>
      <c r="N987" s="31"/>
      <c r="U987" s="138"/>
      <c r="V987" s="138"/>
      <c r="W987" s="138"/>
    </row>
    <row r="988">
      <c r="A988" s="31"/>
      <c r="B988" s="31"/>
      <c r="C988" s="79"/>
      <c r="D988" s="79"/>
      <c r="E988" s="79"/>
      <c r="F988" s="31"/>
      <c r="G988" s="31"/>
      <c r="H988" s="31"/>
      <c r="I988" s="31"/>
      <c r="J988" s="31"/>
      <c r="K988" s="31"/>
      <c r="L988" s="31"/>
      <c r="M988" s="31"/>
      <c r="N988" s="31"/>
      <c r="U988" s="138"/>
      <c r="V988" s="138"/>
      <c r="W988" s="138"/>
    </row>
    <row r="989">
      <c r="A989" s="31"/>
      <c r="B989" s="31"/>
      <c r="C989" s="79"/>
      <c r="D989" s="79"/>
      <c r="E989" s="79"/>
      <c r="F989" s="31"/>
      <c r="G989" s="31"/>
      <c r="H989" s="31"/>
      <c r="I989" s="31"/>
      <c r="J989" s="31"/>
      <c r="K989" s="31"/>
      <c r="L989" s="31"/>
      <c r="M989" s="31"/>
      <c r="N989" s="31"/>
      <c r="U989" s="138"/>
      <c r="V989" s="138"/>
      <c r="W989" s="138"/>
    </row>
    <row r="990">
      <c r="A990" s="31"/>
      <c r="B990" s="31"/>
      <c r="C990" s="79"/>
      <c r="D990" s="79"/>
      <c r="E990" s="79"/>
      <c r="F990" s="31"/>
      <c r="G990" s="31"/>
      <c r="H990" s="31"/>
      <c r="I990" s="31"/>
      <c r="J990" s="31"/>
      <c r="K990" s="31"/>
      <c r="L990" s="31"/>
      <c r="M990" s="31"/>
      <c r="N990" s="31"/>
      <c r="U990" s="138"/>
      <c r="V990" s="138"/>
      <c r="W990" s="138"/>
    </row>
    <row r="991">
      <c r="A991" s="31"/>
      <c r="B991" s="31"/>
      <c r="C991" s="79"/>
      <c r="D991" s="79"/>
      <c r="E991" s="79"/>
      <c r="F991" s="31"/>
      <c r="G991" s="31"/>
      <c r="H991" s="31"/>
      <c r="I991" s="31"/>
      <c r="J991" s="31"/>
      <c r="K991" s="31"/>
      <c r="L991" s="31"/>
      <c r="M991" s="31"/>
      <c r="N991" s="31"/>
      <c r="U991" s="138"/>
      <c r="V991" s="138"/>
      <c r="W991" s="138"/>
    </row>
    <row r="992">
      <c r="A992" s="31"/>
      <c r="B992" s="31"/>
      <c r="C992" s="79"/>
      <c r="D992" s="79"/>
      <c r="E992" s="79"/>
      <c r="F992" s="31"/>
      <c r="G992" s="31"/>
      <c r="H992" s="31"/>
      <c r="I992" s="31"/>
      <c r="J992" s="31"/>
      <c r="K992" s="31"/>
      <c r="L992" s="31"/>
      <c r="M992" s="31"/>
      <c r="N992" s="31"/>
      <c r="U992" s="138"/>
      <c r="V992" s="138"/>
      <c r="W992" s="138"/>
    </row>
    <row r="993">
      <c r="A993" s="31"/>
      <c r="B993" s="31"/>
      <c r="C993" s="79"/>
      <c r="D993" s="79"/>
      <c r="E993" s="79"/>
      <c r="F993" s="31"/>
      <c r="G993" s="31"/>
      <c r="H993" s="31"/>
      <c r="I993" s="31"/>
      <c r="J993" s="31"/>
      <c r="K993" s="31"/>
      <c r="L993" s="31"/>
      <c r="M993" s="31"/>
      <c r="N993" s="31"/>
      <c r="U993" s="138"/>
      <c r="V993" s="138"/>
      <c r="W993" s="138"/>
    </row>
    <row r="994">
      <c r="A994" s="31"/>
      <c r="B994" s="31"/>
      <c r="C994" s="79"/>
      <c r="D994" s="79"/>
      <c r="E994" s="79"/>
      <c r="F994" s="31"/>
      <c r="G994" s="31"/>
      <c r="H994" s="31"/>
      <c r="I994" s="31"/>
      <c r="J994" s="31"/>
      <c r="K994" s="31"/>
      <c r="L994" s="31"/>
      <c r="M994" s="31"/>
      <c r="N994" s="31"/>
      <c r="U994" s="138"/>
      <c r="V994" s="138"/>
      <c r="W994" s="138"/>
    </row>
    <row r="995">
      <c r="A995" s="31"/>
      <c r="B995" s="31"/>
      <c r="C995" s="79"/>
      <c r="D995" s="79"/>
      <c r="E995" s="79"/>
      <c r="F995" s="31"/>
      <c r="G995" s="31"/>
      <c r="H995" s="31"/>
      <c r="I995" s="31"/>
      <c r="J995" s="31"/>
      <c r="K995" s="31"/>
      <c r="L995" s="31"/>
      <c r="M995" s="31"/>
      <c r="N995" s="31"/>
      <c r="U995" s="138"/>
      <c r="V995" s="138"/>
      <c r="W995" s="138"/>
    </row>
    <row r="996">
      <c r="A996" s="31"/>
      <c r="B996" s="31"/>
      <c r="C996" s="79"/>
      <c r="D996" s="79"/>
      <c r="E996" s="79"/>
      <c r="F996" s="31"/>
      <c r="G996" s="31"/>
      <c r="H996" s="31"/>
      <c r="I996" s="31"/>
      <c r="J996" s="31"/>
      <c r="K996" s="31"/>
      <c r="L996" s="31"/>
      <c r="M996" s="31"/>
      <c r="N996" s="31"/>
      <c r="U996" s="138"/>
      <c r="V996" s="138"/>
      <c r="W996" s="138"/>
    </row>
    <row r="997">
      <c r="A997" s="31"/>
      <c r="B997" s="31"/>
      <c r="C997" s="79"/>
      <c r="D997" s="79"/>
      <c r="E997" s="79"/>
      <c r="F997" s="31"/>
      <c r="G997" s="31"/>
      <c r="H997" s="31"/>
      <c r="I997" s="31"/>
      <c r="J997" s="31"/>
      <c r="K997" s="31"/>
      <c r="L997" s="31"/>
      <c r="M997" s="31"/>
      <c r="N997" s="31"/>
      <c r="U997" s="138"/>
      <c r="V997" s="138"/>
      <c r="W997" s="138"/>
    </row>
    <row r="998">
      <c r="A998" s="31"/>
      <c r="B998" s="31"/>
      <c r="C998" s="79"/>
      <c r="D998" s="79"/>
      <c r="E998" s="79"/>
      <c r="F998" s="31"/>
      <c r="G998" s="31"/>
      <c r="H998" s="31"/>
      <c r="I998" s="31"/>
      <c r="J998" s="31"/>
      <c r="K998" s="31"/>
      <c r="L998" s="31"/>
      <c r="M998" s="31"/>
      <c r="N998" s="31"/>
      <c r="U998" s="138"/>
      <c r="V998" s="138"/>
      <c r="W998" s="138"/>
    </row>
    <row r="999">
      <c r="A999" s="31"/>
      <c r="B999" s="31"/>
      <c r="C999" s="79"/>
      <c r="D999" s="79"/>
      <c r="E999" s="79"/>
      <c r="F999" s="31"/>
      <c r="G999" s="31"/>
      <c r="H999" s="31"/>
      <c r="I999" s="31"/>
      <c r="J999" s="31"/>
      <c r="K999" s="31"/>
      <c r="L999" s="31"/>
      <c r="M999" s="31"/>
      <c r="N999" s="31"/>
      <c r="U999" s="138"/>
      <c r="V999" s="138"/>
      <c r="W999" s="138"/>
    </row>
    <row r="1000">
      <c r="A1000" s="31"/>
      <c r="B1000" s="31"/>
      <c r="C1000" s="79"/>
      <c r="D1000" s="79"/>
      <c r="E1000" s="79"/>
      <c r="F1000" s="31"/>
      <c r="G1000" s="31"/>
      <c r="H1000" s="31"/>
      <c r="I1000" s="31"/>
      <c r="J1000" s="31"/>
      <c r="K1000" s="31"/>
      <c r="L1000" s="31"/>
      <c r="M1000" s="31"/>
      <c r="N1000" s="31"/>
      <c r="U1000" s="138"/>
      <c r="V1000" s="138"/>
      <c r="W1000" s="138"/>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4.0"/>
    <col customWidth="1" min="2" max="2" width="20.25"/>
    <col customWidth="1" min="9" max="9" width="18.75"/>
  </cols>
  <sheetData>
    <row r="1">
      <c r="A1" s="95" t="s">
        <v>585</v>
      </c>
      <c r="C1" s="86"/>
      <c r="D1" s="86"/>
      <c r="E1" s="86"/>
    </row>
    <row r="2">
      <c r="C2" s="86"/>
      <c r="D2" s="86"/>
      <c r="E2" s="86"/>
    </row>
    <row r="3">
      <c r="C3" s="86"/>
      <c r="D3" s="86"/>
      <c r="E3" s="86"/>
    </row>
    <row r="4"/>
    <row r="5">
      <c r="P5" s="114"/>
    </row>
    <row r="6">
      <c r="P6" s="114"/>
    </row>
    <row r="7">
      <c r="P7" s="114"/>
    </row>
    <row r="8">
      <c r="P8" s="114"/>
    </row>
    <row r="9">
      <c r="P9" s="114"/>
    </row>
    <row r="10">
      <c r="P10" s="114"/>
    </row>
    <row r="11">
      <c r="P11" s="114"/>
    </row>
    <row r="12">
      <c r="P12" s="114"/>
    </row>
    <row r="13">
      <c r="P13" s="114"/>
    </row>
    <row r="14">
      <c r="P14" s="114"/>
    </row>
    <row r="15">
      <c r="P15" s="114"/>
    </row>
    <row r="16">
      <c r="P16" s="114"/>
    </row>
    <row r="17">
      <c r="P17" s="114"/>
    </row>
    <row r="18">
      <c r="P18" s="114"/>
    </row>
    <row r="19">
      <c r="P19" s="114"/>
    </row>
    <row r="20">
      <c r="P20" s="114"/>
    </row>
    <row r="21">
      <c r="P21" s="114"/>
    </row>
    <row r="22">
      <c r="P22" s="114"/>
    </row>
    <row r="23">
      <c r="P23" s="114"/>
    </row>
    <row r="24">
      <c r="P24" s="114"/>
    </row>
    <row r="25">
      <c r="P25" s="114"/>
    </row>
    <row r="26">
      <c r="P26" s="114"/>
    </row>
    <row r="27">
      <c r="P27" s="114"/>
    </row>
    <row r="28">
      <c r="P28" s="114"/>
    </row>
    <row r="29">
      <c r="P29" s="114"/>
    </row>
    <row r="30">
      <c r="P30" s="114"/>
    </row>
    <row r="31">
      <c r="P31" s="114"/>
    </row>
    <row r="32">
      <c r="P32" s="114"/>
    </row>
    <row r="33">
      <c r="P33" s="114"/>
    </row>
    <row r="34">
      <c r="P34" s="114"/>
    </row>
    <row r="35">
      <c r="P35" s="114"/>
    </row>
    <row r="36">
      <c r="P36" s="114"/>
    </row>
    <row r="37">
      <c r="P37" s="114"/>
    </row>
    <row r="38">
      <c r="A38" s="114"/>
      <c r="B38" s="114"/>
      <c r="C38" s="114"/>
      <c r="D38" s="114"/>
      <c r="E38" s="114"/>
      <c r="F38" s="114"/>
      <c r="G38" s="114"/>
      <c r="H38" s="114"/>
      <c r="I38" s="114"/>
      <c r="J38" s="114"/>
      <c r="K38" s="114"/>
      <c r="L38" s="114"/>
      <c r="M38" s="114"/>
      <c r="N38" s="114"/>
      <c r="O38" s="114"/>
      <c r="P38" s="114"/>
    </row>
    <row r="39">
      <c r="C39" s="86"/>
      <c r="D39" s="86"/>
      <c r="E39" s="86"/>
    </row>
    <row r="40" ht="17.25" customHeight="1">
      <c r="C40" s="86"/>
      <c r="D40" s="86"/>
      <c r="E40" s="86"/>
    </row>
    <row r="41">
      <c r="B41" s="86"/>
      <c r="C41" s="86"/>
      <c r="D41" s="86"/>
      <c r="E41" s="86"/>
      <c r="F41" s="86"/>
      <c r="G41" s="86"/>
      <c r="H41" s="86"/>
      <c r="I41" s="86"/>
      <c r="J41" s="86"/>
      <c r="K41" s="86"/>
      <c r="L41" s="86"/>
      <c r="M41" s="86"/>
      <c r="N41" s="86"/>
      <c r="O41" s="86"/>
      <c r="P41" s="86"/>
    </row>
    <row r="42">
      <c r="C42" s="86"/>
      <c r="D42" s="86"/>
      <c r="E42" s="86"/>
    </row>
    <row r="43">
      <c r="A43" s="95" t="s">
        <v>589</v>
      </c>
      <c r="C43" s="86"/>
      <c r="D43" s="140" t="s">
        <v>590</v>
      </c>
      <c r="E43" s="86"/>
      <c r="G43" s="95" t="s">
        <v>591</v>
      </c>
      <c r="J43" s="95" t="s">
        <v>592</v>
      </c>
    </row>
    <row r="44">
      <c r="C44" s="86"/>
      <c r="D44" s="86"/>
      <c r="E44" s="86"/>
    </row>
    <row r="45">
      <c r="C45" s="86"/>
    </row>
    <row r="46">
      <c r="C46" s="86"/>
    </row>
    <row r="47"/>
    <row r="48">
      <c r="C48" s="86"/>
      <c r="F48" s="86"/>
      <c r="I48" s="86"/>
      <c r="L48" s="86"/>
      <c r="M48" s="86"/>
      <c r="N48" s="86"/>
      <c r="O48" s="86"/>
      <c r="P48" s="86"/>
    </row>
    <row r="49">
      <c r="C49" s="86"/>
      <c r="F49" s="86"/>
      <c r="I49" s="86"/>
      <c r="L49" s="86"/>
      <c r="M49" s="86"/>
      <c r="N49" s="86"/>
      <c r="O49" s="86"/>
      <c r="P49" s="86"/>
    </row>
    <row r="50">
      <c r="C50" s="86"/>
      <c r="F50" s="86"/>
      <c r="I50" s="86"/>
      <c r="L50" s="86"/>
      <c r="M50" s="86"/>
      <c r="N50" s="86"/>
      <c r="O50" s="86"/>
      <c r="P50" s="86"/>
    </row>
    <row r="51">
      <c r="C51" s="86"/>
      <c r="F51" s="86"/>
      <c r="I51" s="86"/>
      <c r="L51" s="86"/>
      <c r="M51" s="86"/>
      <c r="N51" s="86"/>
      <c r="O51" s="86"/>
      <c r="P51" s="86"/>
    </row>
    <row r="52">
      <c r="C52" s="86"/>
      <c r="F52" s="86"/>
      <c r="I52" s="86"/>
      <c r="L52" s="86"/>
      <c r="M52" s="86"/>
      <c r="N52" s="86"/>
      <c r="O52" s="86"/>
      <c r="P52" s="86"/>
    </row>
    <row r="53">
      <c r="C53" s="86"/>
      <c r="F53" s="86"/>
      <c r="I53" s="86"/>
      <c r="L53" s="86"/>
      <c r="M53" s="86"/>
      <c r="N53" s="86"/>
      <c r="O53" s="86"/>
      <c r="P53" s="86"/>
    </row>
    <row r="54">
      <c r="C54" s="86"/>
      <c r="F54" s="86"/>
      <c r="I54" s="86"/>
      <c r="L54" s="86"/>
      <c r="M54" s="86"/>
      <c r="N54" s="86"/>
      <c r="O54" s="86"/>
      <c r="P54" s="86"/>
    </row>
    <row r="55">
      <c r="C55" s="86"/>
      <c r="F55" s="86"/>
      <c r="I55" s="86"/>
      <c r="L55" s="86"/>
      <c r="M55" s="86"/>
      <c r="N55" s="86"/>
      <c r="O55" s="86"/>
      <c r="P55" s="86"/>
    </row>
    <row r="56">
      <c r="C56" s="86"/>
      <c r="F56" s="86"/>
      <c r="I56" s="86"/>
      <c r="L56" s="86"/>
      <c r="M56" s="86"/>
      <c r="N56" s="86"/>
      <c r="O56" s="86"/>
      <c r="P56" s="86"/>
    </row>
    <row r="57">
      <c r="C57" s="86"/>
      <c r="F57" s="86"/>
      <c r="I57" s="86"/>
      <c r="L57" s="86"/>
      <c r="M57" s="86"/>
      <c r="N57" s="86"/>
      <c r="O57" s="86"/>
      <c r="P57" s="86"/>
    </row>
    <row r="58">
      <c r="C58" s="86"/>
      <c r="F58" s="86"/>
      <c r="I58" s="86"/>
      <c r="L58" s="86"/>
      <c r="M58" s="86"/>
      <c r="N58" s="86"/>
      <c r="O58" s="86"/>
      <c r="P58" s="86"/>
    </row>
    <row r="59">
      <c r="C59" s="86"/>
      <c r="F59" s="86"/>
      <c r="I59" s="86"/>
      <c r="L59" s="86"/>
      <c r="M59" s="86"/>
      <c r="N59" s="86"/>
      <c r="O59" s="86"/>
      <c r="P59" s="86"/>
    </row>
    <row r="60">
      <c r="C60" s="86"/>
      <c r="F60" s="86"/>
      <c r="I60" s="86"/>
      <c r="K60" s="86"/>
      <c r="L60" s="86"/>
      <c r="M60" s="86"/>
      <c r="N60" s="86"/>
      <c r="O60" s="86"/>
      <c r="P60" s="86"/>
    </row>
    <row r="61">
      <c r="C61" s="86"/>
      <c r="F61" s="86"/>
      <c r="I61" s="86"/>
      <c r="K61" s="86"/>
      <c r="L61" s="86"/>
      <c r="M61" s="86"/>
      <c r="N61" s="86"/>
      <c r="O61" s="86"/>
      <c r="P61" s="86"/>
    </row>
    <row r="62">
      <c r="C62" s="86"/>
      <c r="E62" s="86"/>
      <c r="F62" s="86"/>
      <c r="H62" s="86"/>
      <c r="I62" s="86"/>
      <c r="K62" s="86"/>
      <c r="L62" s="86"/>
      <c r="M62" s="86"/>
      <c r="N62" s="86"/>
      <c r="O62" s="86"/>
      <c r="P62" s="86"/>
    </row>
    <row r="63">
      <c r="B63" s="86"/>
      <c r="C63" s="86"/>
      <c r="E63" s="86"/>
      <c r="F63" s="86"/>
      <c r="H63" s="86"/>
      <c r="I63" s="86"/>
      <c r="K63" s="86"/>
      <c r="L63" s="86"/>
      <c r="M63" s="86"/>
      <c r="N63" s="86"/>
      <c r="O63" s="86"/>
      <c r="P63" s="86"/>
    </row>
    <row r="64">
      <c r="B64" s="86"/>
      <c r="C64" s="86"/>
      <c r="D64" s="86"/>
      <c r="E64" s="86"/>
      <c r="F64" s="86"/>
      <c r="G64" s="141" t="s">
        <v>596</v>
      </c>
      <c r="H64" s="86"/>
      <c r="I64" s="86"/>
      <c r="J64" s="86"/>
      <c r="K64" s="86"/>
      <c r="L64" s="86"/>
      <c r="M64" s="86"/>
      <c r="N64" s="86"/>
      <c r="O64" s="86"/>
      <c r="P64" s="86"/>
    </row>
    <row r="65">
      <c r="B65" s="86"/>
      <c r="C65" s="86"/>
      <c r="D65" s="86"/>
      <c r="E65" s="86"/>
      <c r="F65" s="86"/>
      <c r="G65" s="86"/>
      <c r="H65" s="86"/>
      <c r="I65" s="86"/>
      <c r="J65" s="86"/>
      <c r="K65" s="86"/>
      <c r="L65" s="86"/>
      <c r="M65" s="86"/>
      <c r="N65" s="86"/>
      <c r="O65" s="86"/>
      <c r="P65" s="86"/>
    </row>
    <row r="66">
      <c r="B66" s="86"/>
      <c r="C66" s="86"/>
      <c r="D66" s="86"/>
      <c r="E66" s="86"/>
      <c r="F66" s="86"/>
      <c r="G66" s="86"/>
      <c r="H66" s="86"/>
      <c r="I66" s="86"/>
      <c r="J66" s="86"/>
      <c r="K66" s="86"/>
      <c r="L66" s="86"/>
      <c r="M66" s="86"/>
      <c r="N66" s="86"/>
      <c r="O66" s="86"/>
      <c r="P66" s="86"/>
    </row>
    <row r="67">
      <c r="A67" s="95" t="s">
        <v>597</v>
      </c>
      <c r="B67" s="86"/>
      <c r="C67" s="86"/>
      <c r="D67" s="95" t="s">
        <v>598</v>
      </c>
      <c r="E67" s="86"/>
      <c r="F67" s="86"/>
      <c r="G67" s="95" t="s">
        <v>599</v>
      </c>
      <c r="H67" s="86"/>
      <c r="I67" s="86"/>
      <c r="J67" s="95" t="s">
        <v>600</v>
      </c>
      <c r="K67" s="86"/>
      <c r="L67" s="86"/>
      <c r="M67" s="86"/>
      <c r="N67" s="86"/>
      <c r="O67" s="86"/>
      <c r="P67" s="86"/>
    </row>
    <row r="68">
      <c r="B68" s="86"/>
      <c r="C68" s="86"/>
      <c r="E68" s="86"/>
      <c r="F68" s="86"/>
      <c r="H68" s="86"/>
      <c r="I68" s="86"/>
      <c r="K68" s="86"/>
      <c r="L68" s="86"/>
      <c r="M68" s="86"/>
      <c r="N68" s="86"/>
      <c r="O68" s="86"/>
      <c r="P68" s="86"/>
    </row>
    <row r="69">
      <c r="C69" s="86"/>
      <c r="F69" s="86"/>
      <c r="I69" s="86"/>
      <c r="L69" s="86"/>
      <c r="M69" s="86"/>
      <c r="N69" s="86"/>
      <c r="O69" s="86"/>
      <c r="P69" s="86"/>
    </row>
    <row r="70">
      <c r="C70" s="86"/>
      <c r="F70" s="86"/>
      <c r="I70" s="86"/>
      <c r="L70" s="86"/>
      <c r="M70" s="86"/>
      <c r="N70" s="86"/>
      <c r="O70" s="86"/>
      <c r="P70" s="86"/>
    </row>
    <row r="71">
      <c r="C71" s="86"/>
      <c r="F71" s="86"/>
      <c r="I71" s="86"/>
      <c r="L71" s="86"/>
      <c r="M71" s="86"/>
      <c r="N71" s="86"/>
      <c r="O71" s="86"/>
      <c r="P71" s="86"/>
    </row>
    <row r="72">
      <c r="C72" s="86"/>
      <c r="F72" s="86"/>
      <c r="I72" s="86"/>
      <c r="L72" s="86"/>
      <c r="M72" s="86"/>
      <c r="N72" s="86"/>
      <c r="O72" s="86"/>
      <c r="P72" s="86"/>
    </row>
    <row r="73">
      <c r="C73" s="86"/>
      <c r="F73" s="86"/>
      <c r="I73" s="86"/>
      <c r="L73" s="86"/>
      <c r="M73" s="86"/>
      <c r="N73" s="86"/>
      <c r="O73" s="86"/>
      <c r="P73" s="86"/>
    </row>
    <row r="74">
      <c r="C74" s="86"/>
      <c r="F74" s="86"/>
      <c r="I74" s="86"/>
      <c r="L74" s="86"/>
      <c r="M74" s="86"/>
      <c r="N74" s="86"/>
      <c r="O74" s="86"/>
      <c r="P74" s="86"/>
    </row>
    <row r="75">
      <c r="C75" s="86"/>
      <c r="F75" s="86"/>
      <c r="I75" s="86"/>
      <c r="L75" s="86"/>
      <c r="M75" s="86"/>
      <c r="N75" s="86"/>
      <c r="O75" s="86"/>
      <c r="P75" s="86"/>
    </row>
    <row r="76">
      <c r="C76" s="86"/>
      <c r="F76" s="86"/>
      <c r="I76" s="86"/>
      <c r="L76" s="86"/>
      <c r="M76" s="86"/>
      <c r="N76" s="86"/>
      <c r="O76" s="86"/>
      <c r="P76" s="86"/>
    </row>
    <row r="77">
      <c r="C77" s="86"/>
      <c r="F77" s="86"/>
      <c r="I77" s="86"/>
      <c r="L77" s="86"/>
      <c r="M77" s="86"/>
      <c r="N77" s="86"/>
      <c r="O77" s="86"/>
      <c r="P77" s="86"/>
    </row>
    <row r="78">
      <c r="C78" s="86"/>
      <c r="F78" s="86"/>
      <c r="I78" s="86"/>
      <c r="L78" s="86"/>
      <c r="M78" s="86"/>
      <c r="N78" s="86"/>
      <c r="O78" s="86"/>
      <c r="P78" s="86"/>
    </row>
    <row r="79">
      <c r="C79" s="86"/>
      <c r="F79" s="86"/>
      <c r="I79" s="86"/>
      <c r="L79" s="86"/>
      <c r="M79" s="86"/>
      <c r="N79" s="86"/>
      <c r="O79" s="86"/>
      <c r="P79" s="86"/>
    </row>
    <row r="80">
      <c r="C80" s="86"/>
      <c r="I80" s="86"/>
    </row>
    <row r="81">
      <c r="C81" s="86"/>
      <c r="F81" s="86"/>
      <c r="I81" s="86"/>
      <c r="L81" s="86"/>
      <c r="M81" s="86"/>
    </row>
    <row r="82">
      <c r="C82" s="86"/>
      <c r="F82" s="86"/>
      <c r="I82" s="86"/>
      <c r="L82" s="86"/>
      <c r="M82" s="86"/>
    </row>
    <row r="83">
      <c r="C83" s="86"/>
      <c r="F83" s="86"/>
      <c r="H83" s="86"/>
      <c r="I83" s="86"/>
      <c r="L83" s="86"/>
      <c r="M83" s="86"/>
    </row>
    <row r="84">
      <c r="C84" s="86"/>
      <c r="H84" s="86"/>
      <c r="I84" s="86"/>
      <c r="K84" s="86"/>
    </row>
    <row r="85">
      <c r="B85" s="86"/>
      <c r="C85" s="86"/>
      <c r="H85" s="86"/>
      <c r="I85" s="86"/>
      <c r="J85" s="86"/>
      <c r="K85" s="86"/>
    </row>
    <row r="86">
      <c r="B86" s="86"/>
      <c r="C86" s="86"/>
      <c r="D86" s="86"/>
      <c r="E86" s="86"/>
      <c r="F86" s="86"/>
      <c r="G86" s="86"/>
      <c r="H86" s="86"/>
      <c r="I86" s="86"/>
      <c r="J86" s="86"/>
      <c r="K86" s="86"/>
      <c r="L86" s="86"/>
      <c r="M86" s="86"/>
    </row>
    <row r="87">
      <c r="A87" s="86"/>
      <c r="B87" s="86"/>
      <c r="C87" s="86"/>
      <c r="D87" s="86"/>
      <c r="E87" s="86"/>
      <c r="F87" s="86"/>
      <c r="G87" s="86"/>
      <c r="H87" s="86"/>
      <c r="I87" s="86"/>
      <c r="J87" s="86"/>
      <c r="K87" s="86"/>
      <c r="L87" s="86"/>
      <c r="M87" s="86"/>
    </row>
    <row r="88">
      <c r="A88" s="86"/>
      <c r="B88" s="86"/>
      <c r="C88" s="86"/>
      <c r="D88" s="86"/>
      <c r="E88" s="86"/>
      <c r="F88" s="86"/>
      <c r="G88" s="86"/>
      <c r="H88" s="86"/>
      <c r="I88" s="86"/>
      <c r="J88" s="86"/>
      <c r="K88" s="86"/>
      <c r="L88" s="86"/>
      <c r="M88" s="86"/>
    </row>
    <row r="89">
      <c r="A89" s="86"/>
      <c r="B89" s="86"/>
      <c r="C89" s="86"/>
      <c r="D89" s="86"/>
      <c r="E89" s="86"/>
      <c r="F89" s="86"/>
      <c r="G89" s="86"/>
      <c r="H89" s="86"/>
      <c r="I89" s="86"/>
      <c r="J89" s="86"/>
      <c r="K89" s="86"/>
      <c r="L89" s="86"/>
      <c r="M89" s="86"/>
    </row>
    <row r="90">
      <c r="A90" s="140" t="s">
        <v>601</v>
      </c>
      <c r="B90" s="86"/>
      <c r="C90" s="86"/>
      <c r="D90" s="86"/>
      <c r="E90" s="86"/>
      <c r="F90" s="140" t="s">
        <v>602</v>
      </c>
      <c r="G90" s="86"/>
      <c r="H90" s="86"/>
      <c r="I90" s="86"/>
      <c r="J90" s="86"/>
      <c r="K90" s="86"/>
      <c r="L90" s="86"/>
      <c r="M90" s="86"/>
    </row>
    <row r="91">
      <c r="A91" s="86"/>
      <c r="B91" s="86"/>
      <c r="C91" s="86"/>
      <c r="D91" s="86"/>
      <c r="E91" s="86"/>
      <c r="F91" s="86"/>
      <c r="G91" s="86"/>
      <c r="H91" s="86"/>
      <c r="I91" s="86"/>
      <c r="J91" s="86"/>
      <c r="K91" s="86"/>
      <c r="L91" s="86"/>
      <c r="M91" s="86"/>
    </row>
    <row r="92">
      <c r="A92" s="86"/>
      <c r="B92" s="86"/>
      <c r="C92" s="86"/>
      <c r="D92" s="86"/>
      <c r="E92" s="86"/>
      <c r="F92" s="86"/>
      <c r="G92" s="86"/>
      <c r="H92" s="86"/>
      <c r="I92" s="86"/>
      <c r="J92" s="86"/>
      <c r="K92" s="86"/>
      <c r="L92" s="86"/>
      <c r="M92" s="86"/>
    </row>
    <row r="93">
      <c r="A93" s="86"/>
      <c r="B93" s="86"/>
      <c r="C93" s="86"/>
      <c r="D93" s="86"/>
      <c r="E93" s="86"/>
      <c r="F93" s="86"/>
      <c r="G93" s="86"/>
      <c r="H93" s="86"/>
      <c r="I93" s="86"/>
      <c r="J93" s="86"/>
      <c r="K93" s="86"/>
      <c r="L93" s="86"/>
      <c r="M93" s="86"/>
    </row>
    <row r="94">
      <c r="A94" s="45" t="s">
        <v>546</v>
      </c>
      <c r="B94" s="45" t="s">
        <v>586</v>
      </c>
      <c r="C94" s="86"/>
      <c r="D94" s="86"/>
      <c r="E94" s="86"/>
      <c r="K94" s="95" t="s">
        <v>603</v>
      </c>
      <c r="M94" s="95" t="s">
        <v>604</v>
      </c>
      <c r="Q94" s="139"/>
    </row>
    <row r="95">
      <c r="A95" s="114" t="s">
        <v>554</v>
      </c>
      <c r="B95" s="114">
        <v>23.467000699999954</v>
      </c>
      <c r="C95" s="114"/>
      <c r="D95" s="114"/>
      <c r="E95" s="114"/>
      <c r="F95" s="114"/>
      <c r="G95" s="114"/>
      <c r="H95" s="114"/>
      <c r="I95" s="114"/>
      <c r="J95" s="114"/>
      <c r="K95" s="114"/>
      <c r="L95" s="139"/>
      <c r="M95" s="114"/>
      <c r="N95" s="139"/>
      <c r="O95" s="139"/>
      <c r="P95" s="139"/>
      <c r="Q95" s="139"/>
    </row>
    <row r="96">
      <c r="A96" s="114" t="s">
        <v>555</v>
      </c>
      <c r="B96" s="86">
        <v>15.714994999999973</v>
      </c>
      <c r="C96" s="86"/>
      <c r="D96" s="86"/>
      <c r="E96" s="86"/>
      <c r="F96" s="86"/>
      <c r="G96" s="86"/>
      <c r="H96" s="86"/>
      <c r="I96" s="86"/>
      <c r="J96" s="86"/>
      <c r="K96" s="45" t="s">
        <v>586</v>
      </c>
      <c r="M96" s="45" t="s">
        <v>586</v>
      </c>
      <c r="O96" s="86"/>
      <c r="Q96" s="139"/>
    </row>
    <row r="97">
      <c r="A97" s="114" t="s">
        <v>558</v>
      </c>
      <c r="B97" s="86">
        <v>4.9466427343999975</v>
      </c>
      <c r="C97" s="86"/>
      <c r="D97" s="86"/>
      <c r="E97" s="86"/>
      <c r="F97" s="86"/>
      <c r="G97" s="86"/>
      <c r="H97" s="86"/>
      <c r="I97" s="86"/>
      <c r="J97" s="86"/>
      <c r="K97" s="86">
        <v>10.499191610776279</v>
      </c>
      <c r="L97" s="114"/>
      <c r="M97" s="86">
        <v>6.317708999999985</v>
      </c>
      <c r="N97" s="114"/>
      <c r="O97" s="114"/>
      <c r="P97" s="114"/>
      <c r="Q97" s="139"/>
    </row>
    <row r="98">
      <c r="A98" s="114" t="s">
        <v>561</v>
      </c>
      <c r="B98" s="86">
        <v>2.8709597778</v>
      </c>
      <c r="C98" s="86"/>
      <c r="D98" s="86"/>
      <c r="E98" s="86"/>
      <c r="F98" s="86"/>
      <c r="G98" s="86"/>
      <c r="H98" s="86"/>
      <c r="I98" s="86"/>
      <c r="J98" s="86"/>
      <c r="K98" s="86"/>
      <c r="L98" s="139"/>
      <c r="M98" s="86"/>
      <c r="N98" s="139"/>
      <c r="O98" s="139"/>
      <c r="P98" s="139"/>
      <c r="Q98" s="139"/>
    </row>
    <row r="99">
      <c r="A99" s="114" t="s">
        <v>560</v>
      </c>
      <c r="B99" s="86">
        <v>2.4472424136999993</v>
      </c>
      <c r="C99" s="86"/>
      <c r="D99" s="86"/>
      <c r="E99" s="86"/>
      <c r="F99" s="86"/>
      <c r="G99" s="86"/>
      <c r="H99" s="86"/>
      <c r="I99" s="86"/>
      <c r="J99" s="86"/>
      <c r="K99" s="86"/>
      <c r="L99" s="139"/>
      <c r="M99" s="86"/>
      <c r="N99" s="139"/>
      <c r="O99" s="139"/>
      <c r="P99" s="139"/>
      <c r="Q99" s="139"/>
    </row>
    <row r="100">
      <c r="A100" s="114" t="s">
        <v>559</v>
      </c>
      <c r="B100" s="86">
        <v>1.4021983830999998</v>
      </c>
      <c r="C100" s="86"/>
      <c r="D100" s="86"/>
      <c r="E100" s="86"/>
      <c r="F100" s="86"/>
      <c r="G100" s="86"/>
      <c r="H100" s="86"/>
      <c r="I100" s="86"/>
      <c r="J100" s="86"/>
      <c r="K100" s="140" t="s">
        <v>605</v>
      </c>
      <c r="M100" s="140" t="s">
        <v>606</v>
      </c>
      <c r="Q100" s="139"/>
    </row>
    <row r="101">
      <c r="A101" s="114" t="s">
        <v>566</v>
      </c>
      <c r="B101" s="86">
        <v>1.2078613338499955</v>
      </c>
      <c r="C101" s="86"/>
      <c r="D101" s="86"/>
      <c r="E101" s="86"/>
      <c r="F101" s="86"/>
      <c r="G101" s="86"/>
      <c r="H101" s="86"/>
      <c r="I101" s="86"/>
      <c r="J101" s="86"/>
      <c r="K101" s="86"/>
      <c r="L101" s="139"/>
      <c r="M101" s="86"/>
      <c r="N101" s="139"/>
      <c r="O101" s="139"/>
      <c r="P101" s="139"/>
      <c r="Q101" s="139"/>
    </row>
    <row r="102">
      <c r="A102" s="114" t="s">
        <v>567</v>
      </c>
      <c r="B102" s="86">
        <v>1.1864245999999998</v>
      </c>
      <c r="C102" s="86"/>
      <c r="D102" s="86"/>
      <c r="E102" s="86"/>
      <c r="F102" s="86"/>
      <c r="G102" s="86"/>
      <c r="H102" s="86"/>
      <c r="I102" s="86"/>
      <c r="J102" s="86"/>
      <c r="K102" s="86" t="s">
        <v>586</v>
      </c>
      <c r="M102" s="86" t="s">
        <v>586</v>
      </c>
      <c r="O102" s="86"/>
      <c r="Q102" s="139"/>
    </row>
    <row r="103">
      <c r="A103" s="114" t="s">
        <v>556</v>
      </c>
      <c r="B103" s="86">
        <v>1.154703082549998</v>
      </c>
      <c r="C103" s="86"/>
      <c r="D103" s="86"/>
      <c r="E103" s="86"/>
      <c r="F103" s="86"/>
      <c r="G103" s="86"/>
      <c r="H103" s="86"/>
      <c r="I103" s="86"/>
      <c r="J103" s="86"/>
      <c r="K103" s="86">
        <v>5.052944618856198</v>
      </c>
      <c r="L103" s="114"/>
      <c r="M103" s="86">
        <v>4.37551</v>
      </c>
      <c r="N103" s="114"/>
      <c r="O103" s="114"/>
      <c r="P103" s="114"/>
      <c r="Q103" s="139"/>
    </row>
    <row r="104">
      <c r="A104" s="114" t="s">
        <v>562</v>
      </c>
      <c r="B104" s="86">
        <v>0.952249451799999</v>
      </c>
      <c r="C104" s="86"/>
      <c r="D104" s="86"/>
      <c r="E104" s="86"/>
      <c r="F104" s="86"/>
      <c r="G104" s="86"/>
      <c r="H104" s="86"/>
      <c r="I104" s="86"/>
      <c r="J104" s="86"/>
      <c r="K104" s="86"/>
      <c r="L104" s="139"/>
      <c r="M104" s="86"/>
      <c r="N104" s="139"/>
      <c r="O104" s="139"/>
      <c r="P104" s="139"/>
      <c r="Q104" s="139"/>
      <c r="R104" s="114"/>
      <c r="S104" s="114"/>
      <c r="T104" s="114"/>
      <c r="U104" s="114"/>
    </row>
    <row r="105">
      <c r="A105" s="114" t="s">
        <v>563</v>
      </c>
      <c r="B105" s="86">
        <v>0.748599999999997</v>
      </c>
      <c r="C105" s="86"/>
      <c r="D105" s="86"/>
      <c r="E105" s="86"/>
      <c r="F105" s="86"/>
      <c r="G105" s="86"/>
      <c r="H105" s="86"/>
      <c r="I105" s="86"/>
      <c r="J105" s="86"/>
      <c r="K105" s="86"/>
      <c r="L105" s="139"/>
      <c r="M105" s="86"/>
      <c r="N105" s="139"/>
      <c r="O105" s="139"/>
      <c r="P105" s="139"/>
      <c r="Q105" s="139"/>
      <c r="R105" s="139"/>
      <c r="S105" s="139"/>
      <c r="T105" s="139"/>
      <c r="U105" s="139"/>
    </row>
    <row r="106">
      <c r="A106" s="114" t="s">
        <v>565</v>
      </c>
      <c r="B106" s="86">
        <v>0.5306011724999999</v>
      </c>
      <c r="C106" s="86"/>
      <c r="D106" s="86"/>
      <c r="E106" s="86"/>
      <c r="F106" s="86"/>
      <c r="G106" s="86"/>
      <c r="H106" s="86"/>
      <c r="I106" s="86"/>
      <c r="J106" s="86"/>
      <c r="K106" s="140" t="s">
        <v>607</v>
      </c>
      <c r="M106" s="140" t="s">
        <v>608</v>
      </c>
      <c r="Q106" s="139"/>
      <c r="R106" s="139"/>
      <c r="S106" s="139"/>
      <c r="T106" s="139"/>
      <c r="U106" s="139"/>
    </row>
    <row r="107">
      <c r="A107" s="114" t="s">
        <v>569</v>
      </c>
      <c r="B107" s="86">
        <v>0.48399545309999903</v>
      </c>
      <c r="C107" s="86"/>
      <c r="D107" s="86"/>
      <c r="E107" s="86"/>
      <c r="F107" s="86"/>
      <c r="G107" s="86"/>
      <c r="H107" s="86"/>
      <c r="I107" s="86"/>
      <c r="J107" s="86"/>
      <c r="K107" s="86"/>
      <c r="L107" s="139"/>
      <c r="M107" s="86"/>
      <c r="N107" s="139"/>
      <c r="O107" s="139"/>
      <c r="P107" s="139"/>
      <c r="Q107" s="139"/>
      <c r="R107" s="139"/>
      <c r="S107" s="139"/>
      <c r="T107" s="139"/>
      <c r="U107" s="139"/>
    </row>
    <row r="108">
      <c r="A108" s="114" t="s">
        <v>564</v>
      </c>
      <c r="B108" s="86">
        <v>0.4334544584499998</v>
      </c>
      <c r="C108" s="86"/>
      <c r="D108" s="86"/>
      <c r="E108" s="86"/>
      <c r="F108" s="86"/>
      <c r="G108" s="86"/>
      <c r="H108" s="86"/>
      <c r="I108" s="86"/>
      <c r="J108" s="86"/>
      <c r="K108" s="86" t="s">
        <v>586</v>
      </c>
      <c r="O108" s="86"/>
      <c r="Q108" s="139"/>
      <c r="R108" s="139"/>
      <c r="S108" s="139"/>
      <c r="T108" s="139"/>
      <c r="U108" s="139"/>
    </row>
    <row r="109">
      <c r="A109" s="114" t="s">
        <v>574</v>
      </c>
      <c r="B109" s="86">
        <v>0.21990946274999967</v>
      </c>
      <c r="C109" s="86"/>
      <c r="D109" s="86"/>
      <c r="E109" s="86"/>
      <c r="F109" s="86"/>
      <c r="G109" s="86"/>
      <c r="H109" s="86"/>
      <c r="I109" s="86"/>
      <c r="J109" s="86"/>
      <c r="K109" s="114">
        <v>8.848940116839122</v>
      </c>
      <c r="L109" s="114"/>
      <c r="N109" s="114"/>
      <c r="O109" s="114"/>
      <c r="P109" s="114"/>
      <c r="Q109" s="139"/>
      <c r="R109" s="139"/>
      <c r="S109" s="139"/>
      <c r="T109" s="139"/>
      <c r="U109" s="139"/>
    </row>
    <row r="110">
      <c r="A110" s="114" t="s">
        <v>573</v>
      </c>
      <c r="B110" s="86">
        <v>0.205485</v>
      </c>
      <c r="C110" s="86"/>
      <c r="D110" s="86"/>
      <c r="E110" s="86"/>
      <c r="F110" s="86"/>
      <c r="G110" s="86"/>
      <c r="H110" s="86"/>
      <c r="I110" s="86"/>
      <c r="J110" s="86"/>
      <c r="K110" s="114"/>
      <c r="L110" s="139"/>
      <c r="M110" s="139"/>
      <c r="N110" s="139"/>
      <c r="O110" s="139"/>
      <c r="P110" s="139"/>
      <c r="Q110" s="139"/>
      <c r="R110" s="139"/>
      <c r="S110" s="139"/>
      <c r="T110" s="139"/>
      <c r="U110" s="139"/>
    </row>
    <row r="111">
      <c r="A111" s="114" t="s">
        <v>576</v>
      </c>
      <c r="B111" s="86">
        <v>0.13927</v>
      </c>
      <c r="C111" s="86"/>
      <c r="D111" s="86"/>
      <c r="E111" s="86"/>
      <c r="F111" s="86"/>
      <c r="G111" s="86"/>
      <c r="H111" s="86"/>
      <c r="I111" s="86"/>
      <c r="J111" s="86"/>
      <c r="K111" s="114"/>
      <c r="L111" s="139"/>
      <c r="M111" s="139"/>
      <c r="N111" s="139"/>
      <c r="O111" s="139"/>
      <c r="P111" s="139"/>
      <c r="Q111" s="139"/>
      <c r="R111" s="139"/>
      <c r="S111" s="139"/>
      <c r="T111" s="139"/>
      <c r="U111" s="139"/>
    </row>
    <row r="112">
      <c r="A112" s="114" t="s">
        <v>571</v>
      </c>
      <c r="B112" s="86">
        <v>0.1251270250999999</v>
      </c>
      <c r="C112" s="86"/>
      <c r="D112" s="86"/>
      <c r="E112" s="86"/>
      <c r="F112" s="86"/>
      <c r="G112" s="86"/>
      <c r="H112" s="86"/>
      <c r="I112" s="86"/>
      <c r="J112" s="86"/>
      <c r="K112" s="114"/>
      <c r="L112" s="139"/>
      <c r="M112" s="139"/>
      <c r="N112" s="139"/>
      <c r="O112" s="139"/>
      <c r="P112" s="139"/>
      <c r="Q112" s="139"/>
      <c r="R112" s="139"/>
      <c r="S112" s="139"/>
      <c r="T112" s="139"/>
      <c r="U112" s="139"/>
    </row>
    <row r="113">
      <c r="A113" s="114" t="s">
        <v>577</v>
      </c>
      <c r="B113" s="86">
        <v>0.11625746409999999</v>
      </c>
      <c r="C113" s="86"/>
      <c r="D113" s="86"/>
      <c r="E113" s="86"/>
      <c r="F113" s="86"/>
      <c r="G113" s="86"/>
      <c r="H113" s="86"/>
      <c r="I113" s="86"/>
      <c r="J113" s="86"/>
      <c r="K113" s="88" t="s">
        <v>609</v>
      </c>
      <c r="L113" s="139"/>
      <c r="M113" s="139"/>
      <c r="N113" s="139"/>
      <c r="O113" s="139"/>
      <c r="P113" s="139"/>
      <c r="Q113" s="139"/>
      <c r="R113" s="139"/>
      <c r="S113" s="139"/>
      <c r="T113" s="139"/>
      <c r="U113" s="139"/>
    </row>
    <row r="114">
      <c r="A114" s="114" t="s">
        <v>578</v>
      </c>
      <c r="B114" s="86">
        <v>0.113999999999999</v>
      </c>
      <c r="C114" s="86"/>
      <c r="D114" s="86"/>
      <c r="E114" s="86"/>
      <c r="F114" s="86"/>
      <c r="G114" s="86"/>
      <c r="H114" s="86"/>
      <c r="I114" s="86"/>
      <c r="J114" s="86"/>
      <c r="R114" s="139"/>
      <c r="S114" s="139"/>
      <c r="T114" s="139"/>
      <c r="U114" s="139"/>
    </row>
    <row r="115">
      <c r="A115" s="114" t="s">
        <v>581</v>
      </c>
      <c r="B115" s="86">
        <v>0.0826627537499999</v>
      </c>
      <c r="C115" s="86"/>
      <c r="D115" s="86"/>
      <c r="E115" s="86"/>
      <c r="F115" s="86"/>
      <c r="G115" s="86"/>
      <c r="H115" s="86"/>
      <c r="I115" s="86"/>
      <c r="J115" s="86"/>
      <c r="R115" s="139"/>
      <c r="S115" s="139"/>
      <c r="T115" s="139"/>
      <c r="U115" s="139"/>
    </row>
    <row r="116">
      <c r="A116" s="114" t="s">
        <v>582</v>
      </c>
      <c r="B116" s="86">
        <v>0.0472083709</v>
      </c>
      <c r="C116" s="86"/>
      <c r="D116" s="86"/>
      <c r="E116" s="86"/>
      <c r="F116" s="86"/>
      <c r="G116" s="86"/>
      <c r="H116" s="86"/>
      <c r="I116" s="86"/>
      <c r="J116" s="86"/>
      <c r="R116" s="139"/>
      <c r="S116" s="139"/>
      <c r="T116" s="139"/>
      <c r="U116" s="139"/>
    </row>
    <row r="117">
      <c r="A117" s="114" t="s">
        <v>579</v>
      </c>
      <c r="B117" s="86">
        <v>0.044310673299999895</v>
      </c>
      <c r="C117" s="86"/>
      <c r="D117" s="86"/>
      <c r="E117" s="86"/>
      <c r="F117" s="86"/>
      <c r="G117" s="86"/>
      <c r="H117" s="86"/>
      <c r="I117" s="86"/>
      <c r="J117" s="86"/>
      <c r="R117" s="139"/>
      <c r="S117" s="139"/>
      <c r="T117" s="139"/>
      <c r="U117" s="139"/>
    </row>
    <row r="118">
      <c r="A118" s="114" t="s">
        <v>583</v>
      </c>
      <c r="B118" s="86">
        <v>0.0377869055</v>
      </c>
      <c r="C118" s="86"/>
      <c r="D118" s="86"/>
      <c r="E118" s="86"/>
      <c r="F118" s="86"/>
      <c r="G118" s="86"/>
      <c r="H118" s="86"/>
      <c r="I118" s="86"/>
      <c r="J118" s="86"/>
      <c r="R118" s="139"/>
      <c r="S118" s="139"/>
      <c r="T118" s="139"/>
      <c r="U118" s="139"/>
    </row>
    <row r="119">
      <c r="A119" s="114" t="s">
        <v>572</v>
      </c>
      <c r="B119" s="86">
        <v>0.02690792539999989</v>
      </c>
      <c r="C119" s="86"/>
      <c r="D119" s="86"/>
      <c r="E119" s="86"/>
      <c r="F119" s="86"/>
      <c r="G119" s="86"/>
      <c r="H119" s="86"/>
      <c r="I119" s="86"/>
      <c r="J119" s="86"/>
      <c r="R119" s="139"/>
      <c r="S119" s="139"/>
      <c r="T119" s="139"/>
      <c r="U119" s="139"/>
    </row>
    <row r="120">
      <c r="A120" s="114" t="s">
        <v>557</v>
      </c>
      <c r="B120" s="86">
        <v>0.0</v>
      </c>
      <c r="C120" s="86"/>
      <c r="D120" s="86"/>
      <c r="E120" s="86"/>
      <c r="F120" s="86"/>
      <c r="G120" s="86"/>
      <c r="H120" s="86"/>
      <c r="I120" s="86"/>
      <c r="J120" s="86"/>
      <c r="R120" s="139"/>
      <c r="S120" s="139"/>
      <c r="T120" s="139"/>
      <c r="U120" s="139"/>
    </row>
    <row r="121">
      <c r="A121" s="114" t="s">
        <v>588</v>
      </c>
      <c r="B121" s="86">
        <v>58.705854142049894</v>
      </c>
      <c r="C121" s="86"/>
      <c r="D121" s="86"/>
      <c r="E121" s="86"/>
      <c r="F121" s="86"/>
      <c r="G121" s="86"/>
      <c r="H121" s="86"/>
      <c r="I121" s="86"/>
      <c r="J121" s="86"/>
      <c r="R121" s="139"/>
      <c r="S121" s="139"/>
      <c r="T121" s="139"/>
      <c r="U121" s="139"/>
    </row>
    <row r="122">
      <c r="A122" s="114"/>
      <c r="B122" s="86"/>
      <c r="C122" s="86"/>
      <c r="D122" s="86"/>
      <c r="E122" s="86"/>
      <c r="F122" s="86"/>
      <c r="G122" s="86"/>
      <c r="H122" s="86"/>
      <c r="I122" s="86"/>
      <c r="J122" s="86"/>
      <c r="R122" s="139"/>
      <c r="S122" s="139"/>
      <c r="T122" s="139"/>
      <c r="U122" s="139"/>
    </row>
    <row r="123">
      <c r="A123" s="142"/>
      <c r="B123" s="86"/>
      <c r="C123" s="86"/>
      <c r="D123" s="86"/>
      <c r="E123" s="86"/>
      <c r="F123" s="86"/>
      <c r="G123" s="86"/>
      <c r="H123" s="86"/>
      <c r="I123" s="86"/>
      <c r="J123" s="86"/>
      <c r="R123" s="139"/>
      <c r="S123" s="139"/>
      <c r="T123" s="139"/>
      <c r="U123" s="139"/>
    </row>
    <row r="124">
      <c r="A124" s="143" t="s">
        <v>610</v>
      </c>
      <c r="B124" s="86"/>
      <c r="C124" s="140" t="s">
        <v>611</v>
      </c>
      <c r="D124" s="86"/>
      <c r="E124" s="86"/>
      <c r="F124" s="86"/>
      <c r="G124" s="86"/>
      <c r="H124" s="86"/>
      <c r="I124" s="86"/>
      <c r="J124" s="86"/>
      <c r="R124" s="139"/>
      <c r="S124" s="139"/>
      <c r="T124" s="139"/>
      <c r="U124" s="139"/>
    </row>
    <row r="125">
      <c r="A125" s="143"/>
      <c r="B125" s="86"/>
      <c r="C125" s="86"/>
      <c r="D125" s="86"/>
      <c r="E125" s="86"/>
      <c r="F125" s="86"/>
      <c r="G125" s="86"/>
      <c r="H125" s="86"/>
      <c r="I125" s="86"/>
      <c r="J125" s="86"/>
      <c r="K125" s="114"/>
      <c r="L125" s="139"/>
      <c r="M125" s="139"/>
      <c r="N125" s="139"/>
      <c r="O125" s="139"/>
      <c r="P125" s="139"/>
      <c r="Q125" s="139"/>
      <c r="R125" s="139"/>
      <c r="S125" s="139"/>
      <c r="T125" s="139"/>
      <c r="U125" s="139"/>
    </row>
    <row r="126">
      <c r="C126" s="86"/>
      <c r="D126" s="86"/>
      <c r="E126" s="86"/>
      <c r="F126" s="86"/>
      <c r="G126" s="86"/>
      <c r="H126" s="86"/>
      <c r="I126" s="86"/>
      <c r="J126" s="86"/>
      <c r="K126" s="114"/>
      <c r="L126" s="139"/>
      <c r="M126" s="139"/>
      <c r="N126" s="139"/>
      <c r="O126" s="139"/>
      <c r="P126" s="139"/>
      <c r="Q126" s="139"/>
      <c r="R126" s="139"/>
      <c r="S126" s="139"/>
      <c r="T126" s="139"/>
      <c r="U126" s="139"/>
    </row>
    <row r="127">
      <c r="C127" s="138"/>
      <c r="D127" s="138"/>
      <c r="E127" s="86"/>
      <c r="G127" s="86"/>
      <c r="H127" s="86"/>
      <c r="I127" s="86"/>
      <c r="J127" s="86"/>
      <c r="K127" s="114"/>
      <c r="L127" s="139"/>
      <c r="M127" s="139"/>
      <c r="N127" s="139"/>
      <c r="O127" s="139"/>
      <c r="P127" s="139"/>
      <c r="Q127" s="139"/>
      <c r="R127" s="139"/>
      <c r="S127" s="139"/>
      <c r="T127" s="139"/>
      <c r="U127" s="139"/>
    </row>
    <row r="128">
      <c r="C128" s="138"/>
      <c r="D128" s="138"/>
      <c r="E128" s="86"/>
      <c r="K128" s="114"/>
      <c r="L128" s="139"/>
      <c r="M128" s="139"/>
      <c r="N128" s="139"/>
      <c r="O128" s="139"/>
      <c r="P128" s="139"/>
      <c r="Q128" s="139"/>
      <c r="R128" s="139"/>
      <c r="S128" s="139"/>
      <c r="T128" s="139"/>
      <c r="U128" s="139"/>
    </row>
    <row r="129">
      <c r="C129" s="138"/>
      <c r="D129" s="138"/>
      <c r="E129" s="86"/>
      <c r="K129" s="114"/>
      <c r="L129" s="139"/>
      <c r="M129" s="139"/>
      <c r="N129" s="139"/>
      <c r="O129" s="139"/>
      <c r="P129" s="139"/>
      <c r="Q129" s="139"/>
      <c r="R129" s="139"/>
      <c r="S129" s="139"/>
      <c r="T129" s="139"/>
      <c r="U129" s="139"/>
    </row>
    <row r="130">
      <c r="C130" s="138"/>
      <c r="D130" s="138"/>
      <c r="E130" s="86"/>
      <c r="K130" s="114"/>
      <c r="L130" s="139"/>
      <c r="M130" s="139"/>
      <c r="N130" s="139"/>
      <c r="O130" s="139"/>
      <c r="P130" s="139"/>
      <c r="Q130" s="139"/>
      <c r="R130" s="139"/>
      <c r="S130" s="139"/>
      <c r="T130" s="139"/>
      <c r="U130" s="139"/>
    </row>
    <row r="131">
      <c r="C131" s="138"/>
      <c r="D131" s="138"/>
      <c r="E131" s="86"/>
      <c r="K131" s="114"/>
      <c r="L131" s="139"/>
      <c r="M131" s="139"/>
      <c r="N131" s="139"/>
      <c r="O131" s="139"/>
      <c r="P131" s="139"/>
      <c r="Q131" s="139"/>
      <c r="R131" s="139"/>
      <c r="S131" s="139"/>
      <c r="T131" s="139"/>
      <c r="U131" s="139"/>
    </row>
    <row r="132">
      <c r="C132" s="138"/>
      <c r="D132" s="138"/>
      <c r="E132" s="86"/>
      <c r="K132" s="114"/>
      <c r="L132" s="139"/>
      <c r="M132" s="139"/>
      <c r="N132" s="139"/>
      <c r="O132" s="139"/>
      <c r="P132" s="139"/>
      <c r="Q132" s="139"/>
      <c r="R132" s="139"/>
      <c r="S132" s="139"/>
      <c r="T132" s="139"/>
      <c r="U132" s="139"/>
    </row>
    <row r="133">
      <c r="C133" s="138"/>
      <c r="D133" s="138"/>
      <c r="E133" s="86"/>
      <c r="K133" s="114"/>
      <c r="L133" s="139"/>
      <c r="M133" s="139"/>
      <c r="N133" s="139"/>
      <c r="O133" s="139"/>
      <c r="P133" s="139"/>
      <c r="Q133" s="139"/>
      <c r="R133" s="139"/>
      <c r="S133" s="139"/>
      <c r="T133" s="139"/>
      <c r="U133" s="139"/>
    </row>
    <row r="134">
      <c r="C134" s="138"/>
      <c r="D134" s="138"/>
      <c r="E134" s="86"/>
      <c r="K134" s="114"/>
      <c r="L134" s="139"/>
      <c r="M134" s="139"/>
      <c r="N134" s="139"/>
      <c r="O134" s="139"/>
      <c r="P134" s="139"/>
      <c r="Q134" s="139"/>
      <c r="R134" s="139"/>
      <c r="S134" s="139"/>
      <c r="T134" s="139"/>
      <c r="U134" s="139"/>
    </row>
    <row r="135">
      <c r="A135" s="114"/>
      <c r="B135" s="86"/>
      <c r="C135" s="138"/>
      <c r="D135" s="138"/>
      <c r="E135" s="86"/>
      <c r="K135" s="114"/>
      <c r="L135" s="139"/>
      <c r="M135" s="139"/>
      <c r="N135" s="139"/>
      <c r="O135" s="139"/>
      <c r="P135" s="139"/>
      <c r="Q135" s="139"/>
      <c r="R135" s="139"/>
      <c r="S135" s="139"/>
      <c r="T135" s="139"/>
      <c r="U135" s="139"/>
    </row>
    <row r="136">
      <c r="A136" s="114"/>
      <c r="B136" s="86"/>
      <c r="C136" s="138"/>
      <c r="D136" s="138"/>
      <c r="E136" s="86"/>
      <c r="K136" s="114"/>
      <c r="L136" s="139"/>
      <c r="M136" s="139"/>
      <c r="N136" s="139"/>
      <c r="O136" s="139"/>
      <c r="P136" s="139"/>
      <c r="Q136" s="139"/>
      <c r="R136" s="139"/>
      <c r="S136" s="139"/>
      <c r="T136" s="139"/>
      <c r="U136" s="139"/>
    </row>
    <row r="137">
      <c r="A137" s="114"/>
      <c r="B137" s="86"/>
      <c r="C137" s="138"/>
      <c r="D137" s="138"/>
      <c r="E137" s="86"/>
    </row>
    <row r="138">
      <c r="A138" s="114"/>
      <c r="B138" s="86"/>
      <c r="C138" s="138"/>
      <c r="D138" s="138"/>
      <c r="E138" s="86"/>
    </row>
    <row r="139">
      <c r="A139" s="114"/>
      <c r="B139" s="86"/>
      <c r="C139" s="138"/>
      <c r="D139" s="138"/>
      <c r="E139" s="86"/>
    </row>
    <row r="140">
      <c r="A140" s="114"/>
      <c r="B140" s="86"/>
      <c r="C140" s="138"/>
      <c r="D140" s="138"/>
      <c r="E140" s="86"/>
    </row>
    <row r="141">
      <c r="A141" s="114"/>
      <c r="B141" s="86"/>
      <c r="C141" s="138"/>
      <c r="D141" s="138"/>
      <c r="E141" s="86"/>
    </row>
    <row r="142">
      <c r="A142" s="114"/>
      <c r="B142" s="86"/>
      <c r="C142" s="138"/>
      <c r="D142" s="138"/>
      <c r="E142" s="86"/>
    </row>
    <row r="143">
      <c r="A143" s="114"/>
      <c r="B143" s="86"/>
      <c r="C143" s="138"/>
      <c r="D143" s="138"/>
      <c r="E143" s="86"/>
    </row>
    <row r="144">
      <c r="A144" s="114"/>
      <c r="B144" s="86"/>
      <c r="C144" s="138"/>
      <c r="D144" s="138"/>
      <c r="E144" s="86"/>
    </row>
    <row r="145">
      <c r="A145" s="114"/>
      <c r="B145" s="86"/>
      <c r="C145" s="138"/>
      <c r="D145" s="138"/>
      <c r="E145" s="86"/>
    </row>
    <row r="146">
      <c r="A146" s="114"/>
      <c r="B146" s="86"/>
      <c r="C146" s="138"/>
      <c r="D146" s="138"/>
      <c r="E146" s="86"/>
    </row>
    <row r="147">
      <c r="A147" s="114"/>
      <c r="B147" s="86"/>
      <c r="C147" s="138"/>
      <c r="D147" s="138"/>
      <c r="E147" s="86"/>
    </row>
    <row r="148">
      <c r="A148" s="114"/>
      <c r="B148" s="86"/>
      <c r="C148" s="138"/>
      <c r="D148" s="138"/>
      <c r="E148" s="86"/>
    </row>
    <row r="149">
      <c r="A149" s="114"/>
      <c r="B149" s="86"/>
      <c r="C149" s="138"/>
      <c r="D149" s="138"/>
      <c r="E149" s="86"/>
    </row>
    <row r="150">
      <c r="A150" s="114"/>
      <c r="B150" s="86"/>
      <c r="C150" s="138"/>
      <c r="D150" s="138"/>
      <c r="E150" s="86"/>
    </row>
    <row r="151">
      <c r="A151" s="114"/>
      <c r="B151" s="86"/>
      <c r="C151" s="138"/>
      <c r="D151" s="138"/>
      <c r="E151" s="86"/>
    </row>
    <row r="152">
      <c r="A152" s="114"/>
      <c r="B152" s="86"/>
      <c r="C152" s="138"/>
      <c r="D152" s="138"/>
      <c r="E152" s="86"/>
    </row>
    <row r="153">
      <c r="A153" s="114"/>
      <c r="B153" s="86"/>
      <c r="C153" s="138"/>
      <c r="D153" s="138"/>
      <c r="E153" s="86"/>
    </row>
    <row r="154">
      <c r="B154" s="138"/>
      <c r="C154" s="138"/>
      <c r="D154" s="138"/>
      <c r="E154" s="86"/>
    </row>
    <row r="155">
      <c r="B155" s="138"/>
      <c r="C155" s="138"/>
      <c r="D155" s="138"/>
      <c r="E155" s="86"/>
    </row>
    <row r="156">
      <c r="B156" s="138"/>
      <c r="C156" s="138"/>
      <c r="D156" s="138"/>
      <c r="E156" s="86"/>
    </row>
    <row r="157">
      <c r="B157" s="138"/>
      <c r="C157" s="138"/>
      <c r="D157" s="138"/>
      <c r="E157" s="86"/>
    </row>
    <row r="158">
      <c r="B158" s="138"/>
      <c r="C158" s="138"/>
      <c r="D158" s="138"/>
      <c r="E158" s="86"/>
    </row>
    <row r="159">
      <c r="C159" s="144"/>
      <c r="D159" s="144"/>
      <c r="E159" s="86"/>
    </row>
    <row r="160">
      <c r="C160" s="86"/>
      <c r="D160" s="86"/>
      <c r="E160" s="86"/>
    </row>
    <row r="161">
      <c r="C161" s="86"/>
      <c r="D161" s="86"/>
      <c r="E161" s="86"/>
    </row>
    <row r="162">
      <c r="C162" s="86"/>
      <c r="D162" s="86"/>
      <c r="E162" s="86"/>
    </row>
    <row r="163">
      <c r="C163" s="86"/>
      <c r="D163" s="86"/>
      <c r="E163" s="86"/>
    </row>
    <row r="164">
      <c r="C164" s="86"/>
      <c r="D164" s="86"/>
      <c r="E164" s="86"/>
    </row>
    <row r="165">
      <c r="C165" s="86"/>
      <c r="D165" s="86"/>
      <c r="E165" s="86"/>
    </row>
    <row r="166">
      <c r="C166" s="86"/>
      <c r="D166" s="86"/>
      <c r="E166" s="86"/>
    </row>
    <row r="167">
      <c r="C167" s="86"/>
      <c r="D167" s="86"/>
      <c r="E167" s="86"/>
    </row>
    <row r="168">
      <c r="C168" s="86"/>
      <c r="D168" s="86"/>
      <c r="E168" s="86"/>
    </row>
    <row r="169">
      <c r="C169" s="86"/>
      <c r="D169" s="86"/>
      <c r="E169" s="86"/>
    </row>
    <row r="170">
      <c r="C170" s="86"/>
      <c r="D170" s="86"/>
      <c r="E170" s="86"/>
    </row>
    <row r="171">
      <c r="C171" s="86"/>
      <c r="D171" s="86"/>
      <c r="E171" s="86"/>
    </row>
    <row r="172">
      <c r="C172" s="86"/>
      <c r="D172" s="86"/>
      <c r="E172" s="86"/>
    </row>
    <row r="173">
      <c r="C173" s="86"/>
      <c r="D173" s="86"/>
      <c r="E173" s="86"/>
    </row>
    <row r="174">
      <c r="C174" s="86"/>
      <c r="D174" s="86"/>
      <c r="E174" s="86"/>
    </row>
    <row r="175">
      <c r="C175" s="86"/>
      <c r="D175" s="86"/>
      <c r="E175" s="86"/>
    </row>
    <row r="176">
      <c r="C176" s="86"/>
      <c r="D176" s="86"/>
      <c r="E176" s="86"/>
    </row>
    <row r="177">
      <c r="C177" s="86"/>
      <c r="D177" s="86"/>
      <c r="E177" s="86"/>
    </row>
    <row r="178">
      <c r="C178" s="86"/>
      <c r="D178" s="86"/>
      <c r="E178" s="86"/>
    </row>
    <row r="179">
      <c r="C179" s="86"/>
      <c r="D179" s="86"/>
      <c r="E179" s="86"/>
    </row>
    <row r="180">
      <c r="C180" s="86"/>
      <c r="D180" s="86"/>
      <c r="E180" s="86"/>
    </row>
    <row r="181">
      <c r="C181" s="86"/>
      <c r="D181" s="86"/>
      <c r="E181" s="86"/>
    </row>
    <row r="182">
      <c r="C182" s="86"/>
      <c r="D182" s="86"/>
      <c r="E182" s="86"/>
    </row>
    <row r="183">
      <c r="C183" s="86"/>
      <c r="D183" s="86"/>
      <c r="E183" s="86"/>
    </row>
    <row r="184">
      <c r="C184" s="86"/>
      <c r="D184" s="86"/>
      <c r="E184" s="86"/>
    </row>
    <row r="185">
      <c r="C185" s="86"/>
      <c r="D185" s="86"/>
      <c r="E185" s="86"/>
    </row>
    <row r="186">
      <c r="C186" s="86"/>
      <c r="D186" s="86"/>
      <c r="E186" s="86"/>
    </row>
    <row r="187">
      <c r="C187" s="86"/>
      <c r="D187" s="86"/>
      <c r="E187" s="86"/>
    </row>
    <row r="188">
      <c r="C188" s="86"/>
      <c r="D188" s="86"/>
      <c r="E188" s="86"/>
    </row>
    <row r="189">
      <c r="C189" s="86"/>
      <c r="D189" s="86"/>
      <c r="E189" s="86"/>
    </row>
    <row r="190">
      <c r="C190" s="86"/>
      <c r="D190" s="86"/>
      <c r="E190" s="86"/>
    </row>
    <row r="191">
      <c r="C191" s="86"/>
      <c r="D191" s="86"/>
      <c r="E191" s="86"/>
    </row>
    <row r="192">
      <c r="C192" s="86"/>
      <c r="D192" s="86"/>
      <c r="E192" s="86"/>
    </row>
    <row r="193">
      <c r="C193" s="86"/>
      <c r="D193" s="86"/>
      <c r="E193" s="86"/>
    </row>
    <row r="194">
      <c r="C194" s="86"/>
      <c r="D194" s="86"/>
      <c r="E194" s="86"/>
    </row>
    <row r="195">
      <c r="C195" s="86"/>
      <c r="D195" s="86"/>
      <c r="E195" s="86"/>
    </row>
    <row r="196">
      <c r="C196" s="86"/>
      <c r="D196" s="86"/>
      <c r="E196" s="86"/>
    </row>
    <row r="197">
      <c r="C197" s="86"/>
      <c r="D197" s="86"/>
      <c r="E197" s="86"/>
    </row>
    <row r="198">
      <c r="C198" s="86"/>
      <c r="D198" s="86"/>
      <c r="E198" s="86"/>
    </row>
    <row r="199">
      <c r="C199" s="86"/>
      <c r="D199" s="86"/>
      <c r="E199" s="86"/>
    </row>
    <row r="200">
      <c r="C200" s="86"/>
      <c r="D200" s="86"/>
      <c r="E200" s="86"/>
    </row>
    <row r="201">
      <c r="C201" s="86"/>
      <c r="D201" s="86"/>
      <c r="E201" s="86"/>
    </row>
    <row r="202">
      <c r="C202" s="86"/>
      <c r="D202" s="86"/>
      <c r="E202" s="86"/>
    </row>
    <row r="203">
      <c r="C203" s="86"/>
      <c r="D203" s="86"/>
      <c r="E203" s="86"/>
    </row>
    <row r="204">
      <c r="C204" s="86"/>
      <c r="D204" s="86"/>
      <c r="E204" s="86"/>
    </row>
    <row r="205">
      <c r="C205" s="86"/>
      <c r="D205" s="86"/>
      <c r="E205" s="86"/>
    </row>
    <row r="206">
      <c r="C206" s="86"/>
      <c r="D206" s="86"/>
      <c r="E206" s="86"/>
    </row>
    <row r="207">
      <c r="C207" s="86"/>
      <c r="D207" s="86"/>
      <c r="E207" s="86"/>
    </row>
    <row r="208">
      <c r="C208" s="86"/>
      <c r="D208" s="86"/>
      <c r="E208" s="86"/>
    </row>
    <row r="209">
      <c r="C209" s="86"/>
      <c r="D209" s="86"/>
      <c r="E209" s="86"/>
    </row>
    <row r="210">
      <c r="C210" s="86"/>
      <c r="D210" s="86"/>
      <c r="E210" s="86"/>
    </row>
    <row r="211">
      <c r="C211" s="86"/>
      <c r="D211" s="86"/>
      <c r="E211" s="86"/>
    </row>
    <row r="212">
      <c r="C212" s="86"/>
      <c r="D212" s="86"/>
      <c r="E212" s="86"/>
    </row>
    <row r="213">
      <c r="C213" s="86"/>
      <c r="D213" s="86"/>
      <c r="E213" s="86"/>
    </row>
    <row r="214">
      <c r="C214" s="86"/>
      <c r="D214" s="86"/>
      <c r="E214" s="86"/>
    </row>
    <row r="215">
      <c r="C215" s="86"/>
      <c r="D215" s="86"/>
      <c r="E215" s="86"/>
    </row>
    <row r="216">
      <c r="C216" s="86"/>
      <c r="D216" s="86"/>
      <c r="E216" s="86"/>
    </row>
    <row r="217">
      <c r="C217" s="86"/>
      <c r="D217" s="86"/>
      <c r="E217" s="86"/>
    </row>
    <row r="218">
      <c r="C218" s="86"/>
      <c r="D218" s="86"/>
      <c r="E218" s="86"/>
    </row>
    <row r="219">
      <c r="C219" s="86"/>
      <c r="D219" s="86"/>
      <c r="E219" s="86"/>
    </row>
    <row r="220">
      <c r="C220" s="86"/>
      <c r="D220" s="86"/>
      <c r="E220" s="86"/>
    </row>
    <row r="221">
      <c r="C221" s="86"/>
      <c r="D221" s="86"/>
      <c r="E221" s="86"/>
    </row>
    <row r="222">
      <c r="C222" s="86"/>
      <c r="D222" s="86"/>
      <c r="E222" s="86"/>
    </row>
    <row r="223">
      <c r="C223" s="86"/>
      <c r="D223" s="86"/>
      <c r="E223" s="86"/>
    </row>
    <row r="224">
      <c r="C224" s="86"/>
      <c r="D224" s="86"/>
      <c r="E224" s="86"/>
    </row>
    <row r="225">
      <c r="C225" s="86"/>
      <c r="D225" s="86"/>
      <c r="E225" s="86"/>
    </row>
    <row r="226">
      <c r="C226" s="86"/>
      <c r="D226" s="86"/>
      <c r="E226" s="86"/>
    </row>
    <row r="227">
      <c r="C227" s="86"/>
      <c r="D227" s="86"/>
      <c r="E227" s="86"/>
    </row>
    <row r="228">
      <c r="C228" s="86"/>
      <c r="D228" s="86"/>
      <c r="E228" s="86"/>
    </row>
    <row r="229">
      <c r="C229" s="86"/>
      <c r="D229" s="86"/>
      <c r="E229" s="86"/>
    </row>
    <row r="230">
      <c r="C230" s="86"/>
      <c r="D230" s="86"/>
      <c r="E230" s="86"/>
    </row>
    <row r="231">
      <c r="C231" s="86"/>
      <c r="D231" s="86"/>
      <c r="E231" s="86"/>
    </row>
    <row r="232">
      <c r="C232" s="86"/>
      <c r="D232" s="86"/>
      <c r="E232" s="86"/>
    </row>
    <row r="233">
      <c r="C233" s="86"/>
      <c r="D233" s="86"/>
      <c r="E233" s="86"/>
    </row>
    <row r="234">
      <c r="C234" s="86"/>
      <c r="D234" s="86"/>
      <c r="E234" s="86"/>
    </row>
    <row r="235">
      <c r="C235" s="86"/>
      <c r="D235" s="86"/>
      <c r="E235" s="86"/>
    </row>
    <row r="236">
      <c r="C236" s="86"/>
      <c r="D236" s="86"/>
      <c r="E236" s="86"/>
    </row>
    <row r="237">
      <c r="C237" s="86"/>
      <c r="D237" s="86"/>
      <c r="E237" s="86"/>
    </row>
    <row r="238">
      <c r="C238" s="86"/>
      <c r="D238" s="86"/>
      <c r="E238" s="86"/>
    </row>
    <row r="239">
      <c r="C239" s="86"/>
      <c r="D239" s="86"/>
      <c r="E239" s="86"/>
    </row>
    <row r="240">
      <c r="C240" s="86"/>
      <c r="D240" s="86"/>
      <c r="E240" s="86"/>
    </row>
    <row r="241">
      <c r="C241" s="86"/>
      <c r="D241" s="86"/>
      <c r="E241" s="86"/>
    </row>
    <row r="242">
      <c r="C242" s="86"/>
      <c r="D242" s="86"/>
      <c r="E242" s="86"/>
    </row>
    <row r="243">
      <c r="C243" s="86"/>
      <c r="D243" s="86"/>
      <c r="E243" s="86"/>
    </row>
    <row r="244">
      <c r="C244" s="86"/>
      <c r="D244" s="86"/>
      <c r="E244" s="86"/>
    </row>
    <row r="245">
      <c r="C245" s="86"/>
      <c r="D245" s="86"/>
      <c r="E245" s="86"/>
    </row>
    <row r="246">
      <c r="C246" s="86"/>
      <c r="D246" s="86"/>
      <c r="E246" s="86"/>
    </row>
    <row r="247">
      <c r="C247" s="86"/>
      <c r="D247" s="86"/>
      <c r="E247" s="86"/>
    </row>
    <row r="248">
      <c r="C248" s="86"/>
      <c r="D248" s="86"/>
      <c r="E248" s="86"/>
    </row>
    <row r="249">
      <c r="C249" s="86"/>
      <c r="D249" s="86"/>
      <c r="E249" s="86"/>
    </row>
    <row r="250">
      <c r="C250" s="86"/>
      <c r="D250" s="86"/>
      <c r="E250" s="86"/>
    </row>
    <row r="251">
      <c r="C251" s="86"/>
      <c r="D251" s="86"/>
      <c r="E251" s="86"/>
    </row>
    <row r="252">
      <c r="C252" s="86"/>
      <c r="D252" s="86"/>
      <c r="E252" s="86"/>
    </row>
    <row r="253">
      <c r="C253" s="86"/>
      <c r="D253" s="86"/>
      <c r="E253" s="86"/>
    </row>
    <row r="254">
      <c r="C254" s="86"/>
      <c r="D254" s="86"/>
      <c r="E254" s="86"/>
    </row>
    <row r="255">
      <c r="C255" s="86"/>
      <c r="D255" s="86"/>
      <c r="E255" s="86"/>
    </row>
    <row r="256">
      <c r="C256" s="86"/>
      <c r="D256" s="86"/>
      <c r="E256" s="86"/>
    </row>
    <row r="257">
      <c r="C257" s="86"/>
      <c r="D257" s="86"/>
      <c r="E257" s="86"/>
    </row>
    <row r="258">
      <c r="C258" s="86"/>
      <c r="D258" s="86"/>
      <c r="E258" s="86"/>
    </row>
    <row r="259">
      <c r="C259" s="86"/>
      <c r="D259" s="86"/>
      <c r="E259" s="86"/>
    </row>
    <row r="260">
      <c r="C260" s="86"/>
      <c r="D260" s="86"/>
      <c r="E260" s="86"/>
    </row>
    <row r="261">
      <c r="C261" s="86"/>
      <c r="D261" s="86"/>
      <c r="E261" s="86"/>
    </row>
    <row r="262">
      <c r="C262" s="86"/>
      <c r="D262" s="86"/>
      <c r="E262" s="86"/>
    </row>
    <row r="263">
      <c r="C263" s="86"/>
      <c r="D263" s="86"/>
      <c r="E263" s="86"/>
    </row>
    <row r="264">
      <c r="C264" s="86"/>
      <c r="D264" s="86"/>
      <c r="E264" s="86"/>
    </row>
    <row r="265">
      <c r="C265" s="86"/>
      <c r="D265" s="86"/>
      <c r="E265" s="86"/>
    </row>
    <row r="266">
      <c r="C266" s="86"/>
      <c r="D266" s="86"/>
      <c r="E266" s="86"/>
    </row>
    <row r="267">
      <c r="C267" s="86"/>
      <c r="D267" s="86"/>
      <c r="E267" s="86"/>
    </row>
    <row r="268">
      <c r="C268" s="86"/>
      <c r="D268" s="86"/>
      <c r="E268" s="86"/>
    </row>
    <row r="269">
      <c r="C269" s="86"/>
      <c r="D269" s="86"/>
      <c r="E269" s="86"/>
    </row>
    <row r="270">
      <c r="C270" s="86"/>
      <c r="D270" s="86"/>
      <c r="E270" s="86"/>
    </row>
    <row r="271">
      <c r="C271" s="86"/>
      <c r="D271" s="86"/>
      <c r="E271" s="86"/>
    </row>
    <row r="272">
      <c r="C272" s="86"/>
      <c r="D272" s="86"/>
      <c r="E272" s="86"/>
    </row>
    <row r="273">
      <c r="C273" s="86"/>
      <c r="D273" s="86"/>
      <c r="E273" s="86"/>
    </row>
    <row r="274">
      <c r="C274" s="86"/>
      <c r="D274" s="86"/>
      <c r="E274" s="86"/>
    </row>
    <row r="275">
      <c r="C275" s="86"/>
      <c r="D275" s="86"/>
      <c r="E275" s="86"/>
    </row>
    <row r="276">
      <c r="C276" s="86"/>
      <c r="D276" s="86"/>
      <c r="E276" s="86"/>
    </row>
    <row r="277">
      <c r="C277" s="86"/>
      <c r="D277" s="86"/>
      <c r="E277" s="86"/>
    </row>
    <row r="278">
      <c r="C278" s="86"/>
      <c r="D278" s="86"/>
      <c r="E278" s="86"/>
    </row>
    <row r="279">
      <c r="C279" s="86"/>
      <c r="D279" s="86"/>
      <c r="E279" s="86"/>
    </row>
    <row r="280">
      <c r="C280" s="86"/>
      <c r="D280" s="86"/>
      <c r="E280" s="86"/>
    </row>
    <row r="281">
      <c r="C281" s="86"/>
      <c r="D281" s="86"/>
      <c r="E281" s="86"/>
    </row>
    <row r="282">
      <c r="C282" s="86"/>
      <c r="D282" s="86"/>
      <c r="E282" s="86"/>
    </row>
    <row r="283">
      <c r="C283" s="86"/>
      <c r="D283" s="86"/>
      <c r="E283" s="86"/>
    </row>
    <row r="284">
      <c r="C284" s="86"/>
      <c r="D284" s="86"/>
      <c r="E284" s="86"/>
    </row>
    <row r="285">
      <c r="C285" s="86"/>
      <c r="D285" s="86"/>
      <c r="E285" s="86"/>
    </row>
    <row r="286">
      <c r="C286" s="86"/>
      <c r="D286" s="86"/>
      <c r="E286" s="86"/>
    </row>
    <row r="287">
      <c r="C287" s="86"/>
      <c r="D287" s="86"/>
      <c r="E287" s="86"/>
    </row>
    <row r="288">
      <c r="C288" s="86"/>
      <c r="D288" s="86"/>
      <c r="E288" s="86"/>
    </row>
    <row r="289">
      <c r="C289" s="86"/>
      <c r="D289" s="86"/>
      <c r="E289" s="86"/>
    </row>
    <row r="290">
      <c r="C290" s="86"/>
      <c r="D290" s="86"/>
      <c r="E290" s="86"/>
    </row>
    <row r="291">
      <c r="C291" s="86"/>
      <c r="D291" s="86"/>
      <c r="E291" s="86"/>
    </row>
    <row r="292">
      <c r="C292" s="86"/>
      <c r="D292" s="86"/>
      <c r="E292" s="86"/>
    </row>
    <row r="293">
      <c r="C293" s="86"/>
      <c r="D293" s="86"/>
      <c r="E293" s="86"/>
    </row>
    <row r="294">
      <c r="C294" s="86"/>
      <c r="D294" s="86"/>
      <c r="E294" s="86"/>
    </row>
    <row r="295">
      <c r="C295" s="86"/>
      <c r="D295" s="86"/>
      <c r="E295" s="86"/>
    </row>
    <row r="296">
      <c r="C296" s="86"/>
      <c r="D296" s="86"/>
      <c r="E296" s="86"/>
    </row>
    <row r="297">
      <c r="C297" s="86"/>
      <c r="D297" s="86"/>
      <c r="E297" s="86"/>
    </row>
    <row r="298">
      <c r="C298" s="86"/>
      <c r="D298" s="86"/>
      <c r="E298" s="86"/>
    </row>
    <row r="299">
      <c r="C299" s="86"/>
      <c r="D299" s="86"/>
      <c r="E299" s="86"/>
    </row>
    <row r="300">
      <c r="C300" s="86"/>
      <c r="D300" s="86"/>
      <c r="E300" s="86"/>
    </row>
    <row r="301">
      <c r="C301" s="86"/>
      <c r="D301" s="86"/>
      <c r="E301" s="86"/>
    </row>
    <row r="302">
      <c r="C302" s="86"/>
      <c r="D302" s="86"/>
      <c r="E302" s="86"/>
    </row>
    <row r="303">
      <c r="C303" s="86"/>
      <c r="D303" s="86"/>
      <c r="E303" s="86"/>
    </row>
    <row r="304">
      <c r="C304" s="86"/>
      <c r="D304" s="86"/>
      <c r="E304" s="86"/>
    </row>
    <row r="305">
      <c r="C305" s="86"/>
      <c r="D305" s="86"/>
      <c r="E305" s="86"/>
    </row>
    <row r="306">
      <c r="C306" s="86"/>
      <c r="D306" s="86"/>
      <c r="E306" s="86"/>
    </row>
    <row r="307">
      <c r="C307" s="86"/>
      <c r="D307" s="86"/>
      <c r="E307" s="86"/>
    </row>
    <row r="308">
      <c r="C308" s="86"/>
      <c r="D308" s="86"/>
      <c r="E308" s="86"/>
    </row>
    <row r="309">
      <c r="C309" s="86"/>
      <c r="D309" s="86"/>
      <c r="E309" s="86"/>
    </row>
    <row r="310">
      <c r="C310" s="86"/>
      <c r="D310" s="86"/>
      <c r="E310" s="86"/>
    </row>
    <row r="311">
      <c r="C311" s="86"/>
      <c r="D311" s="86"/>
      <c r="E311" s="86"/>
    </row>
    <row r="312">
      <c r="C312" s="86"/>
      <c r="D312" s="86"/>
      <c r="E312" s="86"/>
    </row>
    <row r="313">
      <c r="C313" s="86"/>
      <c r="D313" s="86"/>
      <c r="E313" s="86"/>
    </row>
    <row r="314">
      <c r="C314" s="86"/>
      <c r="D314" s="86"/>
      <c r="E314" s="86"/>
    </row>
    <row r="315">
      <c r="C315" s="86"/>
      <c r="D315" s="86"/>
      <c r="E315" s="86"/>
    </row>
    <row r="316">
      <c r="C316" s="86"/>
      <c r="D316" s="86"/>
      <c r="E316" s="86"/>
    </row>
    <row r="317">
      <c r="C317" s="86"/>
      <c r="D317" s="86"/>
      <c r="E317" s="86"/>
    </row>
    <row r="318">
      <c r="C318" s="86"/>
      <c r="D318" s="86"/>
      <c r="E318" s="86"/>
    </row>
    <row r="319">
      <c r="C319" s="86"/>
      <c r="D319" s="86"/>
      <c r="E319" s="86"/>
    </row>
    <row r="320">
      <c r="C320" s="86"/>
      <c r="D320" s="86"/>
      <c r="E320" s="86"/>
    </row>
    <row r="321">
      <c r="C321" s="86"/>
      <c r="D321" s="86"/>
      <c r="E321" s="86"/>
    </row>
    <row r="322">
      <c r="C322" s="86"/>
      <c r="D322" s="86"/>
      <c r="E322" s="86"/>
    </row>
    <row r="323">
      <c r="C323" s="86"/>
      <c r="D323" s="86"/>
      <c r="E323" s="86"/>
    </row>
    <row r="324">
      <c r="C324" s="86"/>
      <c r="D324" s="86"/>
      <c r="E324" s="86"/>
    </row>
    <row r="325">
      <c r="C325" s="86"/>
      <c r="D325" s="86"/>
      <c r="E325" s="86"/>
    </row>
    <row r="326">
      <c r="C326" s="86"/>
      <c r="D326" s="86"/>
      <c r="E326" s="86"/>
    </row>
    <row r="327">
      <c r="C327" s="86"/>
      <c r="D327" s="86"/>
      <c r="E327" s="86"/>
    </row>
    <row r="328">
      <c r="C328" s="86"/>
      <c r="D328" s="86"/>
      <c r="E328" s="86"/>
    </row>
    <row r="329">
      <c r="C329" s="86"/>
      <c r="D329" s="86"/>
      <c r="E329" s="86"/>
    </row>
    <row r="330">
      <c r="C330" s="86"/>
      <c r="D330" s="86"/>
      <c r="E330" s="86"/>
    </row>
    <row r="331">
      <c r="C331" s="86"/>
      <c r="D331" s="86"/>
      <c r="E331" s="86"/>
    </row>
    <row r="332">
      <c r="C332" s="86"/>
      <c r="D332" s="86"/>
      <c r="E332" s="86"/>
    </row>
    <row r="333">
      <c r="C333" s="86"/>
      <c r="D333" s="86"/>
      <c r="E333" s="86"/>
    </row>
    <row r="334">
      <c r="C334" s="86"/>
      <c r="D334" s="86"/>
      <c r="E334" s="86"/>
    </row>
    <row r="335">
      <c r="C335" s="86"/>
      <c r="D335" s="86"/>
      <c r="E335" s="86"/>
    </row>
    <row r="336">
      <c r="C336" s="86"/>
      <c r="D336" s="86"/>
      <c r="E336" s="86"/>
    </row>
    <row r="337">
      <c r="C337" s="86"/>
      <c r="D337" s="86"/>
      <c r="E337" s="86"/>
    </row>
    <row r="338">
      <c r="C338" s="86"/>
      <c r="D338" s="86"/>
      <c r="E338" s="86"/>
    </row>
    <row r="339">
      <c r="C339" s="86"/>
      <c r="D339" s="86"/>
      <c r="E339" s="86"/>
    </row>
    <row r="340">
      <c r="C340" s="86"/>
      <c r="D340" s="86"/>
      <c r="E340" s="86"/>
    </row>
    <row r="341">
      <c r="C341" s="86"/>
      <c r="D341" s="86"/>
      <c r="E341" s="86"/>
    </row>
    <row r="342">
      <c r="C342" s="86"/>
      <c r="D342" s="86"/>
      <c r="E342" s="86"/>
    </row>
    <row r="343">
      <c r="C343" s="86"/>
      <c r="D343" s="86"/>
      <c r="E343" s="86"/>
    </row>
    <row r="344">
      <c r="C344" s="86"/>
      <c r="D344" s="86"/>
      <c r="E344" s="86"/>
    </row>
    <row r="345">
      <c r="C345" s="86"/>
      <c r="D345" s="86"/>
      <c r="E345" s="86"/>
    </row>
    <row r="346">
      <c r="C346" s="86"/>
      <c r="D346" s="86"/>
      <c r="E346" s="86"/>
    </row>
    <row r="347">
      <c r="C347" s="86"/>
      <c r="D347" s="86"/>
      <c r="E347" s="86"/>
    </row>
    <row r="348">
      <c r="C348" s="86"/>
      <c r="D348" s="86"/>
      <c r="E348" s="86"/>
    </row>
    <row r="349">
      <c r="C349" s="86"/>
      <c r="D349" s="86"/>
      <c r="E349" s="86"/>
    </row>
    <row r="350">
      <c r="C350" s="86"/>
      <c r="D350" s="86"/>
      <c r="E350" s="86"/>
    </row>
    <row r="351">
      <c r="C351" s="86"/>
      <c r="D351" s="86"/>
      <c r="E351" s="86"/>
    </row>
    <row r="352">
      <c r="C352" s="86"/>
      <c r="D352" s="86"/>
      <c r="E352" s="86"/>
    </row>
    <row r="353">
      <c r="C353" s="86"/>
      <c r="D353" s="86"/>
      <c r="E353" s="86"/>
    </row>
    <row r="354">
      <c r="C354" s="86"/>
      <c r="D354" s="86"/>
      <c r="E354" s="86"/>
    </row>
    <row r="355">
      <c r="C355" s="86"/>
      <c r="D355" s="86"/>
      <c r="E355" s="86"/>
    </row>
    <row r="356">
      <c r="C356" s="86"/>
      <c r="D356" s="86"/>
      <c r="E356" s="86"/>
    </row>
    <row r="357">
      <c r="C357" s="86"/>
      <c r="D357" s="86"/>
      <c r="E357" s="86"/>
    </row>
    <row r="358">
      <c r="C358" s="86"/>
      <c r="D358" s="86"/>
      <c r="E358" s="86"/>
    </row>
    <row r="359">
      <c r="C359" s="86"/>
      <c r="D359" s="86"/>
      <c r="E359" s="86"/>
    </row>
    <row r="360">
      <c r="C360" s="86"/>
      <c r="D360" s="86"/>
      <c r="E360" s="86"/>
    </row>
    <row r="361">
      <c r="C361" s="86"/>
      <c r="D361" s="86"/>
      <c r="E361" s="86"/>
    </row>
    <row r="362">
      <c r="C362" s="86"/>
      <c r="D362" s="86"/>
      <c r="E362" s="86"/>
    </row>
    <row r="363">
      <c r="C363" s="86"/>
      <c r="D363" s="86"/>
      <c r="E363" s="86"/>
    </row>
    <row r="364">
      <c r="C364" s="86"/>
      <c r="D364" s="86"/>
      <c r="E364" s="86"/>
    </row>
    <row r="365">
      <c r="C365" s="86"/>
      <c r="D365" s="86"/>
      <c r="E365" s="86"/>
    </row>
    <row r="366">
      <c r="C366" s="86"/>
      <c r="D366" s="86"/>
      <c r="E366" s="86"/>
    </row>
    <row r="367">
      <c r="C367" s="86"/>
      <c r="D367" s="86"/>
      <c r="E367" s="86"/>
    </row>
    <row r="368">
      <c r="C368" s="86"/>
      <c r="D368" s="86"/>
      <c r="E368" s="86"/>
    </row>
    <row r="369">
      <c r="C369" s="86"/>
      <c r="D369" s="86"/>
      <c r="E369" s="86"/>
    </row>
    <row r="370">
      <c r="C370" s="86"/>
      <c r="D370" s="86"/>
      <c r="E370" s="86"/>
    </row>
    <row r="371">
      <c r="C371" s="86"/>
      <c r="D371" s="86"/>
      <c r="E371" s="86"/>
    </row>
    <row r="372">
      <c r="C372" s="86"/>
      <c r="D372" s="86"/>
      <c r="E372" s="86"/>
    </row>
    <row r="373">
      <c r="C373" s="86"/>
      <c r="D373" s="86"/>
      <c r="E373" s="86"/>
    </row>
    <row r="374">
      <c r="C374" s="86"/>
      <c r="D374" s="86"/>
      <c r="E374" s="86"/>
    </row>
    <row r="375">
      <c r="C375" s="86"/>
      <c r="D375" s="86"/>
      <c r="E375" s="86"/>
    </row>
    <row r="376">
      <c r="C376" s="86"/>
      <c r="D376" s="86"/>
      <c r="E376" s="86"/>
    </row>
    <row r="377">
      <c r="C377" s="86"/>
      <c r="D377" s="86"/>
      <c r="E377" s="86"/>
    </row>
    <row r="378">
      <c r="C378" s="86"/>
      <c r="D378" s="86"/>
      <c r="E378" s="86"/>
    </row>
    <row r="379">
      <c r="C379" s="86"/>
      <c r="D379" s="86"/>
      <c r="E379" s="86"/>
    </row>
    <row r="380">
      <c r="C380" s="86"/>
      <c r="D380" s="86"/>
      <c r="E380" s="86"/>
    </row>
    <row r="381">
      <c r="C381" s="86"/>
      <c r="D381" s="86"/>
      <c r="E381" s="86"/>
    </row>
    <row r="382">
      <c r="C382" s="86"/>
      <c r="D382" s="86"/>
      <c r="E382" s="86"/>
    </row>
    <row r="383">
      <c r="C383" s="86"/>
      <c r="D383" s="86"/>
      <c r="E383" s="86"/>
    </row>
    <row r="384">
      <c r="C384" s="86"/>
      <c r="D384" s="86"/>
      <c r="E384" s="86"/>
    </row>
    <row r="385">
      <c r="C385" s="86"/>
      <c r="D385" s="86"/>
      <c r="E385" s="86"/>
    </row>
    <row r="386">
      <c r="C386" s="86"/>
      <c r="D386" s="86"/>
      <c r="E386" s="86"/>
    </row>
    <row r="387">
      <c r="C387" s="86"/>
      <c r="D387" s="86"/>
      <c r="E387" s="86"/>
    </row>
    <row r="388">
      <c r="C388" s="86"/>
      <c r="D388" s="86"/>
      <c r="E388" s="86"/>
    </row>
    <row r="389">
      <c r="C389" s="86"/>
      <c r="D389" s="86"/>
      <c r="E389" s="86"/>
    </row>
    <row r="390">
      <c r="C390" s="86"/>
      <c r="D390" s="86"/>
      <c r="E390" s="86"/>
    </row>
    <row r="391">
      <c r="C391" s="86"/>
      <c r="D391" s="86"/>
      <c r="E391" s="86"/>
    </row>
    <row r="392">
      <c r="C392" s="86"/>
      <c r="D392" s="86"/>
      <c r="E392" s="86"/>
    </row>
    <row r="393">
      <c r="C393" s="86"/>
      <c r="D393" s="86"/>
      <c r="E393" s="86"/>
    </row>
    <row r="394">
      <c r="C394" s="86"/>
      <c r="D394" s="86"/>
      <c r="E394" s="86"/>
    </row>
    <row r="395">
      <c r="C395" s="86"/>
      <c r="D395" s="86"/>
      <c r="E395" s="86"/>
    </row>
    <row r="396">
      <c r="C396" s="86"/>
      <c r="D396" s="86"/>
      <c r="E396" s="86"/>
    </row>
    <row r="397">
      <c r="C397" s="86"/>
      <c r="D397" s="86"/>
      <c r="E397" s="86"/>
    </row>
    <row r="398">
      <c r="C398" s="86"/>
      <c r="D398" s="86"/>
      <c r="E398" s="86"/>
    </row>
    <row r="399">
      <c r="C399" s="86"/>
      <c r="D399" s="86"/>
      <c r="E399" s="86"/>
    </row>
    <row r="400">
      <c r="C400" s="86"/>
      <c r="D400" s="86"/>
      <c r="E400" s="86"/>
    </row>
    <row r="401">
      <c r="C401" s="86"/>
      <c r="D401" s="86"/>
      <c r="E401" s="86"/>
    </row>
    <row r="402">
      <c r="C402" s="86"/>
      <c r="D402" s="86"/>
      <c r="E402" s="86"/>
    </row>
    <row r="403">
      <c r="C403" s="86"/>
      <c r="D403" s="86"/>
      <c r="E403" s="86"/>
    </row>
    <row r="404">
      <c r="C404" s="86"/>
      <c r="D404" s="86"/>
      <c r="E404" s="86"/>
    </row>
    <row r="405">
      <c r="C405" s="86"/>
      <c r="D405" s="86"/>
      <c r="E405" s="86"/>
    </row>
    <row r="406">
      <c r="C406" s="86"/>
      <c r="D406" s="86"/>
      <c r="E406" s="86"/>
    </row>
    <row r="407">
      <c r="C407" s="86"/>
      <c r="D407" s="86"/>
      <c r="E407" s="86"/>
    </row>
    <row r="408">
      <c r="C408" s="86"/>
      <c r="D408" s="86"/>
      <c r="E408" s="86"/>
    </row>
    <row r="409">
      <c r="C409" s="86"/>
      <c r="D409" s="86"/>
      <c r="E409" s="86"/>
    </row>
    <row r="410">
      <c r="C410" s="86"/>
      <c r="D410" s="86"/>
      <c r="E410" s="86"/>
    </row>
    <row r="411">
      <c r="C411" s="86"/>
      <c r="D411" s="86"/>
      <c r="E411" s="86"/>
    </row>
    <row r="412">
      <c r="C412" s="86"/>
      <c r="D412" s="86"/>
      <c r="E412" s="86"/>
    </row>
    <row r="413">
      <c r="C413" s="86"/>
      <c r="D413" s="86"/>
      <c r="E413" s="86"/>
    </row>
    <row r="414">
      <c r="C414" s="86"/>
      <c r="D414" s="86"/>
      <c r="E414" s="86"/>
    </row>
    <row r="415">
      <c r="C415" s="86"/>
      <c r="D415" s="86"/>
      <c r="E415" s="86"/>
    </row>
    <row r="416">
      <c r="C416" s="86"/>
      <c r="D416" s="86"/>
      <c r="E416" s="86"/>
    </row>
    <row r="417">
      <c r="C417" s="86"/>
      <c r="D417" s="86"/>
      <c r="E417" s="86"/>
    </row>
    <row r="418">
      <c r="C418" s="86"/>
      <c r="D418" s="86"/>
      <c r="E418" s="86"/>
    </row>
    <row r="419">
      <c r="C419" s="86"/>
      <c r="D419" s="86"/>
      <c r="E419" s="86"/>
    </row>
    <row r="420">
      <c r="C420" s="86"/>
      <c r="D420" s="86"/>
      <c r="E420" s="86"/>
    </row>
    <row r="421">
      <c r="C421" s="86"/>
      <c r="D421" s="86"/>
      <c r="E421" s="86"/>
    </row>
    <row r="422">
      <c r="C422" s="86"/>
      <c r="D422" s="86"/>
      <c r="E422" s="86"/>
    </row>
    <row r="423">
      <c r="C423" s="86"/>
      <c r="D423" s="86"/>
      <c r="E423" s="86"/>
    </row>
    <row r="424">
      <c r="C424" s="86"/>
      <c r="D424" s="86"/>
      <c r="E424" s="86"/>
    </row>
    <row r="425">
      <c r="C425" s="86"/>
      <c r="D425" s="86"/>
      <c r="E425" s="86"/>
    </row>
    <row r="426">
      <c r="C426" s="86"/>
      <c r="D426" s="86"/>
      <c r="E426" s="86"/>
    </row>
    <row r="427">
      <c r="C427" s="86"/>
      <c r="D427" s="86"/>
      <c r="E427" s="86"/>
    </row>
    <row r="428">
      <c r="C428" s="86"/>
      <c r="D428" s="86"/>
      <c r="E428" s="86"/>
    </row>
    <row r="429">
      <c r="C429" s="86"/>
      <c r="D429" s="86"/>
      <c r="E429" s="86"/>
    </row>
    <row r="430">
      <c r="C430" s="86"/>
      <c r="D430" s="86"/>
      <c r="E430" s="86"/>
    </row>
    <row r="431">
      <c r="C431" s="86"/>
      <c r="D431" s="86"/>
      <c r="E431" s="86"/>
    </row>
    <row r="432">
      <c r="C432" s="86"/>
      <c r="D432" s="86"/>
      <c r="E432" s="86"/>
    </row>
    <row r="433">
      <c r="C433" s="86"/>
      <c r="D433" s="86"/>
      <c r="E433" s="86"/>
    </row>
    <row r="434">
      <c r="C434" s="86"/>
      <c r="D434" s="86"/>
      <c r="E434" s="86"/>
    </row>
    <row r="435">
      <c r="C435" s="86"/>
      <c r="D435" s="86"/>
      <c r="E435" s="86"/>
    </row>
    <row r="436">
      <c r="C436" s="86"/>
      <c r="D436" s="86"/>
      <c r="E436" s="86"/>
    </row>
    <row r="437">
      <c r="C437" s="86"/>
      <c r="D437" s="86"/>
      <c r="E437" s="86"/>
    </row>
    <row r="438">
      <c r="C438" s="86"/>
      <c r="D438" s="86"/>
      <c r="E438" s="86"/>
    </row>
    <row r="439">
      <c r="C439" s="86"/>
      <c r="D439" s="86"/>
      <c r="E439" s="86"/>
    </row>
    <row r="440">
      <c r="C440" s="86"/>
      <c r="D440" s="86"/>
      <c r="E440" s="86"/>
    </row>
    <row r="441">
      <c r="C441" s="86"/>
      <c r="D441" s="86"/>
      <c r="E441" s="86"/>
    </row>
    <row r="442">
      <c r="C442" s="86"/>
      <c r="D442" s="86"/>
      <c r="E442" s="86"/>
    </row>
    <row r="443">
      <c r="C443" s="86"/>
      <c r="D443" s="86"/>
      <c r="E443" s="86"/>
    </row>
    <row r="444">
      <c r="C444" s="86"/>
      <c r="D444" s="86"/>
      <c r="E444" s="86"/>
    </row>
    <row r="445">
      <c r="C445" s="86"/>
      <c r="D445" s="86"/>
      <c r="E445" s="86"/>
    </row>
    <row r="446">
      <c r="C446" s="86"/>
      <c r="D446" s="86"/>
      <c r="E446" s="86"/>
    </row>
    <row r="447">
      <c r="C447" s="86"/>
      <c r="D447" s="86"/>
      <c r="E447" s="86"/>
    </row>
    <row r="448">
      <c r="C448" s="86"/>
      <c r="D448" s="86"/>
      <c r="E448" s="86"/>
    </row>
    <row r="449">
      <c r="C449" s="86"/>
      <c r="D449" s="86"/>
      <c r="E449" s="86"/>
    </row>
    <row r="450">
      <c r="C450" s="86"/>
      <c r="D450" s="86"/>
      <c r="E450" s="86"/>
    </row>
    <row r="451">
      <c r="C451" s="86"/>
      <c r="D451" s="86"/>
      <c r="E451" s="86"/>
    </row>
    <row r="452">
      <c r="C452" s="86"/>
      <c r="D452" s="86"/>
      <c r="E452" s="86"/>
    </row>
    <row r="453">
      <c r="C453" s="86"/>
      <c r="D453" s="86"/>
      <c r="E453" s="86"/>
    </row>
    <row r="454">
      <c r="C454" s="86"/>
      <c r="D454" s="86"/>
      <c r="E454" s="86"/>
    </row>
    <row r="455">
      <c r="C455" s="86"/>
      <c r="D455" s="86"/>
      <c r="E455" s="86"/>
    </row>
    <row r="456">
      <c r="C456" s="86"/>
      <c r="D456" s="86"/>
      <c r="E456" s="86"/>
    </row>
    <row r="457">
      <c r="C457" s="86"/>
      <c r="D457" s="86"/>
      <c r="E457" s="86"/>
    </row>
    <row r="458">
      <c r="C458" s="86"/>
      <c r="D458" s="86"/>
      <c r="E458" s="86"/>
    </row>
    <row r="459">
      <c r="C459" s="86"/>
      <c r="D459" s="86"/>
      <c r="E459" s="86"/>
    </row>
    <row r="460">
      <c r="C460" s="86"/>
      <c r="D460" s="86"/>
      <c r="E460" s="86"/>
    </row>
    <row r="461">
      <c r="C461" s="86"/>
      <c r="D461" s="86"/>
      <c r="E461" s="86"/>
    </row>
    <row r="462">
      <c r="C462" s="86"/>
      <c r="D462" s="86"/>
      <c r="E462" s="86"/>
    </row>
    <row r="463">
      <c r="C463" s="86"/>
      <c r="D463" s="86"/>
      <c r="E463" s="86"/>
    </row>
    <row r="464">
      <c r="C464" s="86"/>
      <c r="D464" s="86"/>
      <c r="E464" s="86"/>
    </row>
    <row r="465">
      <c r="C465" s="86"/>
      <c r="D465" s="86"/>
      <c r="E465" s="86"/>
    </row>
    <row r="466">
      <c r="C466" s="86"/>
      <c r="D466" s="86"/>
      <c r="E466" s="86"/>
    </row>
    <row r="467">
      <c r="C467" s="86"/>
      <c r="D467" s="86"/>
      <c r="E467" s="86"/>
    </row>
    <row r="468">
      <c r="C468" s="86"/>
      <c r="D468" s="86"/>
      <c r="E468" s="86"/>
    </row>
    <row r="469">
      <c r="C469" s="86"/>
      <c r="D469" s="86"/>
      <c r="E469" s="86"/>
    </row>
    <row r="470">
      <c r="C470" s="86"/>
      <c r="D470" s="86"/>
      <c r="E470" s="86"/>
    </row>
    <row r="471">
      <c r="C471" s="86"/>
      <c r="D471" s="86"/>
      <c r="E471" s="86"/>
    </row>
    <row r="472">
      <c r="C472" s="86"/>
      <c r="D472" s="86"/>
      <c r="E472" s="86"/>
    </row>
    <row r="473">
      <c r="C473" s="86"/>
      <c r="D473" s="86"/>
      <c r="E473" s="86"/>
    </row>
    <row r="474">
      <c r="C474" s="86"/>
      <c r="D474" s="86"/>
      <c r="E474" s="86"/>
    </row>
    <row r="475">
      <c r="C475" s="86"/>
      <c r="D475" s="86"/>
      <c r="E475" s="86"/>
    </row>
    <row r="476">
      <c r="C476" s="86"/>
      <c r="D476" s="86"/>
      <c r="E476" s="86"/>
    </row>
    <row r="477">
      <c r="C477" s="86"/>
      <c r="D477" s="86"/>
      <c r="E477" s="86"/>
    </row>
    <row r="478">
      <c r="C478" s="86"/>
      <c r="D478" s="86"/>
      <c r="E478" s="86"/>
    </row>
    <row r="479">
      <c r="C479" s="86"/>
      <c r="D479" s="86"/>
      <c r="E479" s="86"/>
    </row>
    <row r="480">
      <c r="C480" s="86"/>
      <c r="D480" s="86"/>
      <c r="E480" s="86"/>
    </row>
    <row r="481">
      <c r="C481" s="86"/>
      <c r="D481" s="86"/>
      <c r="E481" s="86"/>
    </row>
    <row r="482">
      <c r="C482" s="86"/>
      <c r="D482" s="86"/>
      <c r="E482" s="86"/>
    </row>
    <row r="483">
      <c r="C483" s="86"/>
      <c r="D483" s="86"/>
      <c r="E483" s="86"/>
    </row>
    <row r="484">
      <c r="C484" s="86"/>
      <c r="D484" s="86"/>
      <c r="E484" s="86"/>
    </row>
    <row r="485">
      <c r="C485" s="86"/>
      <c r="D485" s="86"/>
      <c r="E485" s="86"/>
    </row>
    <row r="486">
      <c r="C486" s="86"/>
      <c r="D486" s="86"/>
      <c r="E486" s="86"/>
    </row>
    <row r="487">
      <c r="C487" s="86"/>
      <c r="D487" s="86"/>
      <c r="E487" s="86"/>
    </row>
    <row r="488">
      <c r="C488" s="86"/>
      <c r="D488" s="86"/>
      <c r="E488" s="86"/>
    </row>
    <row r="489">
      <c r="C489" s="86"/>
      <c r="D489" s="86"/>
      <c r="E489" s="86"/>
    </row>
    <row r="490">
      <c r="C490" s="86"/>
      <c r="D490" s="86"/>
      <c r="E490" s="86"/>
    </row>
    <row r="491">
      <c r="C491" s="86"/>
      <c r="D491" s="86"/>
      <c r="E491" s="86"/>
    </row>
    <row r="492">
      <c r="C492" s="86"/>
      <c r="D492" s="86"/>
      <c r="E492" s="86"/>
    </row>
    <row r="493">
      <c r="C493" s="86"/>
      <c r="D493" s="86"/>
      <c r="E493" s="86"/>
    </row>
    <row r="494">
      <c r="C494" s="86"/>
      <c r="D494" s="86"/>
      <c r="E494" s="86"/>
    </row>
    <row r="495">
      <c r="C495" s="86"/>
      <c r="D495" s="86"/>
      <c r="E495" s="86"/>
    </row>
    <row r="496">
      <c r="C496" s="86"/>
      <c r="D496" s="86"/>
      <c r="E496" s="86"/>
    </row>
    <row r="497">
      <c r="C497" s="86"/>
      <c r="D497" s="86"/>
      <c r="E497" s="86"/>
    </row>
    <row r="498">
      <c r="C498" s="86"/>
      <c r="D498" s="86"/>
      <c r="E498" s="86"/>
    </row>
    <row r="499">
      <c r="C499" s="86"/>
      <c r="D499" s="86"/>
      <c r="E499" s="86"/>
    </row>
    <row r="500">
      <c r="C500" s="86"/>
      <c r="D500" s="86"/>
      <c r="E500" s="86"/>
    </row>
    <row r="501">
      <c r="C501" s="86"/>
      <c r="D501" s="86"/>
      <c r="E501" s="86"/>
    </row>
    <row r="502">
      <c r="C502" s="86"/>
      <c r="D502" s="86"/>
      <c r="E502" s="86"/>
    </row>
    <row r="503">
      <c r="C503" s="86"/>
      <c r="D503" s="86"/>
      <c r="E503" s="86"/>
    </row>
    <row r="504">
      <c r="C504" s="86"/>
      <c r="D504" s="86"/>
      <c r="E504" s="86"/>
    </row>
    <row r="505">
      <c r="C505" s="86"/>
      <c r="D505" s="86"/>
      <c r="E505" s="86"/>
    </row>
    <row r="506">
      <c r="C506" s="86"/>
      <c r="D506" s="86"/>
      <c r="E506" s="86"/>
    </row>
    <row r="507">
      <c r="C507" s="86"/>
      <c r="D507" s="86"/>
      <c r="E507" s="86"/>
    </row>
    <row r="508">
      <c r="C508" s="86"/>
      <c r="D508" s="86"/>
      <c r="E508" s="86"/>
    </row>
    <row r="509">
      <c r="C509" s="86"/>
      <c r="D509" s="86"/>
      <c r="E509" s="86"/>
    </row>
    <row r="510">
      <c r="C510" s="86"/>
      <c r="D510" s="86"/>
      <c r="E510" s="86"/>
    </row>
    <row r="511">
      <c r="C511" s="86"/>
      <c r="D511" s="86"/>
      <c r="E511" s="86"/>
    </row>
    <row r="512">
      <c r="C512" s="86"/>
      <c r="D512" s="86"/>
      <c r="E512" s="86"/>
    </row>
    <row r="513">
      <c r="C513" s="86"/>
      <c r="D513" s="86"/>
      <c r="E513" s="86"/>
    </row>
    <row r="514">
      <c r="C514" s="86"/>
      <c r="D514" s="86"/>
      <c r="E514" s="86"/>
    </row>
    <row r="515">
      <c r="C515" s="86"/>
      <c r="D515" s="86"/>
      <c r="E515" s="86"/>
    </row>
    <row r="516">
      <c r="C516" s="86"/>
      <c r="D516" s="86"/>
      <c r="E516" s="86"/>
    </row>
    <row r="517">
      <c r="C517" s="86"/>
      <c r="D517" s="86"/>
      <c r="E517" s="86"/>
    </row>
    <row r="518">
      <c r="C518" s="86"/>
      <c r="D518" s="86"/>
      <c r="E518" s="86"/>
    </row>
    <row r="519">
      <c r="C519" s="86"/>
      <c r="D519" s="86"/>
      <c r="E519" s="86"/>
    </row>
    <row r="520">
      <c r="C520" s="86"/>
      <c r="D520" s="86"/>
      <c r="E520" s="86"/>
    </row>
    <row r="521">
      <c r="C521" s="86"/>
      <c r="D521" s="86"/>
      <c r="E521" s="86"/>
    </row>
    <row r="522">
      <c r="C522" s="86"/>
      <c r="D522" s="86"/>
      <c r="E522" s="86"/>
    </row>
    <row r="523">
      <c r="C523" s="86"/>
      <c r="D523" s="86"/>
      <c r="E523" s="86"/>
    </row>
    <row r="524">
      <c r="C524" s="86"/>
      <c r="D524" s="86"/>
      <c r="E524" s="86"/>
    </row>
    <row r="525">
      <c r="C525" s="86"/>
      <c r="D525" s="86"/>
      <c r="E525" s="86"/>
    </row>
    <row r="526">
      <c r="C526" s="86"/>
      <c r="D526" s="86"/>
      <c r="E526" s="86"/>
    </row>
    <row r="527">
      <c r="C527" s="86"/>
      <c r="D527" s="86"/>
      <c r="E527" s="86"/>
    </row>
    <row r="528">
      <c r="C528" s="86"/>
      <c r="D528" s="86"/>
      <c r="E528" s="86"/>
    </row>
    <row r="529">
      <c r="C529" s="86"/>
      <c r="D529" s="86"/>
      <c r="E529" s="86"/>
    </row>
    <row r="530">
      <c r="C530" s="86"/>
      <c r="D530" s="86"/>
      <c r="E530" s="86"/>
    </row>
    <row r="531">
      <c r="C531" s="86"/>
      <c r="D531" s="86"/>
      <c r="E531" s="86"/>
    </row>
    <row r="532">
      <c r="C532" s="86"/>
      <c r="D532" s="86"/>
      <c r="E532" s="86"/>
    </row>
    <row r="533">
      <c r="C533" s="86"/>
      <c r="D533" s="86"/>
      <c r="E533" s="86"/>
    </row>
    <row r="534">
      <c r="C534" s="86"/>
      <c r="D534" s="86"/>
      <c r="E534" s="86"/>
    </row>
    <row r="535">
      <c r="C535" s="86"/>
      <c r="D535" s="86"/>
      <c r="E535" s="86"/>
    </row>
    <row r="536">
      <c r="C536" s="86"/>
      <c r="D536" s="86"/>
      <c r="E536" s="86"/>
    </row>
    <row r="537">
      <c r="C537" s="86"/>
      <c r="D537" s="86"/>
      <c r="E537" s="86"/>
    </row>
    <row r="538">
      <c r="C538" s="86"/>
      <c r="D538" s="86"/>
      <c r="E538" s="86"/>
    </row>
    <row r="539">
      <c r="C539" s="86"/>
      <c r="D539" s="86"/>
      <c r="E539" s="86"/>
    </row>
    <row r="540">
      <c r="C540" s="86"/>
      <c r="D540" s="86"/>
      <c r="E540" s="86"/>
    </row>
    <row r="541">
      <c r="C541" s="86"/>
      <c r="D541" s="86"/>
      <c r="E541" s="86"/>
    </row>
    <row r="542">
      <c r="C542" s="86"/>
      <c r="D542" s="86"/>
      <c r="E542" s="86"/>
    </row>
    <row r="543">
      <c r="C543" s="86"/>
      <c r="D543" s="86"/>
      <c r="E543" s="86"/>
    </row>
    <row r="544">
      <c r="C544" s="86"/>
      <c r="D544" s="86"/>
      <c r="E544" s="86"/>
    </row>
    <row r="545">
      <c r="C545" s="86"/>
      <c r="D545" s="86"/>
      <c r="E545" s="86"/>
    </row>
    <row r="546">
      <c r="C546" s="86"/>
      <c r="D546" s="86"/>
      <c r="E546" s="86"/>
    </row>
    <row r="547">
      <c r="C547" s="86"/>
      <c r="D547" s="86"/>
      <c r="E547" s="86"/>
    </row>
    <row r="548">
      <c r="C548" s="86"/>
      <c r="D548" s="86"/>
      <c r="E548" s="86"/>
    </row>
    <row r="549">
      <c r="C549" s="86"/>
      <c r="D549" s="86"/>
      <c r="E549" s="86"/>
    </row>
    <row r="550">
      <c r="C550" s="86"/>
      <c r="D550" s="86"/>
      <c r="E550" s="86"/>
    </row>
    <row r="551">
      <c r="C551" s="86"/>
      <c r="D551" s="86"/>
      <c r="E551" s="86"/>
    </row>
    <row r="552">
      <c r="C552" s="86"/>
      <c r="D552" s="86"/>
      <c r="E552" s="86"/>
    </row>
    <row r="553">
      <c r="C553" s="86"/>
      <c r="D553" s="86"/>
      <c r="E553" s="86"/>
    </row>
    <row r="554">
      <c r="C554" s="86"/>
      <c r="D554" s="86"/>
      <c r="E554" s="86"/>
    </row>
    <row r="555">
      <c r="C555" s="86"/>
      <c r="D555" s="86"/>
      <c r="E555" s="86"/>
    </row>
    <row r="556">
      <c r="C556" s="86"/>
      <c r="D556" s="86"/>
      <c r="E556" s="86"/>
    </row>
    <row r="557">
      <c r="C557" s="86"/>
      <c r="D557" s="86"/>
      <c r="E557" s="86"/>
    </row>
    <row r="558">
      <c r="C558" s="86"/>
      <c r="D558" s="86"/>
      <c r="E558" s="86"/>
    </row>
    <row r="559">
      <c r="C559" s="86"/>
      <c r="D559" s="86"/>
      <c r="E559" s="86"/>
    </row>
    <row r="560">
      <c r="C560" s="86"/>
      <c r="D560" s="86"/>
      <c r="E560" s="86"/>
    </row>
    <row r="561">
      <c r="C561" s="86"/>
      <c r="D561" s="86"/>
      <c r="E561" s="86"/>
    </row>
    <row r="562">
      <c r="C562" s="86"/>
      <c r="D562" s="86"/>
      <c r="E562" s="86"/>
    </row>
    <row r="563">
      <c r="C563" s="86"/>
      <c r="D563" s="86"/>
      <c r="E563" s="86"/>
    </row>
    <row r="564">
      <c r="C564" s="86"/>
      <c r="D564" s="86"/>
      <c r="E564" s="86"/>
    </row>
    <row r="565">
      <c r="C565" s="86"/>
      <c r="D565" s="86"/>
      <c r="E565" s="86"/>
    </row>
    <row r="566">
      <c r="C566" s="86"/>
      <c r="D566" s="86"/>
      <c r="E566" s="86"/>
    </row>
    <row r="567">
      <c r="C567" s="86"/>
      <c r="D567" s="86"/>
      <c r="E567" s="86"/>
    </row>
    <row r="568">
      <c r="C568" s="86"/>
      <c r="D568" s="86"/>
      <c r="E568" s="86"/>
    </row>
    <row r="569">
      <c r="C569" s="86"/>
      <c r="D569" s="86"/>
      <c r="E569" s="86"/>
    </row>
    <row r="570">
      <c r="C570" s="86"/>
      <c r="D570" s="86"/>
      <c r="E570" s="86"/>
    </row>
    <row r="571">
      <c r="C571" s="86"/>
      <c r="D571" s="86"/>
      <c r="E571" s="86"/>
    </row>
    <row r="572">
      <c r="C572" s="86"/>
      <c r="D572" s="86"/>
      <c r="E572" s="86"/>
    </row>
    <row r="573">
      <c r="C573" s="86"/>
      <c r="D573" s="86"/>
      <c r="E573" s="86"/>
    </row>
    <row r="574">
      <c r="C574" s="86"/>
      <c r="D574" s="86"/>
      <c r="E574" s="86"/>
    </row>
    <row r="575">
      <c r="C575" s="86"/>
      <c r="D575" s="86"/>
      <c r="E575" s="86"/>
    </row>
    <row r="576">
      <c r="C576" s="86"/>
      <c r="D576" s="86"/>
      <c r="E576" s="86"/>
    </row>
    <row r="577">
      <c r="C577" s="86"/>
      <c r="D577" s="86"/>
      <c r="E577" s="86"/>
    </row>
    <row r="578">
      <c r="C578" s="86"/>
      <c r="D578" s="86"/>
      <c r="E578" s="86"/>
    </row>
    <row r="579">
      <c r="C579" s="86"/>
      <c r="D579" s="86"/>
      <c r="E579" s="86"/>
    </row>
    <row r="580">
      <c r="C580" s="86"/>
      <c r="D580" s="86"/>
      <c r="E580" s="86"/>
    </row>
    <row r="581">
      <c r="C581" s="86"/>
      <c r="D581" s="86"/>
      <c r="E581" s="86"/>
    </row>
    <row r="582">
      <c r="C582" s="86"/>
      <c r="D582" s="86"/>
      <c r="E582" s="86"/>
    </row>
    <row r="583">
      <c r="C583" s="86"/>
      <c r="D583" s="86"/>
      <c r="E583" s="86"/>
    </row>
    <row r="584">
      <c r="C584" s="86"/>
      <c r="D584" s="86"/>
      <c r="E584" s="86"/>
    </row>
    <row r="585">
      <c r="C585" s="86"/>
      <c r="D585" s="86"/>
      <c r="E585" s="86"/>
    </row>
    <row r="586">
      <c r="C586" s="86"/>
      <c r="D586" s="86"/>
      <c r="E586" s="86"/>
    </row>
    <row r="587">
      <c r="C587" s="86"/>
      <c r="D587" s="86"/>
      <c r="E587" s="86"/>
    </row>
    <row r="588">
      <c r="C588" s="86"/>
      <c r="D588" s="86"/>
      <c r="E588" s="86"/>
    </row>
    <row r="589">
      <c r="C589" s="86"/>
      <c r="D589" s="86"/>
      <c r="E589" s="86"/>
    </row>
    <row r="590">
      <c r="C590" s="86"/>
      <c r="D590" s="86"/>
      <c r="E590" s="86"/>
    </row>
    <row r="591">
      <c r="C591" s="86"/>
      <c r="D591" s="86"/>
      <c r="E591" s="86"/>
    </row>
    <row r="592">
      <c r="C592" s="86"/>
      <c r="D592" s="86"/>
      <c r="E592" s="86"/>
    </row>
    <row r="593">
      <c r="C593" s="86"/>
      <c r="D593" s="86"/>
      <c r="E593" s="86"/>
    </row>
    <row r="594">
      <c r="C594" s="86"/>
      <c r="D594" s="86"/>
      <c r="E594" s="86"/>
    </row>
    <row r="595">
      <c r="C595" s="86"/>
      <c r="D595" s="86"/>
      <c r="E595" s="86"/>
    </row>
    <row r="596">
      <c r="C596" s="86"/>
      <c r="D596" s="86"/>
      <c r="E596" s="86"/>
    </row>
    <row r="597">
      <c r="C597" s="86"/>
      <c r="D597" s="86"/>
      <c r="E597" s="86"/>
    </row>
    <row r="598">
      <c r="C598" s="86"/>
      <c r="D598" s="86"/>
      <c r="E598" s="86"/>
    </row>
    <row r="599">
      <c r="C599" s="86"/>
      <c r="D599" s="86"/>
      <c r="E599" s="86"/>
    </row>
    <row r="600">
      <c r="C600" s="86"/>
      <c r="D600" s="86"/>
      <c r="E600" s="86"/>
    </row>
    <row r="601">
      <c r="C601" s="86"/>
      <c r="D601" s="86"/>
      <c r="E601" s="86"/>
    </row>
    <row r="602">
      <c r="C602" s="86"/>
      <c r="D602" s="86"/>
      <c r="E602" s="86"/>
    </row>
    <row r="603">
      <c r="C603" s="86"/>
      <c r="D603" s="86"/>
      <c r="E603" s="86"/>
    </row>
    <row r="604">
      <c r="C604" s="86"/>
      <c r="D604" s="86"/>
      <c r="E604" s="86"/>
    </row>
    <row r="605">
      <c r="C605" s="86"/>
      <c r="D605" s="86"/>
      <c r="E605" s="86"/>
    </row>
    <row r="606">
      <c r="C606" s="86"/>
      <c r="D606" s="86"/>
      <c r="E606" s="86"/>
    </row>
    <row r="607">
      <c r="C607" s="86"/>
      <c r="D607" s="86"/>
      <c r="E607" s="86"/>
    </row>
    <row r="608">
      <c r="C608" s="86"/>
      <c r="D608" s="86"/>
      <c r="E608" s="86"/>
    </row>
    <row r="609">
      <c r="C609" s="86"/>
      <c r="D609" s="86"/>
      <c r="E609" s="86"/>
    </row>
    <row r="610">
      <c r="C610" s="86"/>
      <c r="D610" s="86"/>
      <c r="E610" s="86"/>
    </row>
    <row r="611">
      <c r="C611" s="86"/>
      <c r="D611" s="86"/>
      <c r="E611" s="86"/>
    </row>
    <row r="612">
      <c r="C612" s="86"/>
      <c r="D612" s="86"/>
      <c r="E612" s="86"/>
    </row>
    <row r="613">
      <c r="C613" s="86"/>
      <c r="D613" s="86"/>
      <c r="E613" s="86"/>
    </row>
    <row r="614">
      <c r="C614" s="86"/>
      <c r="D614" s="86"/>
      <c r="E614" s="86"/>
    </row>
    <row r="615">
      <c r="C615" s="86"/>
      <c r="D615" s="86"/>
      <c r="E615" s="86"/>
    </row>
    <row r="616">
      <c r="C616" s="86"/>
      <c r="D616" s="86"/>
      <c r="E616" s="86"/>
    </row>
    <row r="617">
      <c r="C617" s="86"/>
      <c r="D617" s="86"/>
      <c r="E617" s="86"/>
    </row>
    <row r="618">
      <c r="C618" s="86"/>
      <c r="D618" s="86"/>
      <c r="E618" s="86"/>
    </row>
    <row r="619">
      <c r="C619" s="86"/>
      <c r="D619" s="86"/>
      <c r="E619" s="86"/>
    </row>
    <row r="620">
      <c r="C620" s="86"/>
      <c r="D620" s="86"/>
      <c r="E620" s="86"/>
    </row>
    <row r="621">
      <c r="C621" s="86"/>
      <c r="D621" s="86"/>
      <c r="E621" s="86"/>
    </row>
    <row r="622">
      <c r="C622" s="86"/>
      <c r="D622" s="86"/>
      <c r="E622" s="86"/>
    </row>
    <row r="623">
      <c r="C623" s="86"/>
      <c r="D623" s="86"/>
      <c r="E623" s="86"/>
    </row>
    <row r="624">
      <c r="C624" s="86"/>
      <c r="D624" s="86"/>
      <c r="E624" s="86"/>
    </row>
    <row r="625">
      <c r="C625" s="86"/>
      <c r="D625" s="86"/>
      <c r="E625" s="86"/>
    </row>
    <row r="626">
      <c r="C626" s="86"/>
      <c r="D626" s="86"/>
      <c r="E626" s="86"/>
    </row>
    <row r="627">
      <c r="C627" s="86"/>
      <c r="D627" s="86"/>
      <c r="E627" s="86"/>
    </row>
    <row r="628">
      <c r="C628" s="86"/>
      <c r="D628" s="86"/>
      <c r="E628" s="86"/>
    </row>
    <row r="629">
      <c r="C629" s="86"/>
      <c r="D629" s="86"/>
      <c r="E629" s="86"/>
    </row>
    <row r="630">
      <c r="C630" s="86"/>
      <c r="D630" s="86"/>
      <c r="E630" s="86"/>
    </row>
    <row r="631">
      <c r="C631" s="86"/>
      <c r="D631" s="86"/>
      <c r="E631" s="86"/>
    </row>
    <row r="632">
      <c r="C632" s="86"/>
      <c r="D632" s="86"/>
      <c r="E632" s="86"/>
    </row>
    <row r="633">
      <c r="C633" s="86"/>
      <c r="D633" s="86"/>
      <c r="E633" s="86"/>
    </row>
    <row r="634">
      <c r="C634" s="86"/>
      <c r="D634" s="86"/>
      <c r="E634" s="86"/>
    </row>
    <row r="635">
      <c r="C635" s="86"/>
      <c r="D635" s="86"/>
      <c r="E635" s="86"/>
    </row>
    <row r="636">
      <c r="C636" s="86"/>
      <c r="D636" s="86"/>
      <c r="E636" s="86"/>
    </row>
    <row r="637">
      <c r="C637" s="86"/>
      <c r="D637" s="86"/>
      <c r="E637" s="86"/>
    </row>
    <row r="638">
      <c r="C638" s="86"/>
      <c r="D638" s="86"/>
      <c r="E638" s="86"/>
    </row>
    <row r="639">
      <c r="C639" s="86"/>
      <c r="D639" s="86"/>
      <c r="E639" s="86"/>
    </row>
    <row r="640">
      <c r="C640" s="86"/>
      <c r="D640" s="86"/>
      <c r="E640" s="86"/>
    </row>
    <row r="641">
      <c r="C641" s="86"/>
      <c r="D641" s="86"/>
      <c r="E641" s="86"/>
    </row>
    <row r="642">
      <c r="C642" s="86"/>
      <c r="D642" s="86"/>
      <c r="E642" s="86"/>
    </row>
    <row r="643">
      <c r="C643" s="86"/>
      <c r="D643" s="86"/>
      <c r="E643" s="86"/>
    </row>
    <row r="644">
      <c r="C644" s="86"/>
      <c r="D644" s="86"/>
      <c r="E644" s="86"/>
    </row>
    <row r="645">
      <c r="C645" s="86"/>
      <c r="D645" s="86"/>
      <c r="E645" s="86"/>
    </row>
    <row r="646">
      <c r="C646" s="86"/>
      <c r="D646" s="86"/>
      <c r="E646" s="86"/>
    </row>
    <row r="647">
      <c r="C647" s="86"/>
      <c r="D647" s="86"/>
      <c r="E647" s="86"/>
    </row>
    <row r="648">
      <c r="C648" s="86"/>
      <c r="D648" s="86"/>
      <c r="E648" s="86"/>
    </row>
    <row r="649">
      <c r="C649" s="86"/>
      <c r="D649" s="86"/>
      <c r="E649" s="86"/>
    </row>
    <row r="650">
      <c r="C650" s="86"/>
      <c r="D650" s="86"/>
      <c r="E650" s="86"/>
    </row>
    <row r="651">
      <c r="C651" s="86"/>
      <c r="D651" s="86"/>
      <c r="E651" s="86"/>
    </row>
    <row r="652">
      <c r="C652" s="86"/>
      <c r="D652" s="86"/>
      <c r="E652" s="86"/>
    </row>
    <row r="653">
      <c r="C653" s="86"/>
      <c r="D653" s="86"/>
      <c r="E653" s="86"/>
    </row>
    <row r="654">
      <c r="C654" s="86"/>
      <c r="D654" s="86"/>
      <c r="E654" s="86"/>
    </row>
    <row r="655">
      <c r="C655" s="86"/>
      <c r="D655" s="86"/>
      <c r="E655" s="86"/>
    </row>
    <row r="656">
      <c r="C656" s="86"/>
      <c r="D656" s="86"/>
      <c r="E656" s="86"/>
    </row>
    <row r="657">
      <c r="C657" s="86"/>
      <c r="D657" s="86"/>
      <c r="E657" s="86"/>
    </row>
    <row r="658">
      <c r="C658" s="86"/>
      <c r="D658" s="86"/>
      <c r="E658" s="86"/>
    </row>
    <row r="659">
      <c r="C659" s="86"/>
      <c r="D659" s="86"/>
      <c r="E659" s="86"/>
    </row>
    <row r="660">
      <c r="C660" s="86"/>
      <c r="D660" s="86"/>
      <c r="E660" s="86"/>
    </row>
    <row r="661">
      <c r="C661" s="86"/>
      <c r="D661" s="86"/>
      <c r="E661" s="86"/>
    </row>
    <row r="662">
      <c r="C662" s="86"/>
      <c r="D662" s="86"/>
      <c r="E662" s="86"/>
    </row>
    <row r="663">
      <c r="C663" s="86"/>
      <c r="D663" s="86"/>
      <c r="E663" s="86"/>
    </row>
    <row r="664">
      <c r="C664" s="86"/>
      <c r="D664" s="86"/>
      <c r="E664" s="86"/>
    </row>
    <row r="665">
      <c r="C665" s="86"/>
      <c r="D665" s="86"/>
      <c r="E665" s="86"/>
    </row>
    <row r="666">
      <c r="C666" s="86"/>
      <c r="D666" s="86"/>
      <c r="E666" s="86"/>
    </row>
    <row r="667">
      <c r="C667" s="86"/>
      <c r="D667" s="86"/>
      <c r="E667" s="86"/>
    </row>
    <row r="668">
      <c r="C668" s="86"/>
      <c r="D668" s="86"/>
      <c r="E668" s="86"/>
    </row>
    <row r="669">
      <c r="C669" s="86"/>
      <c r="D669" s="86"/>
      <c r="E669" s="86"/>
    </row>
    <row r="670">
      <c r="C670" s="86"/>
      <c r="D670" s="86"/>
      <c r="E670" s="86"/>
    </row>
    <row r="671">
      <c r="C671" s="86"/>
      <c r="D671" s="86"/>
      <c r="E671" s="86"/>
    </row>
    <row r="672">
      <c r="C672" s="86"/>
      <c r="D672" s="86"/>
      <c r="E672" s="86"/>
    </row>
    <row r="673">
      <c r="C673" s="86"/>
      <c r="D673" s="86"/>
      <c r="E673" s="86"/>
    </row>
    <row r="674">
      <c r="C674" s="86"/>
      <c r="D674" s="86"/>
      <c r="E674" s="86"/>
    </row>
    <row r="675">
      <c r="C675" s="86"/>
      <c r="D675" s="86"/>
      <c r="E675" s="86"/>
    </row>
    <row r="676">
      <c r="C676" s="86"/>
      <c r="D676" s="86"/>
      <c r="E676" s="86"/>
    </row>
    <row r="677">
      <c r="C677" s="86"/>
      <c r="D677" s="86"/>
      <c r="E677" s="86"/>
    </row>
    <row r="678">
      <c r="C678" s="86"/>
      <c r="D678" s="86"/>
      <c r="E678" s="86"/>
    </row>
    <row r="679">
      <c r="C679" s="86"/>
      <c r="D679" s="86"/>
      <c r="E679" s="86"/>
    </row>
    <row r="680">
      <c r="C680" s="86"/>
      <c r="D680" s="86"/>
      <c r="E680" s="86"/>
    </row>
    <row r="681">
      <c r="C681" s="86"/>
      <c r="D681" s="86"/>
      <c r="E681" s="86"/>
    </row>
    <row r="682">
      <c r="C682" s="86"/>
      <c r="D682" s="86"/>
      <c r="E682" s="86"/>
    </row>
    <row r="683">
      <c r="C683" s="86"/>
      <c r="D683" s="86"/>
      <c r="E683" s="86"/>
    </row>
    <row r="684">
      <c r="C684" s="86"/>
      <c r="D684" s="86"/>
      <c r="E684" s="86"/>
    </row>
    <row r="685">
      <c r="C685" s="86"/>
      <c r="D685" s="86"/>
      <c r="E685" s="86"/>
    </row>
    <row r="686">
      <c r="C686" s="86"/>
      <c r="D686" s="86"/>
      <c r="E686" s="86"/>
    </row>
    <row r="687">
      <c r="C687" s="86"/>
      <c r="D687" s="86"/>
      <c r="E687" s="86"/>
    </row>
    <row r="688">
      <c r="C688" s="86"/>
      <c r="D688" s="86"/>
      <c r="E688" s="86"/>
    </row>
    <row r="689">
      <c r="C689" s="86"/>
      <c r="D689" s="86"/>
      <c r="E689" s="86"/>
    </row>
    <row r="690">
      <c r="C690" s="86"/>
      <c r="D690" s="86"/>
      <c r="E690" s="86"/>
    </row>
    <row r="691">
      <c r="C691" s="86"/>
      <c r="D691" s="86"/>
      <c r="E691" s="86"/>
    </row>
    <row r="692">
      <c r="C692" s="86"/>
      <c r="D692" s="86"/>
      <c r="E692" s="86"/>
    </row>
    <row r="693">
      <c r="C693" s="86"/>
      <c r="D693" s="86"/>
      <c r="E693" s="86"/>
    </row>
    <row r="694">
      <c r="C694" s="86"/>
      <c r="D694" s="86"/>
      <c r="E694" s="86"/>
    </row>
    <row r="695">
      <c r="C695" s="86"/>
      <c r="D695" s="86"/>
      <c r="E695" s="86"/>
    </row>
    <row r="696">
      <c r="C696" s="86"/>
      <c r="D696" s="86"/>
      <c r="E696" s="86"/>
    </row>
    <row r="697">
      <c r="C697" s="86"/>
      <c r="D697" s="86"/>
      <c r="E697" s="86"/>
    </row>
    <row r="698">
      <c r="C698" s="86"/>
      <c r="D698" s="86"/>
      <c r="E698" s="86"/>
    </row>
    <row r="699">
      <c r="C699" s="86"/>
      <c r="D699" s="86"/>
      <c r="E699" s="86"/>
    </row>
    <row r="700">
      <c r="C700" s="86"/>
      <c r="D700" s="86"/>
      <c r="E700" s="86"/>
    </row>
    <row r="701">
      <c r="C701" s="86"/>
      <c r="D701" s="86"/>
      <c r="E701" s="86"/>
    </row>
    <row r="702">
      <c r="C702" s="86"/>
      <c r="D702" s="86"/>
      <c r="E702" s="86"/>
    </row>
    <row r="703">
      <c r="C703" s="86"/>
      <c r="D703" s="86"/>
      <c r="E703" s="86"/>
    </row>
    <row r="704">
      <c r="C704" s="86"/>
      <c r="D704" s="86"/>
      <c r="E704" s="86"/>
    </row>
    <row r="705">
      <c r="C705" s="86"/>
      <c r="D705" s="86"/>
      <c r="E705" s="86"/>
    </row>
    <row r="706">
      <c r="C706" s="86"/>
      <c r="D706" s="86"/>
      <c r="E706" s="86"/>
    </row>
    <row r="707">
      <c r="C707" s="86"/>
      <c r="D707" s="86"/>
      <c r="E707" s="86"/>
    </row>
    <row r="708">
      <c r="C708" s="86"/>
      <c r="D708" s="86"/>
      <c r="E708" s="86"/>
    </row>
    <row r="709">
      <c r="C709" s="86"/>
      <c r="D709" s="86"/>
      <c r="E709" s="86"/>
    </row>
    <row r="710">
      <c r="C710" s="86"/>
      <c r="D710" s="86"/>
      <c r="E710" s="86"/>
    </row>
    <row r="711">
      <c r="C711" s="86"/>
      <c r="D711" s="86"/>
      <c r="E711" s="86"/>
    </row>
    <row r="712">
      <c r="C712" s="86"/>
      <c r="D712" s="86"/>
      <c r="E712" s="86"/>
    </row>
    <row r="713">
      <c r="C713" s="86"/>
      <c r="D713" s="86"/>
      <c r="E713" s="86"/>
    </row>
    <row r="714">
      <c r="C714" s="86"/>
      <c r="D714" s="86"/>
      <c r="E714" s="86"/>
    </row>
    <row r="715">
      <c r="C715" s="86"/>
      <c r="D715" s="86"/>
      <c r="E715" s="86"/>
    </row>
    <row r="716">
      <c r="C716" s="86"/>
      <c r="D716" s="86"/>
      <c r="E716" s="86"/>
    </row>
    <row r="717">
      <c r="C717" s="86"/>
      <c r="D717" s="86"/>
      <c r="E717" s="86"/>
    </row>
    <row r="718">
      <c r="C718" s="86"/>
      <c r="D718" s="86"/>
      <c r="E718" s="86"/>
    </row>
    <row r="719">
      <c r="C719" s="86"/>
      <c r="D719" s="86"/>
      <c r="E719" s="86"/>
    </row>
    <row r="720">
      <c r="C720" s="86"/>
      <c r="D720" s="86"/>
      <c r="E720" s="86"/>
    </row>
    <row r="721">
      <c r="C721" s="86"/>
      <c r="D721" s="86"/>
      <c r="E721" s="86"/>
    </row>
    <row r="722">
      <c r="C722" s="86"/>
      <c r="D722" s="86"/>
      <c r="E722" s="86"/>
    </row>
    <row r="723">
      <c r="C723" s="86"/>
      <c r="D723" s="86"/>
      <c r="E723" s="86"/>
    </row>
    <row r="724">
      <c r="C724" s="86"/>
      <c r="D724" s="86"/>
      <c r="E724" s="86"/>
    </row>
    <row r="725">
      <c r="C725" s="86"/>
      <c r="D725" s="86"/>
      <c r="E725" s="86"/>
    </row>
    <row r="726">
      <c r="C726" s="86"/>
      <c r="D726" s="86"/>
      <c r="E726" s="86"/>
    </row>
    <row r="727">
      <c r="C727" s="86"/>
      <c r="D727" s="86"/>
      <c r="E727" s="86"/>
    </row>
    <row r="728">
      <c r="C728" s="86"/>
      <c r="D728" s="86"/>
      <c r="E728" s="86"/>
    </row>
    <row r="729">
      <c r="C729" s="86"/>
      <c r="D729" s="86"/>
      <c r="E729" s="86"/>
    </row>
    <row r="730">
      <c r="C730" s="86"/>
      <c r="D730" s="86"/>
      <c r="E730" s="86"/>
    </row>
    <row r="731">
      <c r="C731" s="86"/>
      <c r="D731" s="86"/>
      <c r="E731" s="86"/>
    </row>
    <row r="732">
      <c r="C732" s="86"/>
      <c r="D732" s="86"/>
      <c r="E732" s="86"/>
    </row>
    <row r="733">
      <c r="C733" s="86"/>
      <c r="D733" s="86"/>
      <c r="E733" s="86"/>
    </row>
    <row r="734">
      <c r="C734" s="86"/>
      <c r="D734" s="86"/>
      <c r="E734" s="86"/>
    </row>
    <row r="735">
      <c r="C735" s="86"/>
      <c r="D735" s="86"/>
      <c r="E735" s="86"/>
    </row>
    <row r="736">
      <c r="C736" s="86"/>
      <c r="D736" s="86"/>
      <c r="E736" s="86"/>
    </row>
    <row r="737">
      <c r="C737" s="86"/>
      <c r="D737" s="86"/>
      <c r="E737" s="86"/>
    </row>
    <row r="738">
      <c r="C738" s="86"/>
      <c r="D738" s="86"/>
      <c r="E738" s="86"/>
    </row>
    <row r="739">
      <c r="C739" s="86"/>
      <c r="D739" s="86"/>
      <c r="E739" s="86"/>
    </row>
    <row r="740">
      <c r="C740" s="86"/>
      <c r="D740" s="86"/>
      <c r="E740" s="86"/>
    </row>
    <row r="741">
      <c r="C741" s="86"/>
      <c r="D741" s="86"/>
      <c r="E741" s="86"/>
    </row>
    <row r="742">
      <c r="C742" s="86"/>
      <c r="D742" s="86"/>
      <c r="E742" s="86"/>
    </row>
    <row r="743">
      <c r="C743" s="86"/>
      <c r="D743" s="86"/>
      <c r="E743" s="86"/>
    </row>
    <row r="744">
      <c r="C744" s="86"/>
      <c r="D744" s="86"/>
      <c r="E744" s="86"/>
    </row>
    <row r="745">
      <c r="C745" s="86"/>
      <c r="D745" s="86"/>
      <c r="E745" s="86"/>
    </row>
    <row r="746">
      <c r="C746" s="86"/>
      <c r="D746" s="86"/>
      <c r="E746" s="86"/>
    </row>
    <row r="747">
      <c r="C747" s="86"/>
      <c r="D747" s="86"/>
      <c r="E747" s="86"/>
    </row>
    <row r="748">
      <c r="C748" s="86"/>
      <c r="D748" s="86"/>
      <c r="E748" s="86"/>
    </row>
    <row r="749">
      <c r="C749" s="86"/>
      <c r="D749" s="86"/>
      <c r="E749" s="86"/>
    </row>
    <row r="750">
      <c r="C750" s="86"/>
      <c r="D750" s="86"/>
      <c r="E750" s="86"/>
    </row>
    <row r="751">
      <c r="C751" s="86"/>
      <c r="D751" s="86"/>
      <c r="E751" s="86"/>
    </row>
    <row r="752">
      <c r="C752" s="86"/>
      <c r="D752" s="86"/>
      <c r="E752" s="86"/>
    </row>
    <row r="753">
      <c r="C753" s="86"/>
      <c r="D753" s="86"/>
      <c r="E753" s="86"/>
    </row>
    <row r="754">
      <c r="C754" s="86"/>
      <c r="D754" s="86"/>
      <c r="E754" s="86"/>
    </row>
    <row r="755">
      <c r="C755" s="86"/>
      <c r="D755" s="86"/>
      <c r="E755" s="86"/>
    </row>
    <row r="756">
      <c r="C756" s="86"/>
      <c r="D756" s="86"/>
      <c r="E756" s="86"/>
    </row>
    <row r="757">
      <c r="C757" s="86"/>
      <c r="D757" s="86"/>
      <c r="E757" s="86"/>
    </row>
    <row r="758">
      <c r="C758" s="86"/>
      <c r="D758" s="86"/>
      <c r="E758" s="86"/>
    </row>
    <row r="759">
      <c r="C759" s="86"/>
      <c r="D759" s="86"/>
      <c r="E759" s="86"/>
    </row>
    <row r="760">
      <c r="C760" s="86"/>
      <c r="D760" s="86"/>
      <c r="E760" s="86"/>
    </row>
    <row r="761">
      <c r="C761" s="86"/>
      <c r="D761" s="86"/>
      <c r="E761" s="86"/>
    </row>
    <row r="762">
      <c r="C762" s="86"/>
      <c r="D762" s="86"/>
      <c r="E762" s="86"/>
    </row>
    <row r="763">
      <c r="C763" s="86"/>
      <c r="D763" s="86"/>
      <c r="E763" s="86"/>
    </row>
    <row r="764">
      <c r="C764" s="86"/>
      <c r="D764" s="86"/>
      <c r="E764" s="86"/>
    </row>
    <row r="765">
      <c r="C765" s="86"/>
      <c r="D765" s="86"/>
      <c r="E765" s="86"/>
    </row>
    <row r="766">
      <c r="C766" s="86"/>
      <c r="D766" s="86"/>
      <c r="E766" s="86"/>
    </row>
    <row r="767">
      <c r="C767" s="86"/>
      <c r="D767" s="86"/>
      <c r="E767" s="86"/>
    </row>
    <row r="768">
      <c r="C768" s="86"/>
      <c r="D768" s="86"/>
      <c r="E768" s="86"/>
    </row>
    <row r="769">
      <c r="C769" s="86"/>
      <c r="D769" s="86"/>
      <c r="E769" s="86"/>
    </row>
    <row r="770">
      <c r="C770" s="86"/>
      <c r="D770" s="86"/>
      <c r="E770" s="86"/>
    </row>
    <row r="771">
      <c r="C771" s="86"/>
      <c r="D771" s="86"/>
      <c r="E771" s="86"/>
    </row>
    <row r="772">
      <c r="C772" s="86"/>
      <c r="D772" s="86"/>
      <c r="E772" s="86"/>
    </row>
    <row r="773">
      <c r="C773" s="86"/>
      <c r="D773" s="86"/>
      <c r="E773" s="86"/>
    </row>
    <row r="774">
      <c r="C774" s="86"/>
      <c r="D774" s="86"/>
      <c r="E774" s="86"/>
    </row>
    <row r="775">
      <c r="C775" s="86"/>
      <c r="D775" s="86"/>
      <c r="E775" s="86"/>
    </row>
    <row r="776">
      <c r="C776" s="86"/>
      <c r="D776" s="86"/>
      <c r="E776" s="86"/>
    </row>
    <row r="777">
      <c r="C777" s="86"/>
      <c r="D777" s="86"/>
      <c r="E777" s="86"/>
    </row>
    <row r="778">
      <c r="C778" s="86"/>
      <c r="D778" s="86"/>
      <c r="E778" s="86"/>
    </row>
    <row r="779">
      <c r="C779" s="86"/>
      <c r="D779" s="86"/>
      <c r="E779" s="86"/>
    </row>
    <row r="780">
      <c r="C780" s="86"/>
      <c r="D780" s="86"/>
      <c r="E780" s="86"/>
    </row>
    <row r="781">
      <c r="C781" s="86"/>
      <c r="D781" s="86"/>
      <c r="E781" s="86"/>
    </row>
    <row r="782">
      <c r="C782" s="86"/>
      <c r="D782" s="86"/>
      <c r="E782" s="86"/>
    </row>
    <row r="783">
      <c r="C783" s="86"/>
      <c r="D783" s="86"/>
      <c r="E783" s="86"/>
    </row>
    <row r="784">
      <c r="C784" s="86"/>
      <c r="D784" s="86"/>
      <c r="E784" s="86"/>
    </row>
    <row r="785">
      <c r="C785" s="86"/>
      <c r="D785" s="86"/>
      <c r="E785" s="86"/>
    </row>
    <row r="786">
      <c r="C786" s="86"/>
      <c r="D786" s="86"/>
      <c r="E786" s="86"/>
    </row>
    <row r="787">
      <c r="C787" s="86"/>
      <c r="D787" s="86"/>
      <c r="E787" s="86"/>
    </row>
    <row r="788">
      <c r="C788" s="86"/>
      <c r="D788" s="86"/>
      <c r="E788" s="86"/>
    </row>
    <row r="789">
      <c r="C789" s="86"/>
      <c r="D789" s="86"/>
      <c r="E789" s="86"/>
    </row>
    <row r="790">
      <c r="C790" s="86"/>
      <c r="D790" s="86"/>
      <c r="E790" s="86"/>
    </row>
    <row r="791">
      <c r="C791" s="86"/>
      <c r="D791" s="86"/>
      <c r="E791" s="86"/>
    </row>
    <row r="792">
      <c r="C792" s="86"/>
      <c r="D792" s="86"/>
      <c r="E792" s="86"/>
    </row>
    <row r="793">
      <c r="C793" s="86"/>
      <c r="D793" s="86"/>
      <c r="E793" s="86"/>
    </row>
    <row r="794">
      <c r="C794" s="86"/>
      <c r="D794" s="86"/>
      <c r="E794" s="86"/>
    </row>
    <row r="795">
      <c r="C795" s="86"/>
      <c r="D795" s="86"/>
      <c r="E795" s="86"/>
    </row>
    <row r="796">
      <c r="C796" s="86"/>
      <c r="D796" s="86"/>
      <c r="E796" s="86"/>
    </row>
    <row r="797">
      <c r="C797" s="86"/>
      <c r="D797" s="86"/>
      <c r="E797" s="86"/>
    </row>
    <row r="798">
      <c r="C798" s="86"/>
      <c r="D798" s="86"/>
      <c r="E798" s="86"/>
    </row>
    <row r="799">
      <c r="C799" s="86"/>
      <c r="D799" s="86"/>
      <c r="E799" s="86"/>
    </row>
    <row r="800">
      <c r="C800" s="86"/>
      <c r="D800" s="86"/>
      <c r="E800" s="86"/>
    </row>
    <row r="801">
      <c r="C801" s="86"/>
      <c r="D801" s="86"/>
      <c r="E801" s="86"/>
    </row>
    <row r="802">
      <c r="C802" s="86"/>
      <c r="D802" s="86"/>
      <c r="E802" s="86"/>
    </row>
    <row r="803">
      <c r="C803" s="86"/>
      <c r="D803" s="86"/>
      <c r="E803" s="86"/>
    </row>
    <row r="804">
      <c r="C804" s="86"/>
      <c r="D804" s="86"/>
      <c r="E804" s="86"/>
    </row>
    <row r="805">
      <c r="C805" s="86"/>
      <c r="D805" s="86"/>
      <c r="E805" s="86"/>
    </row>
    <row r="806">
      <c r="C806" s="86"/>
      <c r="D806" s="86"/>
      <c r="E806" s="86"/>
    </row>
    <row r="807">
      <c r="C807" s="86"/>
      <c r="D807" s="86"/>
      <c r="E807" s="86"/>
    </row>
    <row r="808">
      <c r="C808" s="86"/>
      <c r="D808" s="86"/>
      <c r="E808" s="86"/>
    </row>
    <row r="809">
      <c r="C809" s="86"/>
      <c r="D809" s="86"/>
      <c r="E809" s="86"/>
    </row>
    <row r="810">
      <c r="C810" s="86"/>
      <c r="D810" s="86"/>
      <c r="E810" s="86"/>
    </row>
    <row r="811">
      <c r="C811" s="86"/>
      <c r="D811" s="86"/>
      <c r="E811" s="86"/>
    </row>
    <row r="812">
      <c r="C812" s="86"/>
      <c r="D812" s="86"/>
      <c r="E812" s="86"/>
    </row>
    <row r="813">
      <c r="C813" s="86"/>
      <c r="D813" s="86"/>
      <c r="E813" s="86"/>
    </row>
    <row r="814">
      <c r="C814" s="86"/>
      <c r="D814" s="86"/>
      <c r="E814" s="86"/>
    </row>
    <row r="815">
      <c r="C815" s="86"/>
      <c r="D815" s="86"/>
      <c r="E815" s="86"/>
    </row>
    <row r="816">
      <c r="C816" s="86"/>
      <c r="D816" s="86"/>
      <c r="E816" s="86"/>
    </row>
    <row r="817">
      <c r="C817" s="86"/>
      <c r="D817" s="86"/>
      <c r="E817" s="86"/>
    </row>
    <row r="818">
      <c r="C818" s="86"/>
      <c r="D818" s="86"/>
      <c r="E818" s="86"/>
    </row>
    <row r="819">
      <c r="C819" s="86"/>
      <c r="D819" s="86"/>
      <c r="E819" s="86"/>
    </row>
    <row r="820">
      <c r="C820" s="86"/>
      <c r="D820" s="86"/>
      <c r="E820" s="86"/>
    </row>
    <row r="821">
      <c r="C821" s="86"/>
      <c r="D821" s="86"/>
      <c r="E821" s="86"/>
    </row>
    <row r="822">
      <c r="C822" s="86"/>
      <c r="D822" s="86"/>
      <c r="E822" s="86"/>
    </row>
    <row r="823">
      <c r="C823" s="86"/>
      <c r="D823" s="86"/>
      <c r="E823" s="86"/>
    </row>
    <row r="824">
      <c r="C824" s="86"/>
      <c r="D824" s="86"/>
      <c r="E824" s="86"/>
    </row>
    <row r="825">
      <c r="C825" s="86"/>
      <c r="D825" s="86"/>
      <c r="E825" s="86"/>
    </row>
    <row r="826">
      <c r="C826" s="86"/>
      <c r="D826" s="86"/>
      <c r="E826" s="86"/>
    </row>
    <row r="827">
      <c r="C827" s="86"/>
      <c r="D827" s="86"/>
      <c r="E827" s="86"/>
    </row>
    <row r="828">
      <c r="C828" s="86"/>
      <c r="D828" s="86"/>
      <c r="E828" s="86"/>
    </row>
    <row r="829">
      <c r="C829" s="86"/>
      <c r="D829" s="86"/>
      <c r="E829" s="86"/>
    </row>
    <row r="830">
      <c r="C830" s="86"/>
      <c r="D830" s="86"/>
      <c r="E830" s="86"/>
    </row>
    <row r="831">
      <c r="C831" s="86"/>
      <c r="D831" s="86"/>
      <c r="E831" s="86"/>
    </row>
    <row r="832">
      <c r="C832" s="86"/>
      <c r="D832" s="86"/>
      <c r="E832" s="86"/>
    </row>
    <row r="833">
      <c r="C833" s="86"/>
      <c r="D833" s="86"/>
      <c r="E833" s="86"/>
    </row>
    <row r="834">
      <c r="C834" s="86"/>
      <c r="D834" s="86"/>
      <c r="E834" s="86"/>
    </row>
    <row r="835">
      <c r="C835" s="86"/>
      <c r="D835" s="86"/>
      <c r="E835" s="86"/>
    </row>
    <row r="836">
      <c r="C836" s="86"/>
      <c r="D836" s="86"/>
      <c r="E836" s="86"/>
    </row>
    <row r="837">
      <c r="C837" s="86"/>
      <c r="D837" s="86"/>
      <c r="E837" s="86"/>
    </row>
    <row r="838">
      <c r="C838" s="86"/>
      <c r="D838" s="86"/>
      <c r="E838" s="86"/>
    </row>
    <row r="839">
      <c r="C839" s="86"/>
      <c r="D839" s="86"/>
      <c r="E839" s="86"/>
    </row>
    <row r="840">
      <c r="C840" s="86"/>
      <c r="D840" s="86"/>
      <c r="E840" s="86"/>
    </row>
    <row r="841">
      <c r="C841" s="86"/>
      <c r="D841" s="86"/>
      <c r="E841" s="86"/>
    </row>
    <row r="842">
      <c r="C842" s="86"/>
      <c r="D842" s="86"/>
      <c r="E842" s="86"/>
    </row>
    <row r="843">
      <c r="C843" s="86"/>
      <c r="D843" s="86"/>
      <c r="E843" s="86"/>
    </row>
    <row r="844">
      <c r="C844" s="86"/>
      <c r="D844" s="86"/>
      <c r="E844" s="86"/>
    </row>
    <row r="845">
      <c r="C845" s="86"/>
      <c r="D845" s="86"/>
      <c r="E845" s="86"/>
    </row>
    <row r="846">
      <c r="C846" s="86"/>
      <c r="D846" s="86"/>
      <c r="E846" s="86"/>
    </row>
    <row r="847">
      <c r="C847" s="86"/>
      <c r="D847" s="86"/>
      <c r="E847" s="86"/>
    </row>
    <row r="848">
      <c r="C848" s="86"/>
      <c r="D848" s="86"/>
      <c r="E848" s="86"/>
    </row>
    <row r="849">
      <c r="C849" s="86"/>
      <c r="D849" s="86"/>
      <c r="E849" s="86"/>
    </row>
    <row r="850">
      <c r="C850" s="86"/>
      <c r="D850" s="86"/>
      <c r="E850" s="86"/>
    </row>
    <row r="851">
      <c r="C851" s="86"/>
      <c r="D851" s="86"/>
      <c r="E851" s="86"/>
    </row>
    <row r="852">
      <c r="C852" s="86"/>
      <c r="D852" s="86"/>
      <c r="E852" s="86"/>
    </row>
    <row r="853">
      <c r="C853" s="86"/>
      <c r="D853" s="86"/>
      <c r="E853" s="86"/>
    </row>
    <row r="854">
      <c r="C854" s="86"/>
      <c r="D854" s="86"/>
      <c r="E854" s="86"/>
    </row>
    <row r="855">
      <c r="C855" s="86"/>
      <c r="D855" s="86"/>
      <c r="E855" s="86"/>
    </row>
    <row r="856">
      <c r="C856" s="86"/>
      <c r="D856" s="86"/>
      <c r="E856" s="86"/>
    </row>
    <row r="857">
      <c r="C857" s="86"/>
      <c r="D857" s="86"/>
      <c r="E857" s="86"/>
    </row>
    <row r="858">
      <c r="C858" s="86"/>
      <c r="D858" s="86"/>
      <c r="E858" s="86"/>
    </row>
    <row r="859">
      <c r="C859" s="86"/>
      <c r="D859" s="86"/>
      <c r="E859" s="86"/>
    </row>
    <row r="860">
      <c r="C860" s="86"/>
      <c r="D860" s="86"/>
      <c r="E860" s="86"/>
    </row>
    <row r="861">
      <c r="C861" s="86"/>
      <c r="D861" s="86"/>
      <c r="E861" s="86"/>
    </row>
    <row r="862">
      <c r="C862" s="86"/>
      <c r="D862" s="86"/>
      <c r="E862" s="86"/>
    </row>
    <row r="863">
      <c r="C863" s="86"/>
      <c r="D863" s="86"/>
      <c r="E863" s="86"/>
    </row>
    <row r="864">
      <c r="C864" s="86"/>
      <c r="D864" s="86"/>
      <c r="E864" s="86"/>
    </row>
    <row r="865">
      <c r="C865" s="86"/>
      <c r="D865" s="86"/>
      <c r="E865" s="86"/>
    </row>
    <row r="866">
      <c r="C866" s="86"/>
      <c r="D866" s="86"/>
      <c r="E866" s="86"/>
    </row>
    <row r="867">
      <c r="C867" s="86"/>
      <c r="D867" s="86"/>
      <c r="E867" s="86"/>
    </row>
    <row r="868">
      <c r="C868" s="86"/>
      <c r="D868" s="86"/>
      <c r="E868" s="86"/>
    </row>
    <row r="869">
      <c r="C869" s="86"/>
      <c r="D869" s="86"/>
      <c r="E869" s="86"/>
    </row>
    <row r="870">
      <c r="C870" s="86"/>
      <c r="D870" s="86"/>
      <c r="E870" s="86"/>
    </row>
    <row r="871">
      <c r="C871" s="86"/>
      <c r="D871" s="86"/>
      <c r="E871" s="86"/>
    </row>
    <row r="872">
      <c r="C872" s="86"/>
      <c r="D872" s="86"/>
      <c r="E872" s="86"/>
    </row>
    <row r="873">
      <c r="C873" s="86"/>
      <c r="D873" s="86"/>
      <c r="E873" s="86"/>
    </row>
    <row r="874">
      <c r="C874" s="86"/>
      <c r="D874" s="86"/>
      <c r="E874" s="86"/>
    </row>
    <row r="875">
      <c r="C875" s="86"/>
      <c r="D875" s="86"/>
      <c r="E875" s="86"/>
    </row>
    <row r="876">
      <c r="C876" s="86"/>
      <c r="D876" s="86"/>
      <c r="E876" s="86"/>
    </row>
    <row r="877">
      <c r="C877" s="86"/>
      <c r="D877" s="86"/>
      <c r="E877" s="86"/>
    </row>
    <row r="878">
      <c r="C878" s="86"/>
      <c r="D878" s="86"/>
      <c r="E878" s="86"/>
    </row>
    <row r="879">
      <c r="C879" s="86"/>
      <c r="D879" s="86"/>
      <c r="E879" s="86"/>
    </row>
    <row r="880">
      <c r="C880" s="86"/>
      <c r="D880" s="86"/>
      <c r="E880" s="86"/>
    </row>
    <row r="881">
      <c r="C881" s="86"/>
      <c r="D881" s="86"/>
      <c r="E881" s="86"/>
    </row>
    <row r="882">
      <c r="C882" s="86"/>
      <c r="D882" s="86"/>
      <c r="E882" s="86"/>
    </row>
    <row r="883">
      <c r="C883" s="86"/>
      <c r="D883" s="86"/>
      <c r="E883" s="86"/>
    </row>
    <row r="884">
      <c r="C884" s="86"/>
      <c r="D884" s="86"/>
      <c r="E884" s="86"/>
    </row>
    <row r="885">
      <c r="C885" s="86"/>
      <c r="D885" s="86"/>
      <c r="E885" s="86"/>
    </row>
    <row r="886">
      <c r="C886" s="86"/>
      <c r="D886" s="86"/>
      <c r="E886" s="86"/>
    </row>
    <row r="887">
      <c r="C887" s="86"/>
      <c r="D887" s="86"/>
      <c r="E887" s="86"/>
    </row>
    <row r="888">
      <c r="C888" s="86"/>
      <c r="D888" s="86"/>
      <c r="E888" s="86"/>
    </row>
    <row r="889">
      <c r="C889" s="86"/>
      <c r="D889" s="86"/>
      <c r="E889" s="86"/>
    </row>
    <row r="890">
      <c r="C890" s="86"/>
      <c r="D890" s="86"/>
      <c r="E890" s="86"/>
    </row>
    <row r="891">
      <c r="C891" s="86"/>
      <c r="D891" s="86"/>
      <c r="E891" s="86"/>
    </row>
    <row r="892">
      <c r="C892" s="86"/>
      <c r="D892" s="86"/>
      <c r="E892" s="86"/>
    </row>
    <row r="893">
      <c r="C893" s="86"/>
      <c r="D893" s="86"/>
      <c r="E893" s="86"/>
    </row>
    <row r="894">
      <c r="C894" s="86"/>
      <c r="D894" s="86"/>
      <c r="E894" s="86"/>
    </row>
    <row r="895">
      <c r="C895" s="86"/>
      <c r="D895" s="86"/>
      <c r="E895" s="86"/>
    </row>
    <row r="896">
      <c r="C896" s="86"/>
      <c r="D896" s="86"/>
      <c r="E896" s="86"/>
    </row>
    <row r="897">
      <c r="C897" s="86"/>
      <c r="D897" s="86"/>
      <c r="E897" s="86"/>
    </row>
    <row r="898">
      <c r="C898" s="86"/>
      <c r="D898" s="86"/>
      <c r="E898" s="86"/>
    </row>
    <row r="899">
      <c r="C899" s="86"/>
      <c r="D899" s="86"/>
      <c r="E899" s="86"/>
    </row>
    <row r="900">
      <c r="C900" s="86"/>
      <c r="D900" s="86"/>
      <c r="E900" s="86"/>
    </row>
    <row r="901">
      <c r="C901" s="86"/>
      <c r="D901" s="86"/>
      <c r="E901" s="86"/>
    </row>
    <row r="902">
      <c r="C902" s="86"/>
      <c r="D902" s="86"/>
      <c r="E902" s="86"/>
    </row>
    <row r="903">
      <c r="C903" s="86"/>
      <c r="D903" s="86"/>
      <c r="E903" s="86"/>
    </row>
    <row r="904">
      <c r="C904" s="86"/>
      <c r="D904" s="86"/>
      <c r="E904" s="86"/>
    </row>
    <row r="905">
      <c r="C905" s="86"/>
      <c r="D905" s="86"/>
      <c r="E905" s="86"/>
    </row>
    <row r="906">
      <c r="C906" s="86"/>
      <c r="D906" s="86"/>
      <c r="E906" s="86"/>
    </row>
    <row r="907">
      <c r="C907" s="86"/>
      <c r="D907" s="86"/>
      <c r="E907" s="86"/>
    </row>
    <row r="908">
      <c r="C908" s="86"/>
      <c r="D908" s="86"/>
      <c r="E908" s="86"/>
    </row>
    <row r="909">
      <c r="C909" s="86"/>
      <c r="D909" s="86"/>
      <c r="E909" s="86"/>
    </row>
    <row r="910">
      <c r="C910" s="86"/>
      <c r="D910" s="86"/>
      <c r="E910" s="86"/>
    </row>
    <row r="911">
      <c r="C911" s="86"/>
      <c r="D911" s="86"/>
      <c r="E911" s="86"/>
    </row>
    <row r="912">
      <c r="C912" s="86"/>
      <c r="D912" s="86"/>
      <c r="E912" s="86"/>
    </row>
    <row r="913">
      <c r="C913" s="86"/>
      <c r="D913" s="86"/>
      <c r="E913" s="86"/>
    </row>
    <row r="914">
      <c r="C914" s="86"/>
      <c r="D914" s="86"/>
      <c r="E914" s="86"/>
    </row>
    <row r="915">
      <c r="C915" s="86"/>
      <c r="D915" s="86"/>
      <c r="E915" s="86"/>
    </row>
    <row r="916">
      <c r="C916" s="86"/>
      <c r="D916" s="86"/>
      <c r="E916" s="86"/>
    </row>
    <row r="917">
      <c r="C917" s="86"/>
      <c r="D917" s="86"/>
      <c r="E917" s="86"/>
    </row>
    <row r="918">
      <c r="C918" s="86"/>
      <c r="D918" s="86"/>
      <c r="E918" s="86"/>
    </row>
    <row r="919">
      <c r="C919" s="86"/>
      <c r="D919" s="86"/>
      <c r="E919" s="86"/>
    </row>
    <row r="920">
      <c r="C920" s="86"/>
      <c r="D920" s="86"/>
      <c r="E920" s="86"/>
    </row>
    <row r="921">
      <c r="C921" s="86"/>
      <c r="D921" s="86"/>
      <c r="E921" s="86"/>
    </row>
    <row r="922">
      <c r="C922" s="86"/>
      <c r="D922" s="86"/>
      <c r="E922" s="86"/>
    </row>
    <row r="923">
      <c r="C923" s="86"/>
      <c r="D923" s="86"/>
      <c r="E923" s="86"/>
    </row>
    <row r="924">
      <c r="C924" s="86"/>
      <c r="D924" s="86"/>
      <c r="E924" s="86"/>
    </row>
    <row r="925">
      <c r="C925" s="86"/>
      <c r="D925" s="86"/>
      <c r="E925" s="86"/>
    </row>
    <row r="926">
      <c r="C926" s="86"/>
      <c r="D926" s="86"/>
      <c r="E926" s="86"/>
    </row>
    <row r="927">
      <c r="C927" s="86"/>
      <c r="D927" s="86"/>
      <c r="E927" s="86"/>
    </row>
    <row r="928">
      <c r="C928" s="86"/>
      <c r="D928" s="86"/>
      <c r="E928" s="86"/>
    </row>
    <row r="929">
      <c r="C929" s="86"/>
      <c r="D929" s="86"/>
      <c r="E929" s="86"/>
    </row>
    <row r="930">
      <c r="C930" s="86"/>
      <c r="D930" s="86"/>
      <c r="E930" s="86"/>
    </row>
    <row r="931">
      <c r="C931" s="86"/>
      <c r="D931" s="86"/>
      <c r="E931" s="86"/>
    </row>
    <row r="932">
      <c r="C932" s="86"/>
      <c r="D932" s="86"/>
      <c r="E932" s="86"/>
    </row>
    <row r="933">
      <c r="C933" s="86"/>
      <c r="D933" s="86"/>
      <c r="E933" s="86"/>
    </row>
    <row r="934">
      <c r="C934" s="86"/>
      <c r="D934" s="86"/>
      <c r="E934" s="86"/>
    </row>
    <row r="935">
      <c r="C935" s="86"/>
      <c r="D935" s="86"/>
      <c r="E935" s="86"/>
    </row>
    <row r="936">
      <c r="C936" s="86"/>
      <c r="D936" s="86"/>
      <c r="E936" s="86"/>
    </row>
    <row r="937">
      <c r="C937" s="86"/>
      <c r="D937" s="86"/>
      <c r="E937" s="86"/>
    </row>
    <row r="938">
      <c r="C938" s="86"/>
      <c r="D938" s="86"/>
      <c r="E938" s="86"/>
    </row>
    <row r="939">
      <c r="C939" s="86"/>
      <c r="D939" s="86"/>
      <c r="E939" s="86"/>
    </row>
    <row r="940">
      <c r="C940" s="86"/>
      <c r="D940" s="86"/>
      <c r="E940" s="86"/>
    </row>
    <row r="941">
      <c r="C941" s="86"/>
      <c r="D941" s="86"/>
      <c r="E941" s="86"/>
    </row>
    <row r="942">
      <c r="C942" s="86"/>
      <c r="D942" s="86"/>
      <c r="E942" s="86"/>
    </row>
    <row r="943">
      <c r="C943" s="86"/>
      <c r="D943" s="86"/>
      <c r="E943" s="86"/>
    </row>
    <row r="944">
      <c r="C944" s="86"/>
      <c r="D944" s="86"/>
      <c r="E944" s="86"/>
    </row>
    <row r="945">
      <c r="C945" s="86"/>
      <c r="D945" s="86"/>
      <c r="E945" s="86"/>
    </row>
    <row r="946">
      <c r="C946" s="86"/>
      <c r="D946" s="86"/>
      <c r="E946" s="86"/>
    </row>
    <row r="947">
      <c r="C947" s="86"/>
      <c r="D947" s="86"/>
      <c r="E947" s="86"/>
    </row>
    <row r="948">
      <c r="C948" s="86"/>
      <c r="D948" s="86"/>
      <c r="E948" s="86"/>
    </row>
    <row r="949">
      <c r="C949" s="86"/>
      <c r="D949" s="86"/>
      <c r="E949" s="86"/>
    </row>
    <row r="950">
      <c r="C950" s="86"/>
      <c r="D950" s="86"/>
      <c r="E950" s="86"/>
    </row>
    <row r="951">
      <c r="C951" s="86"/>
      <c r="D951" s="86"/>
      <c r="E951" s="86"/>
    </row>
    <row r="952">
      <c r="C952" s="86"/>
      <c r="D952" s="86"/>
      <c r="E952" s="86"/>
    </row>
    <row r="953">
      <c r="C953" s="86"/>
      <c r="D953" s="86"/>
      <c r="E953" s="86"/>
    </row>
    <row r="954">
      <c r="C954" s="86"/>
      <c r="D954" s="86"/>
      <c r="E954" s="86"/>
    </row>
    <row r="955">
      <c r="C955" s="86"/>
      <c r="D955" s="86"/>
      <c r="E955" s="86"/>
    </row>
    <row r="956">
      <c r="C956" s="86"/>
      <c r="D956" s="86"/>
      <c r="E956" s="86"/>
    </row>
    <row r="957">
      <c r="C957" s="86"/>
      <c r="D957" s="86"/>
      <c r="E957" s="86"/>
    </row>
    <row r="958">
      <c r="C958" s="86"/>
      <c r="D958" s="86"/>
      <c r="E958" s="86"/>
    </row>
    <row r="959">
      <c r="C959" s="86"/>
      <c r="D959" s="86"/>
      <c r="E959" s="86"/>
    </row>
    <row r="960">
      <c r="C960" s="86"/>
      <c r="D960" s="86"/>
      <c r="E960" s="86"/>
    </row>
    <row r="961">
      <c r="C961" s="86"/>
      <c r="D961" s="86"/>
      <c r="E961" s="86"/>
    </row>
    <row r="962">
      <c r="C962" s="86"/>
      <c r="D962" s="86"/>
      <c r="E962" s="86"/>
    </row>
    <row r="963">
      <c r="C963" s="86"/>
      <c r="D963" s="86"/>
      <c r="E963" s="86"/>
    </row>
    <row r="964">
      <c r="C964" s="86"/>
      <c r="D964" s="86"/>
      <c r="E964" s="86"/>
    </row>
    <row r="965">
      <c r="C965" s="86"/>
      <c r="D965" s="86"/>
      <c r="E965" s="86"/>
    </row>
    <row r="966">
      <c r="C966" s="86"/>
      <c r="D966" s="86"/>
      <c r="E966" s="86"/>
    </row>
    <row r="967">
      <c r="C967" s="86"/>
      <c r="D967" s="86"/>
      <c r="E967" s="86"/>
    </row>
    <row r="968">
      <c r="C968" s="86"/>
      <c r="D968" s="86"/>
      <c r="E968" s="86"/>
    </row>
    <row r="969">
      <c r="C969" s="86"/>
      <c r="D969" s="86"/>
      <c r="E969" s="86"/>
    </row>
    <row r="970">
      <c r="C970" s="86"/>
      <c r="D970" s="86"/>
      <c r="E970" s="86"/>
    </row>
    <row r="971">
      <c r="C971" s="86"/>
      <c r="D971" s="86"/>
      <c r="E971" s="86"/>
    </row>
    <row r="972">
      <c r="C972" s="86"/>
      <c r="D972" s="86"/>
      <c r="E972" s="86"/>
    </row>
    <row r="973">
      <c r="C973" s="86"/>
      <c r="D973" s="86"/>
      <c r="E973" s="86"/>
    </row>
    <row r="974">
      <c r="C974" s="86"/>
      <c r="D974" s="86"/>
      <c r="E974" s="86"/>
    </row>
    <row r="975">
      <c r="C975" s="86"/>
      <c r="D975" s="86"/>
      <c r="E975" s="86"/>
    </row>
    <row r="976">
      <c r="C976" s="86"/>
      <c r="D976" s="86"/>
      <c r="E976" s="86"/>
    </row>
    <row r="977">
      <c r="C977" s="86"/>
      <c r="D977" s="86"/>
      <c r="E977" s="86"/>
    </row>
    <row r="978">
      <c r="C978" s="86"/>
      <c r="D978" s="86"/>
      <c r="E978" s="86"/>
    </row>
    <row r="979">
      <c r="C979" s="86"/>
      <c r="D979" s="86"/>
      <c r="E979" s="86"/>
    </row>
    <row r="980">
      <c r="C980" s="86"/>
      <c r="D980" s="86"/>
      <c r="E980" s="86"/>
    </row>
    <row r="981">
      <c r="C981" s="86"/>
      <c r="D981" s="86"/>
      <c r="E981" s="86"/>
    </row>
    <row r="982">
      <c r="C982" s="86"/>
      <c r="D982" s="86"/>
      <c r="E982" s="86"/>
    </row>
    <row r="983">
      <c r="C983" s="86"/>
      <c r="D983" s="86"/>
      <c r="E983" s="86"/>
    </row>
    <row r="984">
      <c r="C984" s="86"/>
      <c r="D984" s="86"/>
      <c r="E984" s="86"/>
    </row>
    <row r="985">
      <c r="C985" s="86"/>
      <c r="D985" s="86"/>
      <c r="E985" s="86"/>
    </row>
    <row r="986">
      <c r="C986" s="86"/>
      <c r="D986" s="86"/>
      <c r="E986" s="86"/>
    </row>
    <row r="987">
      <c r="C987" s="86"/>
      <c r="D987" s="86"/>
      <c r="E987" s="86"/>
    </row>
    <row r="988">
      <c r="C988" s="86"/>
      <c r="D988" s="86"/>
      <c r="E988" s="86"/>
    </row>
    <row r="989">
      <c r="C989" s="86"/>
      <c r="D989" s="86"/>
      <c r="E989" s="86"/>
    </row>
    <row r="990">
      <c r="C990" s="86"/>
      <c r="D990" s="86"/>
      <c r="E990" s="86"/>
    </row>
  </sheetData>
  <drawing r:id="rId1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4" t="s">
        <v>613</v>
      </c>
      <c r="B1" s="145"/>
      <c r="C1" s="145"/>
      <c r="D1" s="145"/>
      <c r="E1" s="145"/>
      <c r="F1" s="145"/>
      <c r="G1" s="145"/>
      <c r="H1" s="146"/>
    </row>
    <row r="2">
      <c r="A2" s="147" t="s">
        <v>614</v>
      </c>
      <c r="B2" s="77">
        <v>2025.0</v>
      </c>
      <c r="C2" s="77">
        <v>2030.0</v>
      </c>
      <c r="D2" s="77">
        <v>2035.0</v>
      </c>
      <c r="E2" s="77">
        <v>2040.0</v>
      </c>
      <c r="F2" s="77">
        <v>2045.0</v>
      </c>
      <c r="G2" s="77">
        <v>2050.0</v>
      </c>
      <c r="H2" s="148"/>
    </row>
    <row r="3">
      <c r="A3" s="147" t="s">
        <v>615</v>
      </c>
      <c r="B3" s="77">
        <v>0.0</v>
      </c>
      <c r="C3" s="77">
        <v>26.0</v>
      </c>
      <c r="D3" s="77">
        <v>108.0</v>
      </c>
      <c r="E3" s="77">
        <v>221.0</v>
      </c>
      <c r="F3" s="77">
        <v>344.0</v>
      </c>
      <c r="G3" s="77">
        <v>796.0</v>
      </c>
      <c r="H3" s="148"/>
    </row>
    <row r="4">
      <c r="A4" s="147" t="s">
        <v>616</v>
      </c>
      <c r="B4" s="77">
        <v>0.0</v>
      </c>
      <c r="C4" s="77">
        <v>18.0</v>
      </c>
      <c r="D4" s="77">
        <v>73.0</v>
      </c>
      <c r="E4" s="77">
        <v>138.0</v>
      </c>
      <c r="F4" s="77">
        <v>196.0</v>
      </c>
      <c r="G4" s="77">
        <v>432.0</v>
      </c>
      <c r="H4" s="148"/>
    </row>
    <row r="5">
      <c r="A5" s="149"/>
      <c r="B5" s="150"/>
      <c r="C5" s="150"/>
      <c r="D5" s="150"/>
      <c r="E5" s="150"/>
      <c r="F5" s="150"/>
      <c r="G5" s="150"/>
      <c r="H5" s="148"/>
    </row>
    <row r="6">
      <c r="A6" s="147" t="s">
        <v>617</v>
      </c>
      <c r="B6" s="150"/>
      <c r="C6" s="150"/>
      <c r="D6" s="150"/>
      <c r="E6" s="150"/>
      <c r="F6" s="150"/>
      <c r="G6" s="150"/>
      <c r="H6" s="151"/>
    </row>
    <row r="7">
      <c r="A7" s="147" t="s">
        <v>615</v>
      </c>
      <c r="B7" s="152">
        <v>0.0</v>
      </c>
      <c r="C7" s="152">
        <v>2.3</v>
      </c>
      <c r="D7" s="152">
        <v>9.5</v>
      </c>
      <c r="E7" s="152">
        <v>19.5</v>
      </c>
      <c r="F7" s="152">
        <v>30.3</v>
      </c>
      <c r="G7" s="152">
        <v>70.2</v>
      </c>
    </row>
    <row r="8">
      <c r="A8" s="147" t="s">
        <v>616</v>
      </c>
      <c r="B8" s="152">
        <v>0.0</v>
      </c>
      <c r="C8" s="152">
        <v>1.6</v>
      </c>
      <c r="D8" s="152">
        <v>6.4</v>
      </c>
      <c r="E8" s="152">
        <v>12.2</v>
      </c>
      <c r="F8" s="152">
        <v>17.3</v>
      </c>
      <c r="G8" s="152">
        <v>38.1</v>
      </c>
    </row>
    <row r="9">
      <c r="A9" s="153"/>
      <c r="B9" s="146"/>
      <c r="C9" s="146"/>
      <c r="D9" s="146"/>
      <c r="E9" s="146"/>
      <c r="F9" s="146"/>
      <c r="G9" s="146"/>
    </row>
    <row r="10">
      <c r="A10" s="62"/>
    </row>
    <row r="11">
      <c r="A11" s="62"/>
    </row>
    <row r="12">
      <c r="A12" s="62"/>
    </row>
    <row r="13">
      <c r="A13" s="62"/>
    </row>
    <row r="14">
      <c r="A14" s="62"/>
    </row>
    <row r="15">
      <c r="A15" s="62"/>
    </row>
    <row r="16">
      <c r="A16" s="62"/>
    </row>
    <row r="17">
      <c r="A17" s="62"/>
    </row>
    <row r="18">
      <c r="A18" s="62"/>
    </row>
    <row r="19">
      <c r="A19" s="62"/>
    </row>
    <row r="20">
      <c r="A20" s="62"/>
    </row>
    <row r="21">
      <c r="A21" s="62"/>
    </row>
    <row r="22">
      <c r="A22" s="62"/>
    </row>
    <row r="23">
      <c r="A23" s="62"/>
    </row>
    <row r="24">
      <c r="A24" s="62"/>
    </row>
    <row r="25">
      <c r="A25" s="62"/>
    </row>
    <row r="26">
      <c r="A26" s="62"/>
    </row>
    <row r="27">
      <c r="A27" s="62"/>
    </row>
    <row r="28">
      <c r="A28" s="62"/>
    </row>
    <row r="29">
      <c r="A29" s="62"/>
    </row>
    <row r="30">
      <c r="A30" s="62"/>
    </row>
    <row r="31">
      <c r="A31" s="62"/>
    </row>
    <row r="32">
      <c r="A32" s="62"/>
    </row>
    <row r="33">
      <c r="A33" s="62"/>
    </row>
    <row r="34">
      <c r="A34" s="62"/>
    </row>
    <row r="35">
      <c r="A35" s="62"/>
    </row>
    <row r="36">
      <c r="A36" s="62"/>
    </row>
    <row r="37">
      <c r="A37" s="62"/>
    </row>
    <row r="38">
      <c r="A38" s="62"/>
    </row>
    <row r="39">
      <c r="A39" s="62"/>
    </row>
    <row r="40">
      <c r="A40" s="62"/>
    </row>
    <row r="41">
      <c r="A41" s="62"/>
    </row>
    <row r="42">
      <c r="A42" s="62"/>
    </row>
    <row r="43">
      <c r="A43" s="62"/>
    </row>
    <row r="44">
      <c r="A44" s="62"/>
    </row>
    <row r="45">
      <c r="A45" s="62"/>
    </row>
    <row r="46">
      <c r="A46" s="62"/>
    </row>
    <row r="47">
      <c r="A47" s="62"/>
    </row>
    <row r="48">
      <c r="A48" s="62"/>
    </row>
    <row r="49">
      <c r="A49" s="62"/>
    </row>
    <row r="50">
      <c r="A50" s="62"/>
    </row>
    <row r="51">
      <c r="A51" s="62"/>
    </row>
    <row r="52">
      <c r="A52" s="62"/>
    </row>
    <row r="53">
      <c r="A53" s="62"/>
    </row>
    <row r="54">
      <c r="A54" s="62"/>
    </row>
    <row r="55">
      <c r="A55" s="62"/>
    </row>
    <row r="56">
      <c r="A56" s="62"/>
    </row>
    <row r="57">
      <c r="A57" s="62"/>
    </row>
    <row r="58">
      <c r="A58" s="62"/>
    </row>
    <row r="59">
      <c r="A59" s="62"/>
    </row>
    <row r="60">
      <c r="A60" s="62"/>
    </row>
    <row r="61">
      <c r="A61" s="62"/>
    </row>
    <row r="62">
      <c r="A62" s="62"/>
    </row>
    <row r="63">
      <c r="A63" s="62"/>
    </row>
    <row r="64">
      <c r="A64" s="62"/>
    </row>
    <row r="65">
      <c r="A65" s="62"/>
    </row>
    <row r="66">
      <c r="A66" s="62"/>
    </row>
    <row r="67">
      <c r="A67" s="62"/>
    </row>
    <row r="68">
      <c r="A68" s="62"/>
    </row>
    <row r="69">
      <c r="A69" s="62"/>
    </row>
    <row r="70">
      <c r="A70" s="62"/>
    </row>
    <row r="71">
      <c r="A71" s="62"/>
    </row>
    <row r="72">
      <c r="A72" s="62"/>
    </row>
    <row r="73">
      <c r="A73" s="62"/>
    </row>
    <row r="74">
      <c r="A74" s="62"/>
    </row>
    <row r="75">
      <c r="A75" s="62"/>
    </row>
    <row r="76">
      <c r="A76" s="62"/>
    </row>
    <row r="77">
      <c r="A77" s="62"/>
    </row>
    <row r="78">
      <c r="A78" s="62"/>
    </row>
    <row r="79">
      <c r="A79" s="62"/>
    </row>
    <row r="80">
      <c r="A80" s="62"/>
    </row>
    <row r="81">
      <c r="A81" s="62"/>
    </row>
    <row r="82">
      <c r="A82" s="62"/>
    </row>
    <row r="83">
      <c r="A83" s="62"/>
    </row>
    <row r="84">
      <c r="A84" s="62"/>
    </row>
    <row r="85">
      <c r="A85" s="62"/>
    </row>
    <row r="86">
      <c r="A86" s="62"/>
    </row>
    <row r="87">
      <c r="A87" s="62"/>
    </row>
    <row r="88">
      <c r="A88" s="62"/>
    </row>
    <row r="89">
      <c r="A89" s="62"/>
    </row>
    <row r="90">
      <c r="A90" s="62"/>
    </row>
    <row r="91">
      <c r="A91" s="62"/>
    </row>
    <row r="92">
      <c r="A92" s="62"/>
    </row>
    <row r="93">
      <c r="A93" s="62"/>
    </row>
    <row r="94">
      <c r="A94" s="62"/>
    </row>
    <row r="95">
      <c r="A95" s="62"/>
    </row>
    <row r="96">
      <c r="A96" s="62"/>
    </row>
    <row r="97">
      <c r="A97" s="62"/>
    </row>
    <row r="98">
      <c r="A98" s="62"/>
    </row>
    <row r="99">
      <c r="A99" s="62"/>
    </row>
    <row r="100">
      <c r="A100" s="62"/>
    </row>
    <row r="101">
      <c r="A101" s="62"/>
    </row>
    <row r="102">
      <c r="A102" s="62"/>
    </row>
    <row r="103">
      <c r="A103" s="62"/>
    </row>
    <row r="104">
      <c r="A104" s="62"/>
    </row>
    <row r="105">
      <c r="A105" s="62"/>
    </row>
    <row r="106">
      <c r="A106" s="62"/>
    </row>
    <row r="107">
      <c r="A107" s="62"/>
    </row>
    <row r="108">
      <c r="A108" s="62"/>
    </row>
    <row r="109">
      <c r="A109" s="62"/>
    </row>
    <row r="110">
      <c r="A110" s="62"/>
    </row>
    <row r="111">
      <c r="A111" s="62"/>
    </row>
    <row r="112">
      <c r="A112" s="62"/>
    </row>
    <row r="113">
      <c r="A113" s="62"/>
    </row>
    <row r="114">
      <c r="A114" s="62"/>
    </row>
    <row r="115">
      <c r="A115" s="62"/>
    </row>
    <row r="116">
      <c r="A116" s="62"/>
    </row>
    <row r="117">
      <c r="A117" s="62"/>
    </row>
    <row r="118">
      <c r="A118" s="62"/>
    </row>
    <row r="119">
      <c r="A119" s="62"/>
    </row>
    <row r="120">
      <c r="A120" s="62"/>
    </row>
    <row r="121">
      <c r="A121" s="62"/>
    </row>
    <row r="122">
      <c r="A122" s="62"/>
    </row>
    <row r="123">
      <c r="A123" s="62"/>
    </row>
    <row r="124">
      <c r="A124" s="62"/>
    </row>
    <row r="125">
      <c r="A125" s="62"/>
    </row>
    <row r="126">
      <c r="A126" s="62"/>
    </row>
    <row r="127">
      <c r="A127" s="62"/>
    </row>
    <row r="128">
      <c r="A128" s="62"/>
    </row>
    <row r="129">
      <c r="A129" s="62"/>
    </row>
    <row r="130">
      <c r="A130" s="62"/>
    </row>
    <row r="131">
      <c r="A131" s="62"/>
    </row>
    <row r="132">
      <c r="A132" s="62"/>
    </row>
    <row r="133">
      <c r="A133" s="62"/>
    </row>
    <row r="134">
      <c r="A134" s="62"/>
    </row>
    <row r="135">
      <c r="A135" s="62"/>
    </row>
    <row r="136">
      <c r="A136" s="62"/>
    </row>
    <row r="137">
      <c r="A137" s="62"/>
    </row>
    <row r="138">
      <c r="A138" s="62"/>
    </row>
    <row r="139">
      <c r="A139" s="62"/>
    </row>
    <row r="140">
      <c r="A140" s="62"/>
    </row>
    <row r="141">
      <c r="A141" s="62"/>
    </row>
    <row r="142">
      <c r="A142" s="62"/>
    </row>
    <row r="143">
      <c r="A143" s="62"/>
    </row>
    <row r="144">
      <c r="A144" s="62"/>
    </row>
    <row r="145">
      <c r="A145" s="62"/>
    </row>
    <row r="146">
      <c r="A146" s="62"/>
    </row>
    <row r="147">
      <c r="A147" s="62"/>
    </row>
    <row r="148">
      <c r="A148" s="62"/>
    </row>
    <row r="149">
      <c r="A149" s="62"/>
    </row>
    <row r="150">
      <c r="A150" s="62"/>
    </row>
    <row r="151">
      <c r="A151" s="62"/>
    </row>
    <row r="152">
      <c r="A152" s="62"/>
    </row>
    <row r="153">
      <c r="A153" s="62"/>
    </row>
    <row r="154">
      <c r="A154" s="62"/>
    </row>
    <row r="155">
      <c r="A155" s="62"/>
    </row>
    <row r="156">
      <c r="A156" s="62"/>
    </row>
    <row r="157">
      <c r="A157" s="62"/>
    </row>
    <row r="158">
      <c r="A158" s="62"/>
    </row>
    <row r="159">
      <c r="A159" s="62"/>
    </row>
    <row r="160">
      <c r="A160" s="62"/>
    </row>
    <row r="161">
      <c r="A161" s="62"/>
    </row>
    <row r="162">
      <c r="A162" s="62"/>
    </row>
    <row r="163">
      <c r="A163" s="62"/>
    </row>
    <row r="164">
      <c r="A164" s="62"/>
    </row>
    <row r="165">
      <c r="A165" s="62"/>
    </row>
    <row r="166">
      <c r="A166" s="62"/>
    </row>
    <row r="167">
      <c r="A167" s="62"/>
    </row>
    <row r="168">
      <c r="A168" s="62"/>
    </row>
    <row r="169">
      <c r="A169" s="62"/>
    </row>
    <row r="170">
      <c r="A170" s="62"/>
    </row>
    <row r="171">
      <c r="A171" s="62"/>
    </row>
    <row r="172">
      <c r="A172" s="62"/>
    </row>
    <row r="173">
      <c r="A173" s="62"/>
    </row>
    <row r="174">
      <c r="A174" s="62"/>
    </row>
    <row r="175">
      <c r="A175" s="62"/>
    </row>
    <row r="176">
      <c r="A176" s="62"/>
    </row>
    <row r="177">
      <c r="A177" s="62"/>
    </row>
    <row r="178">
      <c r="A178" s="62"/>
    </row>
    <row r="179">
      <c r="A179" s="62"/>
    </row>
    <row r="180">
      <c r="A180" s="62"/>
    </row>
    <row r="181">
      <c r="A181" s="62"/>
    </row>
    <row r="182">
      <c r="A182" s="62"/>
    </row>
    <row r="183">
      <c r="A183" s="62"/>
    </row>
    <row r="184">
      <c r="A184" s="62"/>
    </row>
    <row r="185">
      <c r="A185" s="62"/>
    </row>
    <row r="186">
      <c r="A186" s="62"/>
    </row>
    <row r="187">
      <c r="A187" s="62"/>
    </row>
    <row r="188">
      <c r="A188" s="62"/>
    </row>
    <row r="189">
      <c r="A189" s="62"/>
    </row>
    <row r="190">
      <c r="A190" s="62"/>
    </row>
    <row r="191">
      <c r="A191" s="62"/>
    </row>
    <row r="192">
      <c r="A192" s="62"/>
    </row>
    <row r="193">
      <c r="A193" s="62"/>
    </row>
    <row r="194">
      <c r="A194" s="62"/>
    </row>
    <row r="195">
      <c r="A195" s="62"/>
    </row>
    <row r="196">
      <c r="A196" s="62"/>
    </row>
    <row r="197">
      <c r="A197" s="62"/>
    </row>
    <row r="198">
      <c r="A198" s="62"/>
    </row>
    <row r="199">
      <c r="A199" s="62"/>
    </row>
    <row r="200">
      <c r="A200" s="62"/>
    </row>
    <row r="201">
      <c r="A201" s="62"/>
    </row>
    <row r="202">
      <c r="A202" s="62"/>
    </row>
    <row r="203">
      <c r="A203" s="62"/>
    </row>
    <row r="204">
      <c r="A204" s="62"/>
    </row>
    <row r="205">
      <c r="A205" s="62"/>
    </row>
    <row r="206">
      <c r="A206" s="62"/>
    </row>
    <row r="207">
      <c r="A207" s="62"/>
    </row>
    <row r="208">
      <c r="A208" s="62"/>
    </row>
    <row r="209">
      <c r="A209" s="62"/>
    </row>
    <row r="210">
      <c r="A210" s="62"/>
    </row>
    <row r="211">
      <c r="A211" s="62"/>
    </row>
    <row r="212">
      <c r="A212" s="62"/>
    </row>
    <row r="213">
      <c r="A213" s="62"/>
    </row>
    <row r="214">
      <c r="A214" s="62"/>
    </row>
    <row r="215">
      <c r="A215" s="62"/>
    </row>
    <row r="216">
      <c r="A216" s="62"/>
    </row>
    <row r="217">
      <c r="A217" s="62"/>
    </row>
    <row r="218">
      <c r="A218" s="62"/>
    </row>
    <row r="219">
      <c r="A219" s="62"/>
    </row>
    <row r="220">
      <c r="A220" s="62"/>
    </row>
    <row r="221">
      <c r="A221" s="62"/>
    </row>
    <row r="222">
      <c r="A222" s="62"/>
    </row>
    <row r="223">
      <c r="A223" s="62"/>
    </row>
    <row r="224">
      <c r="A224" s="62"/>
    </row>
    <row r="225">
      <c r="A225" s="62"/>
    </row>
    <row r="226">
      <c r="A226" s="62"/>
    </row>
    <row r="227">
      <c r="A227" s="62"/>
    </row>
    <row r="228">
      <c r="A228" s="62"/>
    </row>
    <row r="229">
      <c r="A229" s="62"/>
    </row>
    <row r="230">
      <c r="A230" s="62"/>
    </row>
    <row r="231">
      <c r="A231" s="62"/>
    </row>
    <row r="232">
      <c r="A232" s="62"/>
    </row>
    <row r="233">
      <c r="A233" s="62"/>
    </row>
    <row r="234">
      <c r="A234" s="62"/>
    </row>
    <row r="235">
      <c r="A235" s="62"/>
    </row>
    <row r="236">
      <c r="A236" s="62"/>
    </row>
    <row r="237">
      <c r="A237" s="62"/>
    </row>
    <row r="238">
      <c r="A238" s="62"/>
    </row>
    <row r="239">
      <c r="A239" s="62"/>
    </row>
    <row r="240">
      <c r="A240" s="62"/>
    </row>
    <row r="241">
      <c r="A241" s="62"/>
    </row>
    <row r="242">
      <c r="A242" s="62"/>
    </row>
    <row r="243">
      <c r="A243" s="62"/>
    </row>
    <row r="244">
      <c r="A244" s="62"/>
    </row>
    <row r="245">
      <c r="A245" s="62"/>
    </row>
    <row r="246">
      <c r="A246" s="62"/>
    </row>
    <row r="247">
      <c r="A247" s="62"/>
    </row>
    <row r="248">
      <c r="A248" s="62"/>
    </row>
    <row r="249">
      <c r="A249" s="62"/>
    </row>
    <row r="250">
      <c r="A250" s="62"/>
    </row>
    <row r="251">
      <c r="A251" s="62"/>
    </row>
    <row r="252">
      <c r="A252" s="62"/>
    </row>
    <row r="253">
      <c r="A253" s="62"/>
    </row>
    <row r="254">
      <c r="A254" s="62"/>
    </row>
    <row r="255">
      <c r="A255" s="62"/>
    </row>
    <row r="256">
      <c r="A256" s="62"/>
    </row>
    <row r="257">
      <c r="A257" s="62"/>
    </row>
    <row r="258">
      <c r="A258" s="62"/>
    </row>
    <row r="259">
      <c r="A259" s="62"/>
    </row>
    <row r="260">
      <c r="A260" s="62"/>
    </row>
    <row r="261">
      <c r="A261" s="62"/>
    </row>
    <row r="262">
      <c r="A262" s="62"/>
    </row>
    <row r="263">
      <c r="A263" s="62"/>
    </row>
    <row r="264">
      <c r="A264" s="62"/>
    </row>
    <row r="265">
      <c r="A265" s="62"/>
    </row>
    <row r="266">
      <c r="A266" s="62"/>
    </row>
    <row r="267">
      <c r="A267" s="62"/>
    </row>
    <row r="268">
      <c r="A268" s="62"/>
    </row>
    <row r="269">
      <c r="A269" s="62"/>
    </row>
    <row r="270">
      <c r="A270" s="62"/>
    </row>
    <row r="271">
      <c r="A271" s="62"/>
    </row>
    <row r="272">
      <c r="A272" s="62"/>
    </row>
    <row r="273">
      <c r="A273" s="62"/>
    </row>
    <row r="274">
      <c r="A274" s="62"/>
    </row>
    <row r="275">
      <c r="A275" s="62"/>
    </row>
    <row r="276">
      <c r="A276" s="62"/>
    </row>
    <row r="277">
      <c r="A277" s="62"/>
    </row>
    <row r="278">
      <c r="A278" s="62"/>
    </row>
    <row r="279">
      <c r="A279" s="62"/>
    </row>
    <row r="280">
      <c r="A280" s="62"/>
    </row>
    <row r="281">
      <c r="A281" s="62"/>
    </row>
    <row r="282">
      <c r="A282" s="62"/>
    </row>
    <row r="283">
      <c r="A283" s="62"/>
    </row>
    <row r="284">
      <c r="A284" s="62"/>
    </row>
    <row r="285">
      <c r="A285" s="62"/>
    </row>
    <row r="286">
      <c r="A286" s="62"/>
    </row>
    <row r="287">
      <c r="A287" s="62"/>
    </row>
    <row r="288">
      <c r="A288" s="62"/>
    </row>
    <row r="289">
      <c r="A289" s="62"/>
    </row>
    <row r="290">
      <c r="A290" s="62"/>
    </row>
    <row r="291">
      <c r="A291" s="62"/>
    </row>
    <row r="292">
      <c r="A292" s="62"/>
    </row>
    <row r="293">
      <c r="A293" s="62"/>
    </row>
    <row r="294">
      <c r="A294" s="62"/>
    </row>
    <row r="295">
      <c r="A295" s="62"/>
    </row>
    <row r="296">
      <c r="A296" s="62"/>
    </row>
    <row r="297">
      <c r="A297" s="62"/>
    </row>
    <row r="298">
      <c r="A298" s="62"/>
    </row>
    <row r="299">
      <c r="A299" s="62"/>
    </row>
    <row r="300">
      <c r="A300" s="62"/>
    </row>
    <row r="301">
      <c r="A301" s="62"/>
    </row>
    <row r="302">
      <c r="A302" s="62"/>
    </row>
    <row r="303">
      <c r="A303" s="62"/>
    </row>
    <row r="304">
      <c r="A304" s="62"/>
    </row>
    <row r="305">
      <c r="A305" s="62"/>
    </row>
    <row r="306">
      <c r="A306" s="62"/>
    </row>
    <row r="307">
      <c r="A307" s="62"/>
    </row>
    <row r="308">
      <c r="A308" s="62"/>
    </row>
    <row r="309">
      <c r="A309" s="62"/>
    </row>
    <row r="310">
      <c r="A310" s="62"/>
    </row>
    <row r="311">
      <c r="A311" s="62"/>
    </row>
    <row r="312">
      <c r="A312" s="62"/>
    </row>
    <row r="313">
      <c r="A313" s="62"/>
    </row>
    <row r="314">
      <c r="A314" s="62"/>
    </row>
    <row r="315">
      <c r="A315" s="62"/>
    </row>
    <row r="316">
      <c r="A316" s="62"/>
    </row>
    <row r="317">
      <c r="A317" s="62"/>
    </row>
    <row r="318">
      <c r="A318" s="62"/>
    </row>
    <row r="319">
      <c r="A319" s="62"/>
    </row>
    <row r="320">
      <c r="A320" s="62"/>
    </row>
    <row r="321">
      <c r="A321" s="62"/>
    </row>
    <row r="322">
      <c r="A322" s="62"/>
    </row>
    <row r="323">
      <c r="A323" s="62"/>
    </row>
    <row r="324">
      <c r="A324" s="62"/>
    </row>
    <row r="325">
      <c r="A325" s="62"/>
    </row>
    <row r="326">
      <c r="A326" s="62"/>
    </row>
    <row r="327">
      <c r="A327" s="62"/>
    </row>
    <row r="328">
      <c r="A328" s="62"/>
    </row>
    <row r="329">
      <c r="A329" s="62"/>
    </row>
    <row r="330">
      <c r="A330" s="62"/>
    </row>
    <row r="331">
      <c r="A331" s="62"/>
    </row>
    <row r="332">
      <c r="A332" s="62"/>
    </row>
    <row r="333">
      <c r="A333" s="62"/>
    </row>
    <row r="334">
      <c r="A334" s="62"/>
    </row>
    <row r="335">
      <c r="A335" s="62"/>
    </row>
    <row r="336">
      <c r="A336" s="62"/>
    </row>
    <row r="337">
      <c r="A337" s="62"/>
    </row>
    <row r="338">
      <c r="A338" s="62"/>
    </row>
    <row r="339">
      <c r="A339" s="62"/>
    </row>
    <row r="340">
      <c r="A340" s="62"/>
    </row>
    <row r="341">
      <c r="A341" s="62"/>
    </row>
    <row r="342">
      <c r="A342" s="62"/>
    </row>
    <row r="343">
      <c r="A343" s="62"/>
    </row>
    <row r="344">
      <c r="A344" s="62"/>
    </row>
    <row r="345">
      <c r="A345" s="62"/>
    </row>
    <row r="346">
      <c r="A346" s="62"/>
    </row>
    <row r="347">
      <c r="A347" s="62"/>
    </row>
    <row r="348">
      <c r="A348" s="62"/>
    </row>
    <row r="349">
      <c r="A349" s="62"/>
    </row>
    <row r="350">
      <c r="A350" s="62"/>
    </row>
    <row r="351">
      <c r="A351" s="62"/>
    </row>
    <row r="352">
      <c r="A352" s="62"/>
    </row>
    <row r="353">
      <c r="A353" s="62"/>
    </row>
    <row r="354">
      <c r="A354" s="62"/>
    </row>
    <row r="355">
      <c r="A355" s="62"/>
    </row>
    <row r="356">
      <c r="A356" s="62"/>
    </row>
    <row r="357">
      <c r="A357" s="62"/>
    </row>
    <row r="358">
      <c r="A358" s="62"/>
    </row>
    <row r="359">
      <c r="A359" s="62"/>
    </row>
    <row r="360">
      <c r="A360" s="62"/>
    </row>
    <row r="361">
      <c r="A361" s="62"/>
    </row>
    <row r="362">
      <c r="A362" s="62"/>
    </row>
    <row r="363">
      <c r="A363" s="62"/>
    </row>
    <row r="364">
      <c r="A364" s="62"/>
    </row>
    <row r="365">
      <c r="A365" s="62"/>
    </row>
    <row r="366">
      <c r="A366" s="62"/>
    </row>
    <row r="367">
      <c r="A367" s="62"/>
    </row>
    <row r="368">
      <c r="A368" s="62"/>
    </row>
    <row r="369">
      <c r="A369" s="62"/>
    </row>
    <row r="370">
      <c r="A370" s="62"/>
    </row>
    <row r="371">
      <c r="A371" s="62"/>
    </row>
    <row r="372">
      <c r="A372" s="62"/>
    </row>
    <row r="373">
      <c r="A373" s="62"/>
    </row>
    <row r="374">
      <c r="A374" s="62"/>
    </row>
    <row r="375">
      <c r="A375" s="62"/>
    </row>
    <row r="376">
      <c r="A376" s="62"/>
    </row>
    <row r="377">
      <c r="A377" s="62"/>
    </row>
    <row r="378">
      <c r="A378" s="62"/>
    </row>
    <row r="379">
      <c r="A379" s="62"/>
    </row>
    <row r="380">
      <c r="A380" s="62"/>
    </row>
    <row r="381">
      <c r="A381" s="62"/>
    </row>
    <row r="382">
      <c r="A382" s="62"/>
    </row>
    <row r="383">
      <c r="A383" s="62"/>
    </row>
    <row r="384">
      <c r="A384" s="62"/>
    </row>
    <row r="385">
      <c r="A385" s="62"/>
    </row>
    <row r="386">
      <c r="A386" s="62"/>
    </row>
    <row r="387">
      <c r="A387" s="62"/>
    </row>
    <row r="388">
      <c r="A388" s="62"/>
    </row>
    <row r="389">
      <c r="A389" s="62"/>
    </row>
    <row r="390">
      <c r="A390" s="62"/>
    </row>
    <row r="391">
      <c r="A391" s="62"/>
    </row>
    <row r="392">
      <c r="A392" s="62"/>
    </row>
    <row r="393">
      <c r="A393" s="62"/>
    </row>
    <row r="394">
      <c r="A394" s="62"/>
    </row>
    <row r="395">
      <c r="A395" s="62"/>
    </row>
    <row r="396">
      <c r="A396" s="62"/>
    </row>
    <row r="397">
      <c r="A397" s="62"/>
    </row>
    <row r="398">
      <c r="A398" s="62"/>
    </row>
    <row r="399">
      <c r="A399" s="62"/>
    </row>
    <row r="400">
      <c r="A400" s="62"/>
    </row>
    <row r="401">
      <c r="A401" s="62"/>
    </row>
    <row r="402">
      <c r="A402" s="62"/>
    </row>
    <row r="403">
      <c r="A403" s="62"/>
    </row>
    <row r="404">
      <c r="A404" s="62"/>
    </row>
    <row r="405">
      <c r="A405" s="62"/>
    </row>
    <row r="406">
      <c r="A406" s="62"/>
    </row>
    <row r="407">
      <c r="A407" s="62"/>
    </row>
    <row r="408">
      <c r="A408" s="62"/>
    </row>
    <row r="409">
      <c r="A409" s="62"/>
    </row>
    <row r="410">
      <c r="A410" s="62"/>
    </row>
    <row r="411">
      <c r="A411" s="62"/>
    </row>
    <row r="412">
      <c r="A412" s="62"/>
    </row>
    <row r="413">
      <c r="A413" s="62"/>
    </row>
    <row r="414">
      <c r="A414" s="62"/>
    </row>
    <row r="415">
      <c r="A415" s="62"/>
    </row>
    <row r="416">
      <c r="A416" s="62"/>
    </row>
    <row r="417">
      <c r="A417" s="62"/>
    </row>
    <row r="418">
      <c r="A418" s="62"/>
    </row>
    <row r="419">
      <c r="A419" s="62"/>
    </row>
    <row r="420">
      <c r="A420" s="62"/>
    </row>
    <row r="421">
      <c r="A421" s="62"/>
    </row>
    <row r="422">
      <c r="A422" s="62"/>
    </row>
    <row r="423">
      <c r="A423" s="62"/>
    </row>
    <row r="424">
      <c r="A424" s="62"/>
    </row>
    <row r="425">
      <c r="A425" s="62"/>
    </row>
    <row r="426">
      <c r="A426" s="62"/>
    </row>
    <row r="427">
      <c r="A427" s="62"/>
    </row>
    <row r="428">
      <c r="A428" s="62"/>
    </row>
    <row r="429">
      <c r="A429" s="62"/>
    </row>
    <row r="430">
      <c r="A430" s="62"/>
    </row>
    <row r="431">
      <c r="A431" s="62"/>
    </row>
    <row r="432">
      <c r="A432" s="62"/>
    </row>
    <row r="433">
      <c r="A433" s="62"/>
    </row>
    <row r="434">
      <c r="A434" s="62"/>
    </row>
    <row r="435">
      <c r="A435" s="62"/>
    </row>
    <row r="436">
      <c r="A436" s="62"/>
    </row>
    <row r="437">
      <c r="A437" s="62"/>
    </row>
    <row r="438">
      <c r="A438" s="62"/>
    </row>
    <row r="439">
      <c r="A439" s="62"/>
    </row>
    <row r="440">
      <c r="A440" s="62"/>
    </row>
    <row r="441">
      <c r="A441" s="62"/>
    </row>
    <row r="442">
      <c r="A442" s="62"/>
    </row>
    <row r="443">
      <c r="A443" s="62"/>
    </row>
    <row r="444">
      <c r="A444" s="62"/>
    </row>
    <row r="445">
      <c r="A445" s="62"/>
    </row>
    <row r="446">
      <c r="A446" s="62"/>
    </row>
    <row r="447">
      <c r="A447" s="62"/>
    </row>
    <row r="448">
      <c r="A448" s="62"/>
    </row>
    <row r="449">
      <c r="A449" s="62"/>
    </row>
    <row r="450">
      <c r="A450" s="62"/>
    </row>
    <row r="451">
      <c r="A451" s="62"/>
    </row>
    <row r="452">
      <c r="A452" s="62"/>
    </row>
    <row r="453">
      <c r="A453" s="62"/>
    </row>
    <row r="454">
      <c r="A454" s="62"/>
    </row>
    <row r="455">
      <c r="A455" s="62"/>
    </row>
    <row r="456">
      <c r="A456" s="62"/>
    </row>
    <row r="457">
      <c r="A457" s="62"/>
    </row>
    <row r="458">
      <c r="A458" s="62"/>
    </row>
    <row r="459">
      <c r="A459" s="62"/>
    </row>
    <row r="460">
      <c r="A460" s="62"/>
    </row>
    <row r="461">
      <c r="A461" s="62"/>
    </row>
    <row r="462">
      <c r="A462" s="62"/>
    </row>
    <row r="463">
      <c r="A463" s="62"/>
    </row>
    <row r="464">
      <c r="A464" s="62"/>
    </row>
    <row r="465">
      <c r="A465" s="62"/>
    </row>
    <row r="466">
      <c r="A466" s="62"/>
    </row>
    <row r="467">
      <c r="A467" s="62"/>
    </row>
    <row r="468">
      <c r="A468" s="62"/>
    </row>
    <row r="469">
      <c r="A469" s="62"/>
    </row>
    <row r="470">
      <c r="A470" s="62"/>
    </row>
    <row r="471">
      <c r="A471" s="62"/>
    </row>
    <row r="472">
      <c r="A472" s="62"/>
    </row>
    <row r="473">
      <c r="A473" s="62"/>
    </row>
    <row r="474">
      <c r="A474" s="62"/>
    </row>
    <row r="475">
      <c r="A475" s="62"/>
    </row>
    <row r="476">
      <c r="A476" s="62"/>
    </row>
    <row r="477">
      <c r="A477" s="62"/>
    </row>
    <row r="478">
      <c r="A478" s="62"/>
    </row>
    <row r="479">
      <c r="A479" s="62"/>
    </row>
    <row r="480">
      <c r="A480" s="62"/>
    </row>
    <row r="481">
      <c r="A481" s="62"/>
    </row>
    <row r="482">
      <c r="A482" s="62"/>
    </row>
    <row r="483">
      <c r="A483" s="62"/>
    </row>
    <row r="484">
      <c r="A484" s="62"/>
    </row>
    <row r="485">
      <c r="A485" s="62"/>
    </row>
    <row r="486">
      <c r="A486" s="62"/>
    </row>
    <row r="487">
      <c r="A487" s="62"/>
    </row>
    <row r="488">
      <c r="A488" s="62"/>
    </row>
    <row r="489">
      <c r="A489" s="62"/>
    </row>
    <row r="490">
      <c r="A490" s="62"/>
    </row>
    <row r="491">
      <c r="A491" s="62"/>
    </row>
    <row r="492">
      <c r="A492" s="62"/>
    </row>
    <row r="493">
      <c r="A493" s="62"/>
    </row>
    <row r="494">
      <c r="A494" s="62"/>
    </row>
    <row r="495">
      <c r="A495" s="62"/>
    </row>
    <row r="496">
      <c r="A496" s="62"/>
    </row>
    <row r="497">
      <c r="A497" s="62"/>
    </row>
    <row r="498">
      <c r="A498" s="62"/>
    </row>
    <row r="499">
      <c r="A499" s="62"/>
    </row>
    <row r="500">
      <c r="A500" s="62"/>
    </row>
    <row r="501">
      <c r="A501" s="62"/>
    </row>
    <row r="502">
      <c r="A502" s="62"/>
    </row>
    <row r="503">
      <c r="A503" s="62"/>
    </row>
    <row r="504">
      <c r="A504" s="62"/>
    </row>
    <row r="505">
      <c r="A505" s="62"/>
    </row>
    <row r="506">
      <c r="A506" s="62"/>
    </row>
    <row r="507">
      <c r="A507" s="62"/>
    </row>
    <row r="508">
      <c r="A508" s="62"/>
    </row>
    <row r="509">
      <c r="A509" s="62"/>
    </row>
    <row r="510">
      <c r="A510" s="62"/>
    </row>
    <row r="511">
      <c r="A511" s="62"/>
    </row>
    <row r="512">
      <c r="A512" s="62"/>
    </row>
    <row r="513">
      <c r="A513" s="62"/>
    </row>
    <row r="514">
      <c r="A514" s="62"/>
    </row>
    <row r="515">
      <c r="A515" s="62"/>
    </row>
    <row r="516">
      <c r="A516" s="62"/>
    </row>
    <row r="517">
      <c r="A517" s="62"/>
    </row>
    <row r="518">
      <c r="A518" s="62"/>
    </row>
    <row r="519">
      <c r="A519" s="62"/>
    </row>
    <row r="520">
      <c r="A520" s="62"/>
    </row>
    <row r="521">
      <c r="A521" s="62"/>
    </row>
    <row r="522">
      <c r="A522" s="62"/>
    </row>
    <row r="523">
      <c r="A523" s="62"/>
    </row>
    <row r="524">
      <c r="A524" s="62"/>
    </row>
    <row r="525">
      <c r="A525" s="62"/>
    </row>
    <row r="526">
      <c r="A526" s="62"/>
    </row>
    <row r="527">
      <c r="A527" s="62"/>
    </row>
    <row r="528">
      <c r="A528" s="62"/>
    </row>
    <row r="529">
      <c r="A529" s="62"/>
    </row>
    <row r="530">
      <c r="A530" s="62"/>
    </row>
    <row r="531">
      <c r="A531" s="62"/>
    </row>
    <row r="532">
      <c r="A532" s="62"/>
    </row>
    <row r="533">
      <c r="A533" s="62"/>
    </row>
    <row r="534">
      <c r="A534" s="62"/>
    </row>
    <row r="535">
      <c r="A535" s="62"/>
    </row>
    <row r="536">
      <c r="A536" s="62"/>
    </row>
    <row r="537">
      <c r="A537" s="62"/>
    </row>
    <row r="538">
      <c r="A538" s="62"/>
    </row>
    <row r="539">
      <c r="A539" s="62"/>
    </row>
    <row r="540">
      <c r="A540" s="62"/>
    </row>
    <row r="541">
      <c r="A541" s="62"/>
    </row>
    <row r="542">
      <c r="A542" s="62"/>
    </row>
    <row r="543">
      <c r="A543" s="62"/>
    </row>
    <row r="544">
      <c r="A544" s="62"/>
    </row>
    <row r="545">
      <c r="A545" s="62"/>
    </row>
    <row r="546">
      <c r="A546" s="62"/>
    </row>
    <row r="547">
      <c r="A547" s="62"/>
    </row>
    <row r="548">
      <c r="A548" s="62"/>
    </row>
    <row r="549">
      <c r="A549" s="62"/>
    </row>
    <row r="550">
      <c r="A550" s="62"/>
    </row>
    <row r="551">
      <c r="A551" s="62"/>
    </row>
    <row r="552">
      <c r="A552" s="62"/>
    </row>
    <row r="553">
      <c r="A553" s="62"/>
    </row>
    <row r="554">
      <c r="A554" s="62"/>
    </row>
    <row r="555">
      <c r="A555" s="62"/>
    </row>
    <row r="556">
      <c r="A556" s="62"/>
    </row>
    <row r="557">
      <c r="A557" s="62"/>
    </row>
    <row r="558">
      <c r="A558" s="62"/>
    </row>
    <row r="559">
      <c r="A559" s="62"/>
    </row>
    <row r="560">
      <c r="A560" s="62"/>
    </row>
    <row r="561">
      <c r="A561" s="62"/>
    </row>
    <row r="562">
      <c r="A562" s="62"/>
    </row>
    <row r="563">
      <c r="A563" s="62"/>
    </row>
    <row r="564">
      <c r="A564" s="62"/>
    </row>
    <row r="565">
      <c r="A565" s="62"/>
    </row>
    <row r="566">
      <c r="A566" s="62"/>
    </row>
    <row r="567">
      <c r="A567" s="62"/>
    </row>
    <row r="568">
      <c r="A568" s="62"/>
    </row>
    <row r="569">
      <c r="A569" s="62"/>
    </row>
    <row r="570">
      <c r="A570" s="62"/>
    </row>
    <row r="571">
      <c r="A571" s="62"/>
    </row>
    <row r="572">
      <c r="A572" s="62"/>
    </row>
    <row r="573">
      <c r="A573" s="62"/>
    </row>
    <row r="574">
      <c r="A574" s="62"/>
    </row>
    <row r="575">
      <c r="A575" s="62"/>
    </row>
    <row r="576">
      <c r="A576" s="62"/>
    </row>
    <row r="577">
      <c r="A577" s="62"/>
    </row>
    <row r="578">
      <c r="A578" s="62"/>
    </row>
    <row r="579">
      <c r="A579" s="62"/>
    </row>
    <row r="580">
      <c r="A580" s="62"/>
    </row>
    <row r="581">
      <c r="A581" s="62"/>
    </row>
    <row r="582">
      <c r="A582" s="62"/>
    </row>
    <row r="583">
      <c r="A583" s="62"/>
    </row>
    <row r="584">
      <c r="A584" s="62"/>
    </row>
    <row r="585">
      <c r="A585" s="62"/>
    </row>
    <row r="586">
      <c r="A586" s="62"/>
    </row>
    <row r="587">
      <c r="A587" s="62"/>
    </row>
    <row r="588">
      <c r="A588" s="62"/>
    </row>
    <row r="589">
      <c r="A589" s="62"/>
    </row>
    <row r="590">
      <c r="A590" s="62"/>
    </row>
    <row r="591">
      <c r="A591" s="62"/>
    </row>
    <row r="592">
      <c r="A592" s="62"/>
    </row>
    <row r="593">
      <c r="A593" s="62"/>
    </row>
    <row r="594">
      <c r="A594" s="62"/>
    </row>
    <row r="595">
      <c r="A595" s="62"/>
    </row>
    <row r="596">
      <c r="A596" s="62"/>
    </row>
    <row r="597">
      <c r="A597" s="62"/>
    </row>
    <row r="598">
      <c r="A598" s="62"/>
    </row>
    <row r="599">
      <c r="A599" s="62"/>
    </row>
    <row r="600">
      <c r="A600" s="62"/>
    </row>
    <row r="601">
      <c r="A601" s="62"/>
    </row>
    <row r="602">
      <c r="A602" s="62"/>
    </row>
    <row r="603">
      <c r="A603" s="62"/>
    </row>
    <row r="604">
      <c r="A604" s="62"/>
    </row>
    <row r="605">
      <c r="A605" s="62"/>
    </row>
    <row r="606">
      <c r="A606" s="62"/>
    </row>
    <row r="607">
      <c r="A607" s="62"/>
    </row>
    <row r="608">
      <c r="A608" s="62"/>
    </row>
    <row r="609">
      <c r="A609" s="62"/>
    </row>
    <row r="610">
      <c r="A610" s="62"/>
    </row>
    <row r="611">
      <c r="A611" s="62"/>
    </row>
    <row r="612">
      <c r="A612" s="62"/>
    </row>
    <row r="613">
      <c r="A613" s="62"/>
    </row>
    <row r="614">
      <c r="A614" s="62"/>
    </row>
    <row r="615">
      <c r="A615" s="62"/>
    </row>
    <row r="616">
      <c r="A616" s="62"/>
    </row>
    <row r="617">
      <c r="A617" s="62"/>
    </row>
    <row r="618">
      <c r="A618" s="62"/>
    </row>
    <row r="619">
      <c r="A619" s="62"/>
    </row>
    <row r="620">
      <c r="A620" s="62"/>
    </row>
    <row r="621">
      <c r="A621" s="62"/>
    </row>
    <row r="622">
      <c r="A622" s="62"/>
    </row>
    <row r="623">
      <c r="A623" s="62"/>
    </row>
    <row r="624">
      <c r="A624" s="62"/>
    </row>
    <row r="625">
      <c r="A625" s="62"/>
    </row>
    <row r="626">
      <c r="A626" s="62"/>
    </row>
    <row r="627">
      <c r="A627" s="62"/>
    </row>
    <row r="628">
      <c r="A628" s="62"/>
    </row>
    <row r="629">
      <c r="A629" s="62"/>
    </row>
    <row r="630">
      <c r="A630" s="62"/>
    </row>
    <row r="631">
      <c r="A631" s="62"/>
    </row>
    <row r="632">
      <c r="A632" s="62"/>
    </row>
    <row r="633">
      <c r="A633" s="62"/>
    </row>
    <row r="634">
      <c r="A634" s="62"/>
    </row>
    <row r="635">
      <c r="A635" s="62"/>
    </row>
    <row r="636">
      <c r="A636" s="62"/>
    </row>
    <row r="637">
      <c r="A637" s="62"/>
    </row>
    <row r="638">
      <c r="A638" s="62"/>
    </row>
    <row r="639">
      <c r="A639" s="62"/>
    </row>
    <row r="640">
      <c r="A640" s="62"/>
    </row>
    <row r="641">
      <c r="A641" s="62"/>
    </row>
    <row r="642">
      <c r="A642" s="62"/>
    </row>
    <row r="643">
      <c r="A643" s="62"/>
    </row>
    <row r="644">
      <c r="A644" s="62"/>
    </row>
    <row r="645">
      <c r="A645" s="62"/>
    </row>
    <row r="646">
      <c r="A646" s="62"/>
    </row>
    <row r="647">
      <c r="A647" s="62"/>
    </row>
    <row r="648">
      <c r="A648" s="62"/>
    </row>
    <row r="649">
      <c r="A649" s="62"/>
    </row>
    <row r="650">
      <c r="A650" s="62"/>
    </row>
    <row r="651">
      <c r="A651" s="62"/>
    </row>
    <row r="652">
      <c r="A652" s="62"/>
    </row>
    <row r="653">
      <c r="A653" s="62"/>
    </row>
    <row r="654">
      <c r="A654" s="62"/>
    </row>
    <row r="655">
      <c r="A655" s="62"/>
    </row>
    <row r="656">
      <c r="A656" s="62"/>
    </row>
    <row r="657">
      <c r="A657" s="62"/>
    </row>
    <row r="658">
      <c r="A658" s="62"/>
    </row>
    <row r="659">
      <c r="A659" s="62"/>
    </row>
    <row r="660">
      <c r="A660" s="62"/>
    </row>
    <row r="661">
      <c r="A661" s="62"/>
    </row>
    <row r="662">
      <c r="A662" s="62"/>
    </row>
    <row r="663">
      <c r="A663" s="62"/>
    </row>
    <row r="664">
      <c r="A664" s="62"/>
    </row>
    <row r="665">
      <c r="A665" s="62"/>
    </row>
    <row r="666">
      <c r="A666" s="62"/>
    </row>
    <row r="667">
      <c r="A667" s="62"/>
    </row>
    <row r="668">
      <c r="A668" s="62"/>
    </row>
    <row r="669">
      <c r="A669" s="62"/>
    </row>
    <row r="670">
      <c r="A670" s="62"/>
    </row>
    <row r="671">
      <c r="A671" s="62"/>
    </row>
    <row r="672">
      <c r="A672" s="62"/>
    </row>
    <row r="673">
      <c r="A673" s="62"/>
    </row>
    <row r="674">
      <c r="A674" s="62"/>
    </row>
    <row r="675">
      <c r="A675" s="62"/>
    </row>
    <row r="676">
      <c r="A676" s="62"/>
    </row>
    <row r="677">
      <c r="A677" s="62"/>
    </row>
    <row r="678">
      <c r="A678" s="62"/>
    </row>
    <row r="679">
      <c r="A679" s="62"/>
    </row>
    <row r="680">
      <c r="A680" s="62"/>
    </row>
    <row r="681">
      <c r="A681" s="62"/>
    </row>
    <row r="682">
      <c r="A682" s="62"/>
    </row>
    <row r="683">
      <c r="A683" s="62"/>
    </row>
    <row r="684">
      <c r="A684" s="62"/>
    </row>
    <row r="685">
      <c r="A685" s="62"/>
    </row>
    <row r="686">
      <c r="A686" s="62"/>
    </row>
    <row r="687">
      <c r="A687" s="62"/>
    </row>
    <row r="688">
      <c r="A688" s="62"/>
    </row>
    <row r="689">
      <c r="A689" s="62"/>
    </row>
    <row r="690">
      <c r="A690" s="62"/>
    </row>
    <row r="691">
      <c r="A691" s="62"/>
    </row>
    <row r="692">
      <c r="A692" s="62"/>
    </row>
    <row r="693">
      <c r="A693" s="62"/>
    </row>
    <row r="694">
      <c r="A694" s="62"/>
    </row>
    <row r="695">
      <c r="A695" s="62"/>
    </row>
    <row r="696">
      <c r="A696" s="62"/>
    </row>
    <row r="697">
      <c r="A697" s="62"/>
    </row>
    <row r="698">
      <c r="A698" s="62"/>
    </row>
    <row r="699">
      <c r="A699" s="62"/>
    </row>
    <row r="700">
      <c r="A700" s="62"/>
    </row>
    <row r="701">
      <c r="A701" s="62"/>
    </row>
    <row r="702">
      <c r="A702" s="62"/>
    </row>
    <row r="703">
      <c r="A703" s="62"/>
    </row>
    <row r="704">
      <c r="A704" s="62"/>
    </row>
    <row r="705">
      <c r="A705" s="62"/>
    </row>
    <row r="706">
      <c r="A706" s="62"/>
    </row>
    <row r="707">
      <c r="A707" s="62"/>
    </row>
    <row r="708">
      <c r="A708" s="62"/>
    </row>
    <row r="709">
      <c r="A709" s="62"/>
    </row>
    <row r="710">
      <c r="A710" s="62"/>
    </row>
    <row r="711">
      <c r="A711" s="62"/>
    </row>
    <row r="712">
      <c r="A712" s="62"/>
    </row>
    <row r="713">
      <c r="A713" s="62"/>
    </row>
    <row r="714">
      <c r="A714" s="62"/>
    </row>
    <row r="715">
      <c r="A715" s="62"/>
    </row>
    <row r="716">
      <c r="A716" s="62"/>
    </row>
    <row r="717">
      <c r="A717" s="62"/>
    </row>
    <row r="718">
      <c r="A718" s="62"/>
    </row>
    <row r="719">
      <c r="A719" s="62"/>
    </row>
    <row r="720">
      <c r="A720" s="62"/>
    </row>
    <row r="721">
      <c r="A721" s="62"/>
    </row>
    <row r="722">
      <c r="A722" s="62"/>
    </row>
    <row r="723">
      <c r="A723" s="62"/>
    </row>
    <row r="724">
      <c r="A724" s="62"/>
    </row>
    <row r="725">
      <c r="A725" s="62"/>
    </row>
    <row r="726">
      <c r="A726" s="62"/>
    </row>
    <row r="727">
      <c r="A727" s="62"/>
    </row>
    <row r="728">
      <c r="A728" s="62"/>
    </row>
    <row r="729">
      <c r="A729" s="62"/>
    </row>
    <row r="730">
      <c r="A730" s="62"/>
    </row>
    <row r="731">
      <c r="A731" s="62"/>
    </row>
    <row r="732">
      <c r="A732" s="62"/>
    </row>
    <row r="733">
      <c r="A733" s="62"/>
    </row>
    <row r="734">
      <c r="A734" s="62"/>
    </row>
    <row r="735">
      <c r="A735" s="62"/>
    </row>
    <row r="736">
      <c r="A736" s="62"/>
    </row>
    <row r="737">
      <c r="A737" s="62"/>
    </row>
    <row r="738">
      <c r="A738" s="62"/>
    </row>
    <row r="739">
      <c r="A739" s="62"/>
    </row>
    <row r="740">
      <c r="A740" s="62"/>
    </row>
    <row r="741">
      <c r="A741" s="62"/>
    </row>
    <row r="742">
      <c r="A742" s="62"/>
    </row>
    <row r="743">
      <c r="A743" s="62"/>
    </row>
    <row r="744">
      <c r="A744" s="62"/>
    </row>
    <row r="745">
      <c r="A745" s="62"/>
    </row>
    <row r="746">
      <c r="A746" s="62"/>
    </row>
    <row r="747">
      <c r="A747" s="62"/>
    </row>
    <row r="748">
      <c r="A748" s="62"/>
    </row>
    <row r="749">
      <c r="A749" s="62"/>
    </row>
    <row r="750">
      <c r="A750" s="62"/>
    </row>
    <row r="751">
      <c r="A751" s="62"/>
    </row>
    <row r="752">
      <c r="A752" s="62"/>
    </row>
    <row r="753">
      <c r="A753" s="62"/>
    </row>
    <row r="754">
      <c r="A754" s="62"/>
    </row>
    <row r="755">
      <c r="A755" s="62"/>
    </row>
    <row r="756">
      <c r="A756" s="62"/>
    </row>
    <row r="757">
      <c r="A757" s="62"/>
    </row>
    <row r="758">
      <c r="A758" s="62"/>
    </row>
    <row r="759">
      <c r="A759" s="62"/>
    </row>
    <row r="760">
      <c r="A760" s="62"/>
    </row>
    <row r="761">
      <c r="A761" s="62"/>
    </row>
    <row r="762">
      <c r="A762" s="62"/>
    </row>
    <row r="763">
      <c r="A763" s="62"/>
    </row>
    <row r="764">
      <c r="A764" s="62"/>
    </row>
    <row r="765">
      <c r="A765" s="62"/>
    </row>
    <row r="766">
      <c r="A766" s="62"/>
    </row>
    <row r="767">
      <c r="A767" s="62"/>
    </row>
    <row r="768">
      <c r="A768" s="62"/>
    </row>
    <row r="769">
      <c r="A769" s="62"/>
    </row>
    <row r="770">
      <c r="A770" s="62"/>
    </row>
    <row r="771">
      <c r="A771" s="62"/>
    </row>
    <row r="772">
      <c r="A772" s="62"/>
    </row>
    <row r="773">
      <c r="A773" s="62"/>
    </row>
    <row r="774">
      <c r="A774" s="62"/>
    </row>
    <row r="775">
      <c r="A775" s="62"/>
    </row>
    <row r="776">
      <c r="A776" s="62"/>
    </row>
    <row r="777">
      <c r="A777" s="62"/>
    </row>
    <row r="778">
      <c r="A778" s="62"/>
    </row>
    <row r="779">
      <c r="A779" s="62"/>
    </row>
    <row r="780">
      <c r="A780" s="62"/>
    </row>
    <row r="781">
      <c r="A781" s="62"/>
    </row>
    <row r="782">
      <c r="A782" s="62"/>
    </row>
    <row r="783">
      <c r="A783" s="62"/>
    </row>
    <row r="784">
      <c r="A784" s="62"/>
    </row>
    <row r="785">
      <c r="A785" s="62"/>
    </row>
    <row r="786">
      <c r="A786" s="62"/>
    </row>
    <row r="787">
      <c r="A787" s="62"/>
    </row>
    <row r="788">
      <c r="A788" s="62"/>
    </row>
    <row r="789">
      <c r="A789" s="62"/>
    </row>
    <row r="790">
      <c r="A790" s="62"/>
    </row>
    <row r="791">
      <c r="A791" s="62"/>
    </row>
    <row r="792">
      <c r="A792" s="62"/>
    </row>
    <row r="793">
      <c r="A793" s="62"/>
    </row>
    <row r="794">
      <c r="A794" s="62"/>
    </row>
    <row r="795">
      <c r="A795" s="62"/>
    </row>
    <row r="796">
      <c r="A796" s="62"/>
    </row>
    <row r="797">
      <c r="A797" s="62"/>
    </row>
    <row r="798">
      <c r="A798" s="62"/>
    </row>
    <row r="799">
      <c r="A799" s="62"/>
    </row>
    <row r="800">
      <c r="A800" s="62"/>
    </row>
    <row r="801">
      <c r="A801" s="62"/>
    </row>
    <row r="802">
      <c r="A802" s="62"/>
    </row>
    <row r="803">
      <c r="A803" s="62"/>
    </row>
    <row r="804">
      <c r="A804" s="62"/>
    </row>
    <row r="805">
      <c r="A805" s="62"/>
    </row>
    <row r="806">
      <c r="A806" s="62"/>
    </row>
    <row r="807">
      <c r="A807" s="62"/>
    </row>
    <row r="808">
      <c r="A808" s="62"/>
    </row>
    <row r="809">
      <c r="A809" s="62"/>
    </row>
    <row r="810">
      <c r="A810" s="62"/>
    </row>
    <row r="811">
      <c r="A811" s="62"/>
    </row>
    <row r="812">
      <c r="A812" s="62"/>
    </row>
    <row r="813">
      <c r="A813" s="62"/>
    </row>
    <row r="814">
      <c r="A814" s="62"/>
    </row>
    <row r="815">
      <c r="A815" s="62"/>
    </row>
    <row r="816">
      <c r="A816" s="62"/>
    </row>
    <row r="817">
      <c r="A817" s="62"/>
    </row>
    <row r="818">
      <c r="A818" s="62"/>
    </row>
    <row r="819">
      <c r="A819" s="62"/>
    </row>
    <row r="820">
      <c r="A820" s="62"/>
    </row>
    <row r="821">
      <c r="A821" s="62"/>
    </row>
    <row r="822">
      <c r="A822" s="62"/>
    </row>
    <row r="823">
      <c r="A823" s="62"/>
    </row>
    <row r="824">
      <c r="A824" s="62"/>
    </row>
    <row r="825">
      <c r="A825" s="62"/>
    </row>
    <row r="826">
      <c r="A826" s="62"/>
    </row>
    <row r="827">
      <c r="A827" s="62"/>
    </row>
    <row r="828">
      <c r="A828" s="62"/>
    </row>
    <row r="829">
      <c r="A829" s="62"/>
    </row>
    <row r="830">
      <c r="A830" s="62"/>
    </row>
    <row r="831">
      <c r="A831" s="62"/>
    </row>
    <row r="832">
      <c r="A832" s="62"/>
    </row>
    <row r="833">
      <c r="A833" s="62"/>
    </row>
    <row r="834">
      <c r="A834" s="62"/>
    </row>
    <row r="835">
      <c r="A835" s="62"/>
    </row>
    <row r="836">
      <c r="A836" s="62"/>
    </row>
    <row r="837">
      <c r="A837" s="62"/>
    </row>
    <row r="838">
      <c r="A838" s="62"/>
    </row>
    <row r="839">
      <c r="A839" s="62"/>
    </row>
    <row r="840">
      <c r="A840" s="62"/>
    </row>
    <row r="841">
      <c r="A841" s="62"/>
    </row>
    <row r="842">
      <c r="A842" s="62"/>
    </row>
    <row r="843">
      <c r="A843" s="62"/>
    </row>
    <row r="844">
      <c r="A844" s="62"/>
    </row>
    <row r="845">
      <c r="A845" s="62"/>
    </row>
    <row r="846">
      <c r="A846" s="62"/>
    </row>
    <row r="847">
      <c r="A847" s="62"/>
    </row>
    <row r="848">
      <c r="A848" s="62"/>
    </row>
    <row r="849">
      <c r="A849" s="62"/>
    </row>
    <row r="850">
      <c r="A850" s="62"/>
    </row>
    <row r="851">
      <c r="A851" s="62"/>
    </row>
    <row r="852">
      <c r="A852" s="62"/>
    </row>
    <row r="853">
      <c r="A853" s="62"/>
    </row>
    <row r="854">
      <c r="A854" s="62"/>
    </row>
    <row r="855">
      <c r="A855" s="62"/>
    </row>
    <row r="856">
      <c r="A856" s="62"/>
    </row>
    <row r="857">
      <c r="A857" s="62"/>
    </row>
    <row r="858">
      <c r="A858" s="62"/>
    </row>
    <row r="859">
      <c r="A859" s="62"/>
    </row>
    <row r="860">
      <c r="A860" s="62"/>
    </row>
    <row r="861">
      <c r="A861" s="62"/>
    </row>
    <row r="862">
      <c r="A862" s="62"/>
    </row>
    <row r="863">
      <c r="A863" s="62"/>
    </row>
    <row r="864">
      <c r="A864" s="62"/>
    </row>
    <row r="865">
      <c r="A865" s="62"/>
    </row>
    <row r="866">
      <c r="A866" s="62"/>
    </row>
    <row r="867">
      <c r="A867" s="62"/>
    </row>
    <row r="868">
      <c r="A868" s="62"/>
    </row>
    <row r="869">
      <c r="A869" s="62"/>
    </row>
    <row r="870">
      <c r="A870" s="62"/>
    </row>
    <row r="871">
      <c r="A871" s="62"/>
    </row>
    <row r="872">
      <c r="A872" s="62"/>
    </row>
    <row r="873">
      <c r="A873" s="62"/>
    </row>
    <row r="874">
      <c r="A874" s="62"/>
    </row>
    <row r="875">
      <c r="A875" s="62"/>
    </row>
    <row r="876">
      <c r="A876" s="62"/>
    </row>
    <row r="877">
      <c r="A877" s="62"/>
    </row>
    <row r="878">
      <c r="A878" s="62"/>
    </row>
    <row r="879">
      <c r="A879" s="62"/>
    </row>
    <row r="880">
      <c r="A880" s="62"/>
    </row>
    <row r="881">
      <c r="A881" s="62"/>
    </row>
    <row r="882">
      <c r="A882" s="62"/>
    </row>
    <row r="883">
      <c r="A883" s="62"/>
    </row>
    <row r="884">
      <c r="A884" s="62"/>
    </row>
    <row r="885">
      <c r="A885" s="62"/>
    </row>
    <row r="886">
      <c r="A886" s="62"/>
    </row>
    <row r="887">
      <c r="A887" s="62"/>
    </row>
    <row r="888">
      <c r="A888" s="62"/>
    </row>
    <row r="889">
      <c r="A889" s="62"/>
    </row>
    <row r="890">
      <c r="A890" s="62"/>
    </row>
    <row r="891">
      <c r="A891" s="62"/>
    </row>
    <row r="892">
      <c r="A892" s="62"/>
    </row>
    <row r="893">
      <c r="A893" s="62"/>
    </row>
    <row r="894">
      <c r="A894" s="62"/>
    </row>
    <row r="895">
      <c r="A895" s="62"/>
    </row>
    <row r="896">
      <c r="A896" s="62"/>
    </row>
    <row r="897">
      <c r="A897" s="62"/>
    </row>
    <row r="898">
      <c r="A898" s="62"/>
    </row>
    <row r="899">
      <c r="A899" s="62"/>
    </row>
    <row r="900">
      <c r="A900" s="62"/>
    </row>
    <row r="901">
      <c r="A901" s="62"/>
    </row>
    <row r="902">
      <c r="A902" s="62"/>
    </row>
    <row r="903">
      <c r="A903" s="62"/>
    </row>
    <row r="904">
      <c r="A904" s="62"/>
    </row>
    <row r="905">
      <c r="A905" s="62"/>
    </row>
    <row r="906">
      <c r="A906" s="62"/>
    </row>
    <row r="907">
      <c r="A907" s="62"/>
    </row>
    <row r="908">
      <c r="A908" s="62"/>
    </row>
    <row r="909">
      <c r="A909" s="62"/>
    </row>
    <row r="910">
      <c r="A910" s="62"/>
    </row>
    <row r="911">
      <c r="A911" s="62"/>
    </row>
    <row r="912">
      <c r="A912" s="62"/>
    </row>
    <row r="913">
      <c r="A913" s="62"/>
    </row>
    <row r="914">
      <c r="A914" s="62"/>
    </row>
    <row r="915">
      <c r="A915" s="62"/>
    </row>
    <row r="916">
      <c r="A916" s="62"/>
    </row>
    <row r="917">
      <c r="A917" s="62"/>
    </row>
    <row r="918">
      <c r="A918" s="62"/>
    </row>
    <row r="919">
      <c r="A919" s="62"/>
    </row>
    <row r="920">
      <c r="A920" s="62"/>
    </row>
    <row r="921">
      <c r="A921" s="62"/>
    </row>
    <row r="922">
      <c r="A922" s="62"/>
    </row>
    <row r="923">
      <c r="A923" s="62"/>
    </row>
    <row r="924">
      <c r="A924" s="62"/>
    </row>
    <row r="925">
      <c r="A925" s="62"/>
    </row>
    <row r="926">
      <c r="A926" s="62"/>
    </row>
    <row r="927">
      <c r="A927" s="62"/>
    </row>
    <row r="928">
      <c r="A928" s="62"/>
    </row>
    <row r="929">
      <c r="A929" s="62"/>
    </row>
    <row r="930">
      <c r="A930" s="62"/>
    </row>
    <row r="931">
      <c r="A931" s="62"/>
    </row>
    <row r="932">
      <c r="A932" s="62"/>
    </row>
    <row r="933">
      <c r="A933" s="62"/>
    </row>
    <row r="934">
      <c r="A934" s="62"/>
    </row>
    <row r="935">
      <c r="A935" s="62"/>
    </row>
    <row r="936">
      <c r="A936" s="62"/>
    </row>
    <row r="937">
      <c r="A937" s="62"/>
    </row>
    <row r="938">
      <c r="A938" s="62"/>
    </row>
    <row r="939">
      <c r="A939" s="62"/>
    </row>
    <row r="940">
      <c r="A940" s="62"/>
    </row>
    <row r="941">
      <c r="A941" s="62"/>
    </row>
    <row r="942">
      <c r="A942" s="62"/>
    </row>
    <row r="943">
      <c r="A943" s="62"/>
    </row>
    <row r="944">
      <c r="A944" s="62"/>
    </row>
    <row r="945">
      <c r="A945" s="62"/>
    </row>
    <row r="946">
      <c r="A946" s="62"/>
    </row>
    <row r="947">
      <c r="A947" s="62"/>
    </row>
    <row r="948">
      <c r="A948" s="62"/>
    </row>
    <row r="949">
      <c r="A949" s="62"/>
    </row>
    <row r="950">
      <c r="A950" s="62"/>
    </row>
    <row r="951">
      <c r="A951" s="62"/>
    </row>
    <row r="952">
      <c r="A952" s="62"/>
    </row>
    <row r="953">
      <c r="A953" s="62"/>
    </row>
    <row r="954">
      <c r="A954" s="62"/>
    </row>
    <row r="955">
      <c r="A955" s="62"/>
    </row>
    <row r="956">
      <c r="A956" s="62"/>
    </row>
    <row r="957">
      <c r="A957" s="62"/>
    </row>
    <row r="958">
      <c r="A958" s="62"/>
    </row>
    <row r="959">
      <c r="A959" s="62"/>
    </row>
    <row r="960">
      <c r="A960" s="62"/>
    </row>
    <row r="961">
      <c r="A961" s="62"/>
    </row>
    <row r="962">
      <c r="A962" s="62"/>
    </row>
    <row r="963">
      <c r="A963" s="62"/>
    </row>
    <row r="964">
      <c r="A964" s="62"/>
    </row>
    <row r="965">
      <c r="A965" s="62"/>
    </row>
    <row r="966">
      <c r="A966" s="62"/>
    </row>
    <row r="967">
      <c r="A967" s="62"/>
    </row>
    <row r="968">
      <c r="A968" s="62"/>
    </row>
    <row r="969">
      <c r="A969" s="62"/>
    </row>
    <row r="970">
      <c r="A970" s="62"/>
    </row>
    <row r="971">
      <c r="A971" s="62"/>
    </row>
    <row r="972">
      <c r="A972" s="62"/>
    </row>
    <row r="973">
      <c r="A973" s="62"/>
    </row>
    <row r="974">
      <c r="A974" s="62"/>
    </row>
    <row r="975">
      <c r="A975" s="62"/>
    </row>
    <row r="976">
      <c r="A976" s="62"/>
    </row>
    <row r="977">
      <c r="A977" s="62"/>
    </row>
    <row r="978">
      <c r="A978" s="62"/>
    </row>
    <row r="979">
      <c r="A979" s="62"/>
    </row>
    <row r="980">
      <c r="A980" s="62"/>
    </row>
    <row r="981">
      <c r="A981" s="62"/>
    </row>
    <row r="982">
      <c r="A982" s="62"/>
    </row>
    <row r="983">
      <c r="A983" s="62"/>
    </row>
    <row r="984">
      <c r="A984" s="62"/>
    </row>
    <row r="985">
      <c r="A985" s="62"/>
    </row>
    <row r="986">
      <c r="A986" s="62"/>
    </row>
    <row r="987">
      <c r="A987" s="62"/>
    </row>
    <row r="988">
      <c r="A988" s="62"/>
    </row>
    <row r="989">
      <c r="A989" s="62"/>
    </row>
    <row r="990">
      <c r="A990" s="62"/>
    </row>
    <row r="991">
      <c r="A991" s="62"/>
    </row>
    <row r="992">
      <c r="A992" s="62"/>
    </row>
    <row r="993">
      <c r="A993" s="62"/>
    </row>
    <row r="994">
      <c r="A994" s="62"/>
    </row>
    <row r="995">
      <c r="A995" s="62"/>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0" max="20" width="39.0"/>
  </cols>
  <sheetData>
    <row r="1">
      <c r="A1" s="154" t="s">
        <v>546</v>
      </c>
      <c r="B1" s="154" t="s">
        <v>618</v>
      </c>
      <c r="C1" s="154" t="s">
        <v>619</v>
      </c>
      <c r="D1" s="154" t="s">
        <v>620</v>
      </c>
      <c r="E1" s="154" t="s">
        <v>621</v>
      </c>
      <c r="F1" s="154" t="s">
        <v>622</v>
      </c>
      <c r="G1" s="155" t="s">
        <v>623</v>
      </c>
      <c r="H1" s="154" t="s">
        <v>624</v>
      </c>
      <c r="I1" s="154" t="s">
        <v>211</v>
      </c>
      <c r="J1" s="154" t="s">
        <v>210</v>
      </c>
      <c r="K1" s="154" t="s">
        <v>625</v>
      </c>
      <c r="L1" s="154" t="s">
        <v>626</v>
      </c>
      <c r="M1" s="154" t="s">
        <v>612</v>
      </c>
      <c r="N1" s="154" t="s">
        <v>627</v>
      </c>
      <c r="O1" s="154" t="s">
        <v>628</v>
      </c>
      <c r="P1" s="154" t="s">
        <v>629</v>
      </c>
      <c r="Q1" s="154" t="s">
        <v>630</v>
      </c>
      <c r="R1" s="154" t="s">
        <v>631</v>
      </c>
      <c r="S1" s="154" t="s">
        <v>632</v>
      </c>
      <c r="T1" s="154" t="s">
        <v>587</v>
      </c>
      <c r="U1" s="95" t="s">
        <v>633</v>
      </c>
      <c r="V1" s="95" t="s">
        <v>634</v>
      </c>
      <c r="W1" s="95" t="s">
        <v>635</v>
      </c>
      <c r="X1" s="95" t="s">
        <v>636</v>
      </c>
      <c r="Y1" s="95" t="s">
        <v>637</v>
      </c>
      <c r="Z1" s="95" t="s">
        <v>638</v>
      </c>
      <c r="AA1" s="95" t="s">
        <v>639</v>
      </c>
    </row>
    <row r="2">
      <c r="A2" s="156" t="s">
        <v>565</v>
      </c>
      <c r="F2" s="157"/>
      <c r="G2" s="157"/>
      <c r="H2" s="157"/>
      <c r="I2" s="156">
        <v>14.9637555</v>
      </c>
      <c r="J2" s="156">
        <v>50.3668147</v>
      </c>
      <c r="K2" s="157"/>
      <c r="L2" s="157"/>
      <c r="M2" s="157"/>
      <c r="N2" s="157"/>
      <c r="O2" s="157"/>
      <c r="P2" s="157"/>
      <c r="Q2" s="158">
        <v>0.3501162524</v>
      </c>
      <c r="R2" s="159">
        <v>0.3501162524</v>
      </c>
      <c r="S2" s="51">
        <v>0.0</v>
      </c>
      <c r="T2" s="157" t="s">
        <v>595</v>
      </c>
      <c r="U2" s="46" t="s">
        <v>115</v>
      </c>
      <c r="V2" s="46" t="b">
        <v>1</v>
      </c>
      <c r="W2" s="46">
        <v>0.99</v>
      </c>
      <c r="X2" s="46">
        <v>0.346615089876</v>
      </c>
      <c r="Y2" s="46">
        <v>117.718432761816</v>
      </c>
      <c r="Z2" s="46" t="b">
        <v>0</v>
      </c>
      <c r="AA2" s="46" t="b">
        <v>0</v>
      </c>
    </row>
    <row r="3">
      <c r="A3" s="156" t="s">
        <v>556</v>
      </c>
      <c r="F3" s="157"/>
      <c r="G3" s="157"/>
      <c r="H3" s="157"/>
      <c r="I3" s="156">
        <v>4.158918</v>
      </c>
      <c r="J3" s="156">
        <v>49.345139</v>
      </c>
      <c r="K3" s="157"/>
      <c r="L3" s="157"/>
      <c r="M3" s="157"/>
      <c r="N3" s="157"/>
      <c r="O3" s="157"/>
      <c r="P3" s="157"/>
      <c r="Q3" s="158">
        <v>0.2821242968</v>
      </c>
      <c r="R3" s="159">
        <v>0.2821242968</v>
      </c>
      <c r="S3" s="51">
        <v>0.0</v>
      </c>
      <c r="T3" s="157" t="s">
        <v>595</v>
      </c>
      <c r="U3" s="46" t="s">
        <v>115</v>
      </c>
      <c r="V3" s="46" t="b">
        <v>1</v>
      </c>
      <c r="W3" s="46">
        <v>0.99</v>
      </c>
      <c r="X3" s="46">
        <v>0.279303053832</v>
      </c>
      <c r="Y3" s="46">
        <v>105.824791241387</v>
      </c>
      <c r="Z3" s="46" t="b">
        <v>0</v>
      </c>
      <c r="AA3" s="46" t="b">
        <v>0</v>
      </c>
    </row>
    <row r="4">
      <c r="A4" s="156" t="s">
        <v>569</v>
      </c>
      <c r="F4" s="157"/>
      <c r="G4" s="157"/>
      <c r="H4" s="157"/>
      <c r="I4" s="156">
        <v>18.841061</v>
      </c>
      <c r="J4" s="156">
        <v>46.7677625</v>
      </c>
      <c r="K4" s="157"/>
      <c r="L4" s="157"/>
      <c r="M4" s="157"/>
      <c r="N4" s="157"/>
      <c r="O4" s="157"/>
      <c r="P4" s="157"/>
      <c r="Q4" s="158">
        <v>0.24337585709999998</v>
      </c>
      <c r="R4" s="159">
        <v>0.24337585709999998</v>
      </c>
      <c r="S4" s="51">
        <v>0.0</v>
      </c>
      <c r="T4" s="157" t="s">
        <v>595</v>
      </c>
      <c r="U4" s="46" t="s">
        <v>115</v>
      </c>
      <c r="V4" s="46" t="b">
        <v>1</v>
      </c>
      <c r="W4" s="46">
        <v>0.99</v>
      </c>
      <c r="X4" s="46">
        <v>0.240942098529</v>
      </c>
      <c r="Y4" s="46">
        <v>118.019639058575</v>
      </c>
      <c r="Z4" s="46" t="b">
        <v>0</v>
      </c>
      <c r="AA4" s="46" t="b">
        <v>0</v>
      </c>
    </row>
    <row r="5">
      <c r="A5" s="156" t="s">
        <v>563</v>
      </c>
      <c r="F5" s="157"/>
      <c r="G5" s="157"/>
      <c r="H5" s="157"/>
      <c r="I5" s="156">
        <v>-1.3541498</v>
      </c>
      <c r="J5" s="156">
        <v>54.507659</v>
      </c>
      <c r="K5" s="157"/>
      <c r="L5" s="157"/>
      <c r="M5" s="157"/>
      <c r="N5" s="157"/>
      <c r="O5" s="157"/>
      <c r="P5" s="157"/>
      <c r="Q5" s="158">
        <v>0.21633409520000002</v>
      </c>
      <c r="R5" s="159">
        <v>0.21633409520000002</v>
      </c>
      <c r="S5" s="51">
        <v>0.0</v>
      </c>
      <c r="T5" s="157" t="s">
        <v>595</v>
      </c>
      <c r="U5" s="46" t="s">
        <v>115</v>
      </c>
      <c r="V5" s="46" t="b">
        <v>1</v>
      </c>
      <c r="W5" s="46">
        <v>0.99</v>
      </c>
      <c r="X5" s="46">
        <v>0.214170754248</v>
      </c>
      <c r="Y5" s="46">
        <v>28.1849692807109</v>
      </c>
      <c r="Z5" s="46" t="b">
        <v>1</v>
      </c>
      <c r="AA5" s="46" t="b">
        <v>1</v>
      </c>
    </row>
    <row r="6">
      <c r="A6" s="156" t="s">
        <v>563</v>
      </c>
      <c r="F6" s="157"/>
      <c r="G6" s="157"/>
      <c r="H6" s="157"/>
      <c r="I6" s="156">
        <v>-1.862598</v>
      </c>
      <c r="J6" s="156">
        <v>51.079018</v>
      </c>
      <c r="K6" s="157"/>
      <c r="L6" s="157"/>
      <c r="M6" s="157"/>
      <c r="N6" s="157"/>
      <c r="O6" s="157"/>
      <c r="P6" s="157"/>
      <c r="Q6" s="158">
        <v>0.21633409520000002</v>
      </c>
      <c r="R6" s="159">
        <v>0.21633409520000002</v>
      </c>
      <c r="S6" s="51">
        <v>0.0</v>
      </c>
      <c r="T6" s="157" t="s">
        <v>595</v>
      </c>
      <c r="U6" s="46" t="s">
        <v>115</v>
      </c>
      <c r="V6" s="46" t="b">
        <v>1</v>
      </c>
      <c r="W6" s="46">
        <v>0.99</v>
      </c>
      <c r="X6" s="46">
        <v>0.214170754248</v>
      </c>
      <c r="Y6" s="46" t="s">
        <v>640</v>
      </c>
      <c r="Z6" s="46" t="b">
        <v>0</v>
      </c>
      <c r="AA6" s="46" t="b">
        <v>0</v>
      </c>
    </row>
    <row r="7">
      <c r="A7" s="156" t="s">
        <v>570</v>
      </c>
      <c r="F7" s="157"/>
      <c r="G7" s="157"/>
      <c r="H7" s="157"/>
      <c r="I7" s="156">
        <v>4.1814821</v>
      </c>
      <c r="J7" s="156">
        <v>51.9249992</v>
      </c>
      <c r="K7" s="157"/>
      <c r="L7" s="157"/>
      <c r="M7" s="157"/>
      <c r="N7" s="157"/>
      <c r="O7" s="157"/>
      <c r="P7" s="157"/>
      <c r="Q7" s="158">
        <v>0.20312949370000002</v>
      </c>
      <c r="R7" s="159">
        <v>0.20312949370000002</v>
      </c>
      <c r="S7" s="51">
        <v>0.0</v>
      </c>
      <c r="T7" s="157" t="s">
        <v>595</v>
      </c>
      <c r="U7" s="46" t="s">
        <v>115</v>
      </c>
      <c r="V7" s="46" t="b">
        <v>1</v>
      </c>
      <c r="W7" s="46">
        <v>0.99</v>
      </c>
      <c r="X7" s="46">
        <v>0.201098198763</v>
      </c>
      <c r="Y7" s="46">
        <v>1.72990234385222</v>
      </c>
      <c r="Z7" s="46" t="b">
        <v>1</v>
      </c>
      <c r="AA7" s="46" t="b">
        <v>1</v>
      </c>
    </row>
    <row r="8">
      <c r="A8" s="156" t="s">
        <v>562</v>
      </c>
      <c r="F8" s="157"/>
      <c r="G8" s="157"/>
      <c r="H8" s="157"/>
      <c r="I8" s="156">
        <v>5.2071997</v>
      </c>
      <c r="J8" s="156">
        <v>50.5333388</v>
      </c>
      <c r="K8" s="157"/>
      <c r="L8" s="157"/>
      <c r="M8" s="157"/>
      <c r="N8" s="157"/>
      <c r="O8" s="157"/>
      <c r="P8" s="157"/>
      <c r="Q8" s="158">
        <v>0.16225057140000002</v>
      </c>
      <c r="R8" s="159">
        <v>0.16225057140000002</v>
      </c>
      <c r="S8" s="51">
        <v>0.0</v>
      </c>
      <c r="T8" s="157" t="s">
        <v>595</v>
      </c>
      <c r="U8" s="46" t="s">
        <v>115</v>
      </c>
      <c r="V8" s="46" t="b">
        <v>1</v>
      </c>
      <c r="W8" s="46">
        <v>0.99</v>
      </c>
      <c r="X8" s="46">
        <v>0.160628065686</v>
      </c>
      <c r="Y8" s="46">
        <v>2.06600166673463</v>
      </c>
      <c r="Z8" s="46" t="b">
        <v>1</v>
      </c>
      <c r="AA8" s="46" t="b">
        <v>1</v>
      </c>
    </row>
    <row r="9">
      <c r="A9" s="156" t="s">
        <v>565</v>
      </c>
      <c r="F9" s="157"/>
      <c r="G9" s="157"/>
      <c r="H9" s="157"/>
      <c r="I9" s="156">
        <v>16.048501</v>
      </c>
      <c r="J9" s="156">
        <v>50.2849358</v>
      </c>
      <c r="K9" s="157"/>
      <c r="L9" s="157"/>
      <c r="M9" s="157"/>
      <c r="N9" s="157"/>
      <c r="O9" s="157"/>
      <c r="P9" s="157"/>
      <c r="Q9" s="158">
        <v>0.1256299494</v>
      </c>
      <c r="R9" s="159">
        <v>0.1256299494</v>
      </c>
      <c r="S9" s="51">
        <v>0.0</v>
      </c>
      <c r="T9" s="157" t="s">
        <v>595</v>
      </c>
      <c r="U9" s="46" t="s">
        <v>115</v>
      </c>
      <c r="V9" s="46" t="b">
        <v>1</v>
      </c>
      <c r="W9" s="46">
        <v>0.99</v>
      </c>
      <c r="X9" s="46">
        <v>0.124373649906</v>
      </c>
      <c r="Y9" s="46" t="s">
        <v>640</v>
      </c>
      <c r="Z9" s="46" t="b">
        <v>0</v>
      </c>
      <c r="AA9" s="46" t="b">
        <v>0</v>
      </c>
    </row>
    <row r="10">
      <c r="A10" s="156" t="s">
        <v>561</v>
      </c>
      <c r="F10" s="157"/>
      <c r="G10" s="157"/>
      <c r="H10" s="157"/>
      <c r="I10" s="156">
        <v>-5.3915763</v>
      </c>
      <c r="J10" s="156">
        <v>36.1888142</v>
      </c>
      <c r="K10" s="157"/>
      <c r="L10" s="157"/>
      <c r="M10" s="157"/>
      <c r="N10" s="157"/>
      <c r="O10" s="157"/>
      <c r="P10" s="157"/>
      <c r="Q10" s="158">
        <v>0.11284971869999999</v>
      </c>
      <c r="R10" s="159">
        <v>0.11284971869999999</v>
      </c>
      <c r="S10" s="51">
        <v>0.0</v>
      </c>
      <c r="T10" s="157" t="s">
        <v>595</v>
      </c>
      <c r="U10" s="46" t="s">
        <v>115</v>
      </c>
      <c r="V10" s="46" t="b">
        <v>1</v>
      </c>
      <c r="W10" s="46">
        <v>0.99</v>
      </c>
      <c r="X10" s="46">
        <v>0.111721221513</v>
      </c>
      <c r="Y10" s="46" t="s">
        <v>640</v>
      </c>
      <c r="Z10" s="46" t="b">
        <v>0</v>
      </c>
      <c r="AA10" s="46" t="b">
        <v>0</v>
      </c>
    </row>
    <row r="11">
      <c r="A11" s="156" t="s">
        <v>561</v>
      </c>
      <c r="F11" s="157"/>
      <c r="G11" s="157"/>
      <c r="H11" s="157"/>
      <c r="I11" s="156">
        <v>-0.923322</v>
      </c>
      <c r="J11" s="156">
        <v>37.580706</v>
      </c>
      <c r="K11" s="157"/>
      <c r="L11" s="157"/>
      <c r="M11" s="157"/>
      <c r="N11" s="157"/>
      <c r="O11" s="157"/>
      <c r="P11" s="157"/>
      <c r="Q11" s="158">
        <v>0.09589008771</v>
      </c>
      <c r="R11" s="159">
        <v>0.09589008771</v>
      </c>
      <c r="S11" s="51">
        <v>0.0</v>
      </c>
      <c r="T11" s="157" t="s">
        <v>595</v>
      </c>
      <c r="U11" s="46" t="s">
        <v>115</v>
      </c>
      <c r="V11" s="46" t="b">
        <v>1</v>
      </c>
      <c r="W11" s="46">
        <v>0.99</v>
      </c>
      <c r="X11" s="46">
        <v>0.0949311868329</v>
      </c>
      <c r="Y11" s="46" t="s">
        <v>640</v>
      </c>
      <c r="Z11" s="46" t="b">
        <v>0</v>
      </c>
      <c r="AA11" s="46" t="b">
        <v>0</v>
      </c>
    </row>
    <row r="12">
      <c r="A12" s="156" t="s">
        <v>560</v>
      </c>
      <c r="F12" s="157"/>
      <c r="G12" s="157"/>
      <c r="H12" s="157"/>
      <c r="I12" s="156">
        <v>13.1104619</v>
      </c>
      <c r="J12" s="156">
        <v>47.6752151</v>
      </c>
      <c r="K12" s="157"/>
      <c r="L12" s="157"/>
      <c r="M12" s="157"/>
      <c r="N12" s="157"/>
      <c r="O12" s="157"/>
      <c r="P12" s="157"/>
      <c r="Q12" s="158">
        <v>0.08463728905000001</v>
      </c>
      <c r="R12" s="159">
        <v>0.08463728905000001</v>
      </c>
      <c r="S12" s="51">
        <v>0.0</v>
      </c>
      <c r="T12" s="157" t="s">
        <v>595</v>
      </c>
      <c r="U12" s="46" t="s">
        <v>115</v>
      </c>
      <c r="V12" s="46" t="b">
        <v>1</v>
      </c>
      <c r="W12" s="46">
        <v>0.99</v>
      </c>
      <c r="X12" s="46">
        <v>0.0837909161594999</v>
      </c>
      <c r="Y12" s="46">
        <v>47.0644249375271</v>
      </c>
      <c r="Z12" s="46" t="b">
        <v>1</v>
      </c>
      <c r="AA12" s="46" t="b">
        <v>1</v>
      </c>
    </row>
    <row r="13">
      <c r="A13" s="156" t="s">
        <v>574</v>
      </c>
      <c r="F13" s="157"/>
      <c r="G13" s="157"/>
      <c r="H13" s="157"/>
      <c r="I13" s="156">
        <v>17.74835</v>
      </c>
      <c r="J13" s="156">
        <v>48.441188</v>
      </c>
      <c r="K13" s="157"/>
      <c r="L13" s="157"/>
      <c r="M13" s="157"/>
      <c r="N13" s="157"/>
      <c r="O13" s="157"/>
      <c r="P13" s="157"/>
      <c r="Q13" s="158">
        <v>0.07842110952</v>
      </c>
      <c r="R13" s="159">
        <v>0.07842110952</v>
      </c>
      <c r="S13" s="51">
        <v>0.0</v>
      </c>
      <c r="T13" s="157" t="s">
        <v>595</v>
      </c>
      <c r="U13" s="46" t="s">
        <v>115</v>
      </c>
      <c r="V13" s="46" t="b">
        <v>1</v>
      </c>
      <c r="W13" s="46">
        <v>0.99</v>
      </c>
      <c r="X13" s="46">
        <v>0.0776368984248</v>
      </c>
      <c r="Y13" s="46" t="s">
        <v>640</v>
      </c>
      <c r="Z13" s="46" t="b">
        <v>0</v>
      </c>
      <c r="AA13" s="46" t="b">
        <v>0</v>
      </c>
    </row>
    <row r="14">
      <c r="A14" s="156" t="s">
        <v>561</v>
      </c>
      <c r="F14" s="157"/>
      <c r="G14" s="157"/>
      <c r="H14" s="157"/>
      <c r="I14" s="156">
        <v>-4.0575592</v>
      </c>
      <c r="J14" s="156">
        <v>43.3623926</v>
      </c>
      <c r="K14" s="157"/>
      <c r="L14" s="157"/>
      <c r="M14" s="157"/>
      <c r="N14" s="157"/>
      <c r="O14" s="157"/>
      <c r="P14" s="157"/>
      <c r="Q14" s="158">
        <v>0.05642485937</v>
      </c>
      <c r="R14" s="159">
        <v>0.05642485937</v>
      </c>
      <c r="S14" s="51">
        <v>0.0</v>
      </c>
      <c r="T14" s="157" t="s">
        <v>595</v>
      </c>
      <c r="U14" s="46" t="s">
        <v>115</v>
      </c>
      <c r="V14" s="46" t="b">
        <v>1</v>
      </c>
      <c r="W14" s="46">
        <v>0.99</v>
      </c>
      <c r="X14" s="46">
        <v>0.0558606107762999</v>
      </c>
      <c r="Y14" s="46" t="s">
        <v>640</v>
      </c>
      <c r="Z14" s="46" t="b">
        <v>0</v>
      </c>
      <c r="AA14" s="46" t="b">
        <v>0</v>
      </c>
    </row>
    <row r="15">
      <c r="A15" s="156" t="s">
        <v>557</v>
      </c>
      <c r="F15" s="157"/>
      <c r="G15" s="157"/>
      <c r="H15" s="157"/>
      <c r="I15" s="156">
        <v>12.1422</v>
      </c>
      <c r="J15" s="156">
        <v>51.045509</v>
      </c>
      <c r="K15" s="157"/>
      <c r="L15" s="157"/>
      <c r="M15" s="157"/>
      <c r="N15" s="157"/>
      <c r="O15" s="157"/>
      <c r="P15" s="157"/>
      <c r="Q15" s="158">
        <v>0.05642485937</v>
      </c>
      <c r="R15" s="159">
        <v>0.05642485937</v>
      </c>
      <c r="S15" s="51">
        <v>0.0</v>
      </c>
      <c r="T15" s="157" t="s">
        <v>595</v>
      </c>
      <c r="U15" s="46" t="s">
        <v>115</v>
      </c>
      <c r="V15" s="46" t="b">
        <v>1</v>
      </c>
      <c r="W15" s="46">
        <v>0.99</v>
      </c>
      <c r="X15" s="46">
        <v>0.0558606107762999</v>
      </c>
      <c r="Y15" s="46">
        <v>22.0475321340588</v>
      </c>
      <c r="Z15" s="46" t="b">
        <v>1</v>
      </c>
      <c r="AA15" s="46" t="b">
        <v>1</v>
      </c>
    </row>
    <row r="16">
      <c r="A16" s="156" t="s">
        <v>569</v>
      </c>
      <c r="F16" s="157"/>
      <c r="G16" s="157"/>
      <c r="H16" s="157"/>
      <c r="I16" s="156">
        <v>20.3411085</v>
      </c>
      <c r="J16" s="156">
        <v>47.2045397</v>
      </c>
      <c r="K16" s="157"/>
      <c r="L16" s="157"/>
      <c r="M16" s="157"/>
      <c r="N16" s="157"/>
      <c r="O16" s="157"/>
      <c r="P16" s="157"/>
      <c r="Q16" s="158">
        <v>0.05642485937</v>
      </c>
      <c r="R16" s="159">
        <v>0.05642485937</v>
      </c>
      <c r="S16" s="51">
        <v>0.0</v>
      </c>
      <c r="T16" s="157" t="s">
        <v>595</v>
      </c>
      <c r="U16" s="46" t="s">
        <v>115</v>
      </c>
      <c r="V16" s="46" t="b">
        <v>1</v>
      </c>
      <c r="W16" s="46">
        <v>0.99</v>
      </c>
      <c r="X16" s="46">
        <v>0.0558606107762999</v>
      </c>
      <c r="Y16" s="46" t="s">
        <v>640</v>
      </c>
      <c r="Z16" s="46" t="b">
        <v>0</v>
      </c>
      <c r="AA16" s="46" t="b">
        <v>0</v>
      </c>
    </row>
    <row r="17">
      <c r="A17" s="156" t="s">
        <v>566</v>
      </c>
      <c r="F17" s="157"/>
      <c r="G17" s="157"/>
      <c r="H17" s="157"/>
      <c r="I17" s="156">
        <v>17.3295861</v>
      </c>
      <c r="J17" s="156">
        <v>50.4822855</v>
      </c>
      <c r="K17" s="157"/>
      <c r="L17" s="157"/>
      <c r="M17" s="157"/>
      <c r="N17" s="157"/>
      <c r="O17" s="157"/>
      <c r="P17" s="157"/>
      <c r="Q17" s="158">
        <v>0.05642485937</v>
      </c>
      <c r="R17" s="159">
        <v>0.05642485937</v>
      </c>
      <c r="S17" s="51">
        <v>0.0</v>
      </c>
      <c r="T17" s="157" t="s">
        <v>595</v>
      </c>
      <c r="U17" s="46" t="s">
        <v>115</v>
      </c>
      <c r="V17" s="46" t="b">
        <v>1</v>
      </c>
      <c r="W17" s="46">
        <v>0.99</v>
      </c>
      <c r="X17" s="46">
        <v>0.0558606107762999</v>
      </c>
      <c r="Y17" s="46" t="s">
        <v>640</v>
      </c>
      <c r="Z17" s="46" t="b">
        <v>0</v>
      </c>
      <c r="AA17" s="46" t="b">
        <v>0</v>
      </c>
    </row>
    <row r="18">
      <c r="A18" s="156" t="s">
        <v>569</v>
      </c>
      <c r="F18" s="157"/>
      <c r="G18" s="157"/>
      <c r="H18" s="157"/>
      <c r="I18" s="156">
        <v>18.7143957</v>
      </c>
      <c r="J18" s="156">
        <v>47.0834159</v>
      </c>
      <c r="K18" s="157"/>
      <c r="L18" s="157"/>
      <c r="M18" s="157"/>
      <c r="N18" s="157"/>
      <c r="O18" s="157"/>
      <c r="P18" s="157"/>
      <c r="Q18" s="158">
        <v>0.05642485937</v>
      </c>
      <c r="R18" s="159">
        <v>0.05642485937</v>
      </c>
      <c r="S18" s="51">
        <v>0.0</v>
      </c>
      <c r="T18" s="157" t="s">
        <v>595</v>
      </c>
      <c r="U18" s="46" t="s">
        <v>115</v>
      </c>
      <c r="V18" s="46" t="b">
        <v>1</v>
      </c>
      <c r="W18" s="46">
        <v>0.99</v>
      </c>
      <c r="X18" s="46">
        <v>0.0558606107762999</v>
      </c>
      <c r="Y18" s="46" t="s">
        <v>640</v>
      </c>
      <c r="Z18" s="46" t="b">
        <v>0</v>
      </c>
      <c r="AA18" s="46" t="b">
        <v>0</v>
      </c>
    </row>
    <row r="19">
      <c r="A19" s="156" t="s">
        <v>563</v>
      </c>
      <c r="F19" s="157"/>
      <c r="G19" s="157"/>
      <c r="H19" s="157"/>
      <c r="I19" s="156">
        <v>-3.2884096</v>
      </c>
      <c r="J19" s="156">
        <v>55.9246957</v>
      </c>
      <c r="K19" s="157"/>
      <c r="L19" s="157"/>
      <c r="M19" s="157"/>
      <c r="N19" s="157"/>
      <c r="O19" s="157"/>
      <c r="P19" s="157"/>
      <c r="Q19" s="158">
        <v>0.05642485937</v>
      </c>
      <c r="R19" s="159">
        <v>0.05642485937</v>
      </c>
      <c r="S19" s="51">
        <v>0.0</v>
      </c>
      <c r="T19" s="157" t="s">
        <v>595</v>
      </c>
      <c r="U19" s="46" t="s">
        <v>115</v>
      </c>
      <c r="V19" s="46" t="b">
        <v>1</v>
      </c>
      <c r="W19" s="46">
        <v>0.99</v>
      </c>
      <c r="X19" s="46">
        <v>0.0558606107762999</v>
      </c>
      <c r="Y19" s="46">
        <v>11.5134861156712</v>
      </c>
      <c r="Z19" s="46" t="b">
        <v>1</v>
      </c>
      <c r="AA19" s="46" t="b">
        <v>1</v>
      </c>
    </row>
    <row r="20">
      <c r="A20" s="156" t="s">
        <v>570</v>
      </c>
      <c r="F20" s="157"/>
      <c r="G20" s="157"/>
      <c r="H20" s="157"/>
      <c r="I20" s="156">
        <v>6.962736</v>
      </c>
      <c r="J20" s="156">
        <v>53.313166</v>
      </c>
      <c r="K20" s="157"/>
      <c r="L20" s="157"/>
      <c r="M20" s="157"/>
      <c r="N20" s="157"/>
      <c r="O20" s="157"/>
      <c r="P20" s="157"/>
      <c r="Q20" s="158">
        <v>0.05642485937</v>
      </c>
      <c r="R20" s="159">
        <v>0.05642485937</v>
      </c>
      <c r="S20" s="51">
        <v>0.0</v>
      </c>
      <c r="T20" s="157" t="s">
        <v>595</v>
      </c>
      <c r="U20" s="46" t="s">
        <v>115</v>
      </c>
      <c r="V20" s="46" t="b">
        <v>1</v>
      </c>
      <c r="W20" s="46">
        <v>0.99</v>
      </c>
      <c r="X20" s="46">
        <v>0.0558606107762999</v>
      </c>
      <c r="Y20" s="46">
        <v>14.3355835255721</v>
      </c>
      <c r="Z20" s="46" t="b">
        <v>1</v>
      </c>
      <c r="AA20" s="46" t="b">
        <v>1</v>
      </c>
    </row>
    <row r="21">
      <c r="A21" s="156" t="s">
        <v>570</v>
      </c>
      <c r="F21" s="157"/>
      <c r="G21" s="157"/>
      <c r="H21" s="157"/>
      <c r="I21" s="156">
        <v>4.1811495</v>
      </c>
      <c r="J21" s="156">
        <v>51.9230606</v>
      </c>
      <c r="K21" s="157"/>
      <c r="L21" s="157"/>
      <c r="M21" s="157"/>
      <c r="N21" s="157"/>
      <c r="O21" s="157"/>
      <c r="P21" s="157"/>
      <c r="Q21" s="158">
        <v>0.05642485937</v>
      </c>
      <c r="R21" s="159">
        <v>0.05642485937</v>
      </c>
      <c r="S21" s="51">
        <v>0.0</v>
      </c>
      <c r="T21" s="157" t="s">
        <v>595</v>
      </c>
      <c r="U21" s="46" t="s">
        <v>115</v>
      </c>
      <c r="V21" s="46" t="b">
        <v>1</v>
      </c>
      <c r="W21" s="46">
        <v>0.99</v>
      </c>
      <c r="X21" s="46">
        <v>0.0558606107762999</v>
      </c>
      <c r="Y21" s="46">
        <v>1.84981263766011</v>
      </c>
      <c r="Z21" s="46" t="b">
        <v>1</v>
      </c>
      <c r="AA21" s="46" t="b">
        <v>1</v>
      </c>
    </row>
    <row r="22">
      <c r="A22" s="156" t="s">
        <v>554</v>
      </c>
      <c r="F22" s="157"/>
      <c r="G22" s="157"/>
      <c r="H22" s="157"/>
      <c r="I22" s="156">
        <v>16.2302903</v>
      </c>
      <c r="J22" s="156">
        <v>58.61191</v>
      </c>
      <c r="K22" s="157"/>
      <c r="L22" s="157"/>
      <c r="M22" s="157"/>
      <c r="N22" s="157"/>
      <c r="O22" s="157"/>
      <c r="P22" s="157"/>
      <c r="Q22" s="158">
        <v>0.05642485937</v>
      </c>
      <c r="R22" s="159">
        <v>0.05642485937</v>
      </c>
      <c r="S22" s="51">
        <v>0.0</v>
      </c>
      <c r="T22" s="157" t="s">
        <v>595</v>
      </c>
      <c r="U22" s="46" t="s">
        <v>115</v>
      </c>
      <c r="V22" s="46" t="b">
        <v>1</v>
      </c>
      <c r="W22" s="46">
        <v>0.99</v>
      </c>
      <c r="X22" s="46">
        <v>0.0558606107762999</v>
      </c>
      <c r="Y22" s="46" t="s">
        <v>640</v>
      </c>
      <c r="Z22" s="46" t="b">
        <v>0</v>
      </c>
      <c r="AA22" s="46" t="b">
        <v>0</v>
      </c>
    </row>
    <row r="23">
      <c r="A23" s="156" t="s">
        <v>557</v>
      </c>
      <c r="F23" s="157"/>
      <c r="G23" s="157"/>
      <c r="H23" s="157"/>
      <c r="I23" s="156">
        <v>14.226461</v>
      </c>
      <c r="J23" s="156">
        <v>53.089595</v>
      </c>
      <c r="K23" s="157"/>
      <c r="L23" s="157"/>
      <c r="M23" s="157"/>
      <c r="N23" s="157"/>
      <c r="O23" s="157"/>
      <c r="P23" s="157"/>
      <c r="Q23" s="158">
        <v>0.05642485937</v>
      </c>
      <c r="R23" s="159">
        <v>0.05642485937</v>
      </c>
      <c r="S23" s="51">
        <v>0.0</v>
      </c>
      <c r="T23" s="157" t="s">
        <v>595</v>
      </c>
      <c r="U23" s="46" t="s">
        <v>115</v>
      </c>
      <c r="V23" s="46" t="b">
        <v>1</v>
      </c>
      <c r="W23" s="46">
        <v>0.99</v>
      </c>
      <c r="X23" s="46">
        <v>0.0558606107762999</v>
      </c>
      <c r="Y23" s="46">
        <v>48.6005958493077</v>
      </c>
      <c r="Z23" s="46" t="b">
        <v>1</v>
      </c>
      <c r="AA23" s="46" t="b">
        <v>1</v>
      </c>
    </row>
    <row r="24">
      <c r="A24" s="156" t="s">
        <v>557</v>
      </c>
      <c r="F24" s="157"/>
      <c r="G24" s="157"/>
      <c r="H24" s="157"/>
      <c r="I24" s="156">
        <v>12.13588</v>
      </c>
      <c r="J24" s="156">
        <v>51.62737</v>
      </c>
      <c r="K24" s="157"/>
      <c r="L24" s="157"/>
      <c r="M24" s="157"/>
      <c r="N24" s="157"/>
      <c r="O24" s="157"/>
      <c r="P24" s="157"/>
      <c r="Q24" s="158">
        <v>0.05642485937</v>
      </c>
      <c r="R24" s="159">
        <v>0.05642485937</v>
      </c>
      <c r="S24" s="51">
        <v>0.0</v>
      </c>
      <c r="T24" s="157" t="s">
        <v>595</v>
      </c>
      <c r="U24" s="46" t="s">
        <v>115</v>
      </c>
      <c r="V24" s="46" t="b">
        <v>1</v>
      </c>
      <c r="W24" s="46">
        <v>0.99</v>
      </c>
      <c r="X24" s="46">
        <v>0.0558606107762999</v>
      </c>
      <c r="Y24" s="46">
        <v>20.6608858767996</v>
      </c>
      <c r="Z24" s="46" t="b">
        <v>1</v>
      </c>
      <c r="AA24" s="46" t="b">
        <v>1</v>
      </c>
    </row>
    <row r="25">
      <c r="A25" s="156" t="s">
        <v>561</v>
      </c>
      <c r="F25" s="157"/>
      <c r="G25" s="157"/>
      <c r="H25" s="157"/>
      <c r="I25" s="156">
        <v>-8.0233615</v>
      </c>
      <c r="J25" s="156">
        <v>43.1560523</v>
      </c>
      <c r="K25" s="157"/>
      <c r="L25" s="157"/>
      <c r="M25" s="157"/>
      <c r="N25" s="157"/>
      <c r="O25" s="157"/>
      <c r="P25" s="157"/>
      <c r="Q25" s="158">
        <v>0.05642485937</v>
      </c>
      <c r="R25" s="159">
        <v>0.05642485937</v>
      </c>
      <c r="S25" s="51">
        <v>0.0</v>
      </c>
      <c r="T25" s="157" t="s">
        <v>595</v>
      </c>
      <c r="U25" s="46" t="s">
        <v>115</v>
      </c>
      <c r="V25" s="46" t="b">
        <v>1</v>
      </c>
      <c r="W25" s="46">
        <v>0.99</v>
      </c>
      <c r="X25" s="46">
        <v>0.0558606107762999</v>
      </c>
      <c r="Y25" s="46" t="s">
        <v>640</v>
      </c>
      <c r="Z25" s="46" t="b">
        <v>0</v>
      </c>
      <c r="AA25" s="46" t="b">
        <v>0</v>
      </c>
    </row>
    <row r="26">
      <c r="A26" s="156" t="s">
        <v>561</v>
      </c>
      <c r="F26" s="157"/>
      <c r="G26" s="157"/>
      <c r="H26" s="157"/>
      <c r="I26" s="156">
        <v>-5.4353598</v>
      </c>
      <c r="J26" s="156">
        <v>40.9684105</v>
      </c>
      <c r="K26" s="157"/>
      <c r="L26" s="157"/>
      <c r="M26" s="157"/>
      <c r="N26" s="157"/>
      <c r="O26" s="157"/>
      <c r="P26" s="157"/>
      <c r="Q26" s="158">
        <v>0.05642485937</v>
      </c>
      <c r="R26" s="159">
        <v>0.05642485937</v>
      </c>
      <c r="S26" s="51">
        <v>0.0</v>
      </c>
      <c r="T26" s="157" t="s">
        <v>595</v>
      </c>
      <c r="U26" s="46" t="s">
        <v>115</v>
      </c>
      <c r="V26" s="46" t="b">
        <v>1</v>
      </c>
      <c r="W26" s="46">
        <v>0.99</v>
      </c>
      <c r="X26" s="46">
        <v>0.0558606107762999</v>
      </c>
      <c r="Y26" s="46" t="s">
        <v>640</v>
      </c>
      <c r="Z26" s="46" t="b">
        <v>0</v>
      </c>
      <c r="AA26" s="46" t="b">
        <v>0</v>
      </c>
    </row>
    <row r="27">
      <c r="A27" s="156" t="s">
        <v>570</v>
      </c>
      <c r="F27" s="157"/>
      <c r="G27" s="157"/>
      <c r="H27" s="157"/>
      <c r="I27" s="156">
        <v>4.3466309</v>
      </c>
      <c r="J27" s="156">
        <v>51.8760535</v>
      </c>
      <c r="K27" s="157"/>
      <c r="L27" s="157"/>
      <c r="M27" s="157"/>
      <c r="N27" s="157"/>
      <c r="O27" s="157"/>
      <c r="P27" s="157"/>
      <c r="Q27" s="158">
        <v>0.05642485937</v>
      </c>
      <c r="R27" s="159">
        <v>0.05642485937</v>
      </c>
      <c r="S27" s="51">
        <v>0.0</v>
      </c>
      <c r="T27" s="157" t="s">
        <v>595</v>
      </c>
      <c r="U27" s="46" t="s">
        <v>115</v>
      </c>
      <c r="V27" s="46" t="b">
        <v>1</v>
      </c>
      <c r="W27" s="46">
        <v>0.99</v>
      </c>
      <c r="X27" s="46">
        <v>0.0558606107762999</v>
      </c>
      <c r="Y27" s="46">
        <v>5.84435220990527</v>
      </c>
      <c r="Z27" s="46" t="b">
        <v>1</v>
      </c>
      <c r="AA27" s="46" t="b">
        <v>1</v>
      </c>
    </row>
    <row r="28">
      <c r="A28" s="156" t="s">
        <v>573</v>
      </c>
      <c r="F28" s="157"/>
      <c r="G28" s="157"/>
      <c r="H28" s="157"/>
      <c r="I28" s="156">
        <v>28.1790751</v>
      </c>
      <c r="J28" s="156">
        <v>59.3796931</v>
      </c>
      <c r="K28" s="157"/>
      <c r="L28" s="157"/>
      <c r="M28" s="157"/>
      <c r="N28" s="157"/>
      <c r="O28" s="157"/>
      <c r="P28" s="157"/>
      <c r="Q28" s="158">
        <v>0.05642485937</v>
      </c>
      <c r="R28" s="159">
        <v>0.05642485937</v>
      </c>
      <c r="S28" s="51">
        <v>0.0</v>
      </c>
      <c r="T28" s="157" t="s">
        <v>595</v>
      </c>
      <c r="U28" s="46" t="s">
        <v>115</v>
      </c>
      <c r="V28" s="46" t="b">
        <v>1</v>
      </c>
      <c r="W28" s="46">
        <v>0.99</v>
      </c>
      <c r="X28" s="46">
        <v>0.0558606107762999</v>
      </c>
      <c r="Y28" s="46" t="s">
        <v>640</v>
      </c>
      <c r="Z28" s="46" t="b">
        <v>0</v>
      </c>
      <c r="AA28" s="46" t="b">
        <v>0</v>
      </c>
    </row>
    <row r="29">
      <c r="A29" s="156" t="s">
        <v>554</v>
      </c>
      <c r="F29" s="157"/>
      <c r="G29" s="157"/>
      <c r="H29" s="157"/>
      <c r="I29" s="156">
        <v>18.6972694</v>
      </c>
      <c r="J29" s="156">
        <v>63.2706493</v>
      </c>
      <c r="K29" s="157"/>
      <c r="L29" s="157"/>
      <c r="M29" s="157"/>
      <c r="N29" s="157"/>
      <c r="O29" s="157"/>
      <c r="P29" s="157"/>
      <c r="Q29" s="158">
        <v>0.05642485937</v>
      </c>
      <c r="R29" s="159">
        <v>0.05642485937</v>
      </c>
      <c r="S29" s="51">
        <v>0.0</v>
      </c>
      <c r="T29" s="157" t="s">
        <v>595</v>
      </c>
      <c r="U29" s="46" t="s">
        <v>115</v>
      </c>
      <c r="V29" s="46" t="b">
        <v>1</v>
      </c>
      <c r="W29" s="46">
        <v>0.99</v>
      </c>
      <c r="X29" s="46">
        <v>0.0558606107762999</v>
      </c>
      <c r="Y29" s="46" t="s">
        <v>640</v>
      </c>
      <c r="Z29" s="46" t="b">
        <v>0</v>
      </c>
      <c r="AA29" s="46" t="b">
        <v>0</v>
      </c>
    </row>
    <row r="30">
      <c r="A30" s="156" t="s">
        <v>566</v>
      </c>
      <c r="F30" s="157"/>
      <c r="G30" s="157"/>
      <c r="H30" s="157"/>
      <c r="I30" s="156">
        <v>18.5995822</v>
      </c>
      <c r="J30" s="156">
        <v>53.1830511</v>
      </c>
      <c r="K30" s="157"/>
      <c r="L30" s="157"/>
      <c r="M30" s="157"/>
      <c r="N30" s="157"/>
      <c r="O30" s="157"/>
      <c r="P30" s="157"/>
      <c r="Q30" s="158">
        <v>0.05642485937</v>
      </c>
      <c r="R30" s="159">
        <v>0.05642485937</v>
      </c>
      <c r="S30" s="51">
        <v>0.0</v>
      </c>
      <c r="T30" s="157" t="s">
        <v>595</v>
      </c>
      <c r="U30" s="46" t="s">
        <v>115</v>
      </c>
      <c r="V30" s="46" t="b">
        <v>1</v>
      </c>
      <c r="W30" s="46">
        <v>0.99</v>
      </c>
      <c r="X30" s="46">
        <v>0.0558606107762999</v>
      </c>
      <c r="Y30" s="46">
        <v>5.78085550399353</v>
      </c>
      <c r="Z30" s="46" t="b">
        <v>1</v>
      </c>
      <c r="AA30" s="46" t="b">
        <v>1</v>
      </c>
    </row>
    <row r="31">
      <c r="A31" s="156" t="s">
        <v>556</v>
      </c>
      <c r="F31" s="157"/>
      <c r="G31" s="157"/>
      <c r="H31" s="157"/>
      <c r="I31" s="156">
        <v>1.8840909</v>
      </c>
      <c r="J31" s="156">
        <v>48.0876011</v>
      </c>
      <c r="K31" s="157"/>
      <c r="L31" s="157"/>
      <c r="M31" s="157"/>
      <c r="N31" s="157"/>
      <c r="O31" s="157"/>
      <c r="P31" s="157"/>
      <c r="Q31" s="158">
        <v>0.05642485937</v>
      </c>
      <c r="R31" s="159">
        <v>0.05642485937</v>
      </c>
      <c r="S31" s="51">
        <v>0.0</v>
      </c>
      <c r="T31" s="157" t="s">
        <v>595</v>
      </c>
      <c r="U31" s="46" t="s">
        <v>115</v>
      </c>
      <c r="V31" s="46" t="b">
        <v>1</v>
      </c>
      <c r="W31" s="46">
        <v>0.99</v>
      </c>
      <c r="X31" s="46">
        <v>0.0558606107762999</v>
      </c>
      <c r="Y31" s="46">
        <v>93.4948438155764</v>
      </c>
      <c r="Z31" s="46" t="b">
        <v>0</v>
      </c>
      <c r="AA31" s="46" t="b">
        <v>1</v>
      </c>
    </row>
    <row r="32">
      <c r="A32" s="156" t="s">
        <v>556</v>
      </c>
      <c r="F32" s="157"/>
      <c r="G32" s="157"/>
      <c r="H32" s="157"/>
      <c r="I32" s="156">
        <v>3.0521654</v>
      </c>
      <c r="J32" s="156">
        <v>49.7420389</v>
      </c>
      <c r="K32" s="157"/>
      <c r="L32" s="157"/>
      <c r="M32" s="157"/>
      <c r="N32" s="157"/>
      <c r="O32" s="157"/>
      <c r="P32" s="157"/>
      <c r="Q32" s="158">
        <v>0.05642485937</v>
      </c>
      <c r="R32" s="159">
        <v>0.05642485937</v>
      </c>
      <c r="S32" s="51">
        <v>0.0</v>
      </c>
      <c r="T32" s="157" t="s">
        <v>595</v>
      </c>
      <c r="U32" s="46" t="s">
        <v>115</v>
      </c>
      <c r="V32" s="46" t="b">
        <v>1</v>
      </c>
      <c r="W32" s="46">
        <v>0.99</v>
      </c>
      <c r="X32" s="46">
        <v>0.0558606107762999</v>
      </c>
      <c r="Y32" s="46">
        <v>56.4543501961317</v>
      </c>
      <c r="Z32" s="46" t="b">
        <v>0</v>
      </c>
      <c r="AA32" s="46" t="b">
        <v>1</v>
      </c>
    </row>
    <row r="33">
      <c r="A33" s="156" t="s">
        <v>556</v>
      </c>
      <c r="F33" s="157"/>
      <c r="G33" s="157"/>
      <c r="H33" s="157"/>
      <c r="I33" s="156">
        <v>4.100934</v>
      </c>
      <c r="J33" s="156">
        <v>48.535308</v>
      </c>
      <c r="K33" s="157"/>
      <c r="L33" s="157"/>
      <c r="M33" s="157"/>
      <c r="N33" s="157"/>
      <c r="O33" s="157"/>
      <c r="P33" s="157"/>
      <c r="Q33" s="158">
        <v>0.05642485937</v>
      </c>
      <c r="R33" s="159">
        <v>0.05642485937</v>
      </c>
      <c r="S33" s="51">
        <v>0.0</v>
      </c>
      <c r="T33" s="157" t="s">
        <v>595</v>
      </c>
      <c r="U33" s="46" t="s">
        <v>115</v>
      </c>
      <c r="V33" s="46" t="b">
        <v>1</v>
      </c>
      <c r="W33" s="46">
        <v>0.99</v>
      </c>
      <c r="X33" s="46">
        <v>0.0558606107762999</v>
      </c>
      <c r="Y33" s="46">
        <v>89.4588393086454</v>
      </c>
      <c r="Z33" s="46" t="b">
        <v>0</v>
      </c>
      <c r="AA33" s="46" t="b">
        <v>1</v>
      </c>
    </row>
    <row r="34">
      <c r="A34" s="156" t="s">
        <v>563</v>
      </c>
      <c r="F34" s="157"/>
      <c r="G34" s="157"/>
      <c r="H34" s="157"/>
      <c r="I34" s="156">
        <v>0.4502704</v>
      </c>
      <c r="J34" s="156">
        <v>52.550773</v>
      </c>
      <c r="K34" s="157"/>
      <c r="L34" s="157"/>
      <c r="M34" s="157"/>
      <c r="N34" s="157"/>
      <c r="O34" s="157"/>
      <c r="P34" s="157"/>
      <c r="Q34" s="158">
        <v>0.05642485937</v>
      </c>
      <c r="R34" s="159">
        <v>0.05642485937</v>
      </c>
      <c r="S34" s="51">
        <v>0.0</v>
      </c>
      <c r="T34" s="157" t="s">
        <v>595</v>
      </c>
      <c r="U34" s="46" t="s">
        <v>115</v>
      </c>
      <c r="V34" s="46" t="b">
        <v>1</v>
      </c>
      <c r="W34" s="46">
        <v>0.99</v>
      </c>
      <c r="X34" s="46">
        <v>0.0558606107762999</v>
      </c>
      <c r="Y34" s="46">
        <v>93.7529110988016</v>
      </c>
      <c r="Z34" s="46" t="b">
        <v>0</v>
      </c>
      <c r="AA34" s="46" t="b">
        <v>1</v>
      </c>
    </row>
    <row r="35">
      <c r="A35" s="156" t="s">
        <v>556</v>
      </c>
      <c r="F35" s="157"/>
      <c r="G35" s="157"/>
      <c r="H35" s="157"/>
      <c r="I35" s="156">
        <v>3.365668</v>
      </c>
      <c r="J35" s="156">
        <v>49.390377</v>
      </c>
      <c r="K35" s="157"/>
      <c r="L35" s="157"/>
      <c r="M35" s="157"/>
      <c r="N35" s="157"/>
      <c r="O35" s="157"/>
      <c r="P35" s="157"/>
      <c r="Q35" s="158">
        <v>0.05642485937</v>
      </c>
      <c r="R35" s="159">
        <v>0.05642485937</v>
      </c>
      <c r="S35" s="51">
        <v>0.0</v>
      </c>
      <c r="T35" s="157" t="s">
        <v>595</v>
      </c>
      <c r="U35" s="46" t="s">
        <v>115</v>
      </c>
      <c r="V35" s="46" t="b">
        <v>1</v>
      </c>
      <c r="W35" s="46">
        <v>0.99</v>
      </c>
      <c r="X35" s="46">
        <v>0.0558606107762999</v>
      </c>
      <c r="Y35" s="46">
        <v>87.6397343997774</v>
      </c>
      <c r="Z35" s="46" t="b">
        <v>0</v>
      </c>
      <c r="AA35" s="46" t="b">
        <v>1</v>
      </c>
    </row>
    <row r="36">
      <c r="A36" s="156" t="s">
        <v>556</v>
      </c>
      <c r="F36" s="157"/>
      <c r="G36" s="157"/>
      <c r="H36" s="157"/>
      <c r="I36" s="156">
        <v>2.2359002</v>
      </c>
      <c r="J36" s="156">
        <v>51.0037858</v>
      </c>
      <c r="K36" s="157"/>
      <c r="L36" s="157"/>
      <c r="M36" s="157"/>
      <c r="N36" s="157"/>
      <c r="O36" s="157"/>
      <c r="P36" s="157"/>
      <c r="Q36" s="158">
        <v>0.05642485937</v>
      </c>
      <c r="R36" s="159">
        <v>0.05642485937</v>
      </c>
      <c r="S36" s="51">
        <v>0.0</v>
      </c>
      <c r="T36" s="157" t="s">
        <v>595</v>
      </c>
      <c r="U36" s="46" t="s">
        <v>115</v>
      </c>
      <c r="V36" s="46" t="b">
        <v>1</v>
      </c>
      <c r="W36" s="46">
        <v>0.99</v>
      </c>
      <c r="X36" s="46">
        <v>0.0558606107762999</v>
      </c>
      <c r="Y36" s="46">
        <v>3.49341219527547</v>
      </c>
      <c r="Z36" s="46" t="b">
        <v>1</v>
      </c>
      <c r="AA36" s="46" t="b">
        <v>1</v>
      </c>
    </row>
    <row r="37">
      <c r="A37" s="156" t="s">
        <v>557</v>
      </c>
      <c r="F37" s="157"/>
      <c r="G37" s="157"/>
      <c r="H37" s="157"/>
      <c r="I37" s="156">
        <v>13.7072</v>
      </c>
      <c r="J37" s="156">
        <v>53.85412</v>
      </c>
      <c r="K37" s="157"/>
      <c r="L37" s="157"/>
      <c r="M37" s="157"/>
      <c r="N37" s="157"/>
      <c r="O37" s="157"/>
      <c r="P37" s="157"/>
      <c r="Q37" s="158">
        <v>0.05642485937</v>
      </c>
      <c r="R37" s="159">
        <v>0.05642485937</v>
      </c>
      <c r="S37" s="51">
        <v>0.0</v>
      </c>
      <c r="T37" s="157" t="s">
        <v>595</v>
      </c>
      <c r="U37" s="46" t="s">
        <v>115</v>
      </c>
      <c r="V37" s="46" t="b">
        <v>1</v>
      </c>
      <c r="W37" s="46">
        <v>0.99</v>
      </c>
      <c r="X37" s="46">
        <v>0.0558606107762999</v>
      </c>
      <c r="Y37" s="46">
        <v>125.679678085939</v>
      </c>
      <c r="Z37" s="46" t="b">
        <v>0</v>
      </c>
      <c r="AA37" s="46" t="b">
        <v>0</v>
      </c>
    </row>
    <row r="38">
      <c r="A38" s="156" t="s">
        <v>556</v>
      </c>
      <c r="F38" s="157"/>
      <c r="G38" s="157"/>
      <c r="H38" s="157"/>
      <c r="I38" s="156">
        <v>4.165567</v>
      </c>
      <c r="J38" s="156">
        <v>49.350189</v>
      </c>
      <c r="K38" s="157"/>
      <c r="L38" s="157"/>
      <c r="M38" s="157"/>
      <c r="N38" s="157"/>
      <c r="O38" s="157"/>
      <c r="P38" s="157"/>
      <c r="Q38" s="158">
        <v>0.05642485937</v>
      </c>
      <c r="R38" s="159">
        <v>0.05642485937</v>
      </c>
      <c r="S38" s="51">
        <v>0.0</v>
      </c>
      <c r="T38" s="157" t="s">
        <v>595</v>
      </c>
      <c r="U38" s="46" t="s">
        <v>115</v>
      </c>
      <c r="V38" s="46" t="b">
        <v>1</v>
      </c>
      <c r="W38" s="46">
        <v>0.99</v>
      </c>
      <c r="X38" s="46">
        <v>0.0558606107762999</v>
      </c>
      <c r="Y38" s="46">
        <v>105.165121759878</v>
      </c>
      <c r="Z38" s="46" t="b">
        <v>0</v>
      </c>
      <c r="AA38" s="46" t="b">
        <v>0</v>
      </c>
    </row>
    <row r="39">
      <c r="A39" s="156" t="s">
        <v>570</v>
      </c>
      <c r="F39" s="157"/>
      <c r="G39" s="157"/>
      <c r="H39" s="157"/>
      <c r="I39" s="156">
        <v>6.4980941</v>
      </c>
      <c r="J39" s="156">
        <v>53.2146573</v>
      </c>
      <c r="K39" s="157"/>
      <c r="L39" s="157"/>
      <c r="M39" s="157"/>
      <c r="N39" s="157"/>
      <c r="O39" s="157"/>
      <c r="P39" s="157"/>
      <c r="Q39" s="158">
        <v>0.05642485937</v>
      </c>
      <c r="R39" s="159">
        <v>0.05642485937</v>
      </c>
      <c r="S39" s="51">
        <v>0.0</v>
      </c>
      <c r="T39" s="157" t="s">
        <v>595</v>
      </c>
      <c r="U39" s="46" t="s">
        <v>115</v>
      </c>
      <c r="V39" s="46" t="b">
        <v>1</v>
      </c>
      <c r="W39" s="46">
        <v>0.99</v>
      </c>
      <c r="X39" s="46">
        <v>0.0558606107762999</v>
      </c>
      <c r="Y39" s="46">
        <v>47.0202995488548</v>
      </c>
      <c r="Z39" s="46" t="b">
        <v>1</v>
      </c>
      <c r="AA39" s="46" t="b">
        <v>1</v>
      </c>
    </row>
    <row r="40">
      <c r="A40" s="156" t="s">
        <v>556</v>
      </c>
      <c r="F40" s="157"/>
      <c r="G40" s="157"/>
      <c r="H40" s="157"/>
      <c r="I40" s="156">
        <v>3.8977855</v>
      </c>
      <c r="J40" s="156">
        <v>48.7247965</v>
      </c>
      <c r="K40" s="157"/>
      <c r="L40" s="157"/>
      <c r="M40" s="157"/>
      <c r="N40" s="157"/>
      <c r="O40" s="157"/>
      <c r="P40" s="157"/>
      <c r="Q40" s="158">
        <v>0.05642485937</v>
      </c>
      <c r="R40" s="159">
        <v>0.05642485937</v>
      </c>
      <c r="S40" s="51">
        <v>0.0</v>
      </c>
      <c r="T40" s="157" t="s">
        <v>595</v>
      </c>
      <c r="U40" s="46" t="s">
        <v>115</v>
      </c>
      <c r="V40" s="46" t="b">
        <v>1</v>
      </c>
      <c r="W40" s="46">
        <v>0.99</v>
      </c>
      <c r="X40" s="46">
        <v>0.0558606107762999</v>
      </c>
      <c r="Y40" s="46">
        <v>74.1657575526901</v>
      </c>
      <c r="Z40" s="46" t="b">
        <v>0</v>
      </c>
      <c r="AA40" s="46" t="b">
        <v>1</v>
      </c>
    </row>
    <row r="41">
      <c r="A41" s="156" t="s">
        <v>570</v>
      </c>
      <c r="F41" s="157"/>
      <c r="G41" s="157"/>
      <c r="H41" s="157"/>
      <c r="I41" s="156">
        <v>4.8134922</v>
      </c>
      <c r="J41" s="156">
        <v>52.3960775</v>
      </c>
      <c r="K41" s="157"/>
      <c r="L41" s="157"/>
      <c r="M41" s="157"/>
      <c r="N41" s="157"/>
      <c r="O41" s="157"/>
      <c r="P41" s="157"/>
      <c r="Q41" s="158">
        <v>0.05642485937</v>
      </c>
      <c r="R41" s="159">
        <v>0.05642485937</v>
      </c>
      <c r="S41" s="51">
        <v>0.0</v>
      </c>
      <c r="T41" s="157" t="s">
        <v>595</v>
      </c>
      <c r="U41" s="46" t="s">
        <v>115</v>
      </c>
      <c r="V41" s="46" t="b">
        <v>1</v>
      </c>
      <c r="W41" s="46">
        <v>0.99</v>
      </c>
      <c r="X41" s="46">
        <v>0.0558606107762999</v>
      </c>
      <c r="Y41" s="46">
        <v>46.1128318314841</v>
      </c>
      <c r="Z41" s="46" t="b">
        <v>1</v>
      </c>
      <c r="AA41" s="46" t="b">
        <v>1</v>
      </c>
    </row>
    <row r="42">
      <c r="A42" s="156" t="s">
        <v>562</v>
      </c>
      <c r="F42" s="157"/>
      <c r="G42" s="157"/>
      <c r="H42" s="157"/>
      <c r="I42" s="156">
        <v>4.0434229</v>
      </c>
      <c r="J42" s="156">
        <v>50.9395705</v>
      </c>
      <c r="K42" s="157"/>
      <c r="L42" s="157"/>
      <c r="M42" s="157"/>
      <c r="N42" s="157"/>
      <c r="O42" s="157"/>
      <c r="P42" s="157"/>
      <c r="Q42" s="158">
        <v>0.05642485937</v>
      </c>
      <c r="R42" s="159">
        <v>0.05642485937</v>
      </c>
      <c r="S42" s="51">
        <v>0.0</v>
      </c>
      <c r="T42" s="157" t="s">
        <v>595</v>
      </c>
      <c r="U42" s="46" t="s">
        <v>115</v>
      </c>
      <c r="V42" s="46" t="b">
        <v>1</v>
      </c>
      <c r="W42" s="46">
        <v>0.99</v>
      </c>
      <c r="X42" s="46">
        <v>0.0558606107762999</v>
      </c>
      <c r="Y42" s="46">
        <v>21.936895605036</v>
      </c>
      <c r="Z42" s="46" t="b">
        <v>1</v>
      </c>
      <c r="AA42" s="46" t="b">
        <v>1</v>
      </c>
    </row>
    <row r="43">
      <c r="A43" s="156" t="s">
        <v>556</v>
      </c>
      <c r="F43" s="157"/>
      <c r="G43" s="157"/>
      <c r="H43" s="157"/>
      <c r="I43" s="156">
        <v>8.0871492</v>
      </c>
      <c r="J43" s="156">
        <v>48.8569904</v>
      </c>
      <c r="K43" s="157"/>
      <c r="L43" s="157"/>
      <c r="M43" s="157"/>
      <c r="N43" s="157"/>
      <c r="O43" s="157"/>
      <c r="P43" s="157"/>
      <c r="Q43" s="158">
        <v>0.05642485937</v>
      </c>
      <c r="R43" s="159">
        <v>0.05642485937</v>
      </c>
      <c r="S43" s="51">
        <v>0.0</v>
      </c>
      <c r="T43" s="157" t="s">
        <v>595</v>
      </c>
      <c r="U43" s="46" t="s">
        <v>115</v>
      </c>
      <c r="V43" s="46" t="b">
        <v>1</v>
      </c>
      <c r="W43" s="46">
        <v>0.99</v>
      </c>
      <c r="X43" s="46">
        <v>0.0558606107762999</v>
      </c>
      <c r="Y43" s="46">
        <v>16.7800712533569</v>
      </c>
      <c r="Z43" s="46" t="b">
        <v>1</v>
      </c>
      <c r="AA43" s="46" t="b">
        <v>1</v>
      </c>
    </row>
    <row r="44">
      <c r="A44" s="156" t="s">
        <v>556</v>
      </c>
      <c r="F44" s="157"/>
      <c r="G44" s="157"/>
      <c r="H44" s="157"/>
      <c r="I44" s="156">
        <v>3.4948852</v>
      </c>
      <c r="J44" s="156">
        <v>48.4920836</v>
      </c>
      <c r="K44" s="157"/>
      <c r="L44" s="157"/>
      <c r="M44" s="157"/>
      <c r="N44" s="157"/>
      <c r="O44" s="157"/>
      <c r="P44" s="157"/>
      <c r="Q44" s="158">
        <v>0.05642485937</v>
      </c>
      <c r="R44" s="159">
        <v>0.05642485937</v>
      </c>
      <c r="S44" s="51">
        <v>0.0</v>
      </c>
      <c r="T44" s="157" t="s">
        <v>595</v>
      </c>
      <c r="U44" s="46" t="s">
        <v>115</v>
      </c>
      <c r="V44" s="46" t="b">
        <v>1</v>
      </c>
      <c r="W44" s="46">
        <v>0.99</v>
      </c>
      <c r="X44" s="46">
        <v>0.0558606107762999</v>
      </c>
      <c r="Y44" s="46">
        <v>47.0069454875244</v>
      </c>
      <c r="Z44" s="46" t="b">
        <v>1</v>
      </c>
      <c r="AA44" s="46" t="b">
        <v>1</v>
      </c>
    </row>
    <row r="45">
      <c r="A45" s="156" t="s">
        <v>556</v>
      </c>
      <c r="F45" s="157"/>
      <c r="G45" s="157"/>
      <c r="H45" s="157"/>
      <c r="I45" s="156">
        <v>0.5253886</v>
      </c>
      <c r="J45" s="156">
        <v>49.4902192</v>
      </c>
      <c r="K45" s="157"/>
      <c r="L45" s="157"/>
      <c r="M45" s="157"/>
      <c r="N45" s="157"/>
      <c r="O45" s="157"/>
      <c r="P45" s="157"/>
      <c r="Q45" s="158">
        <v>0.05642485937</v>
      </c>
      <c r="R45" s="159">
        <v>0.05642485937</v>
      </c>
      <c r="S45" s="51">
        <v>0.0</v>
      </c>
      <c r="T45" s="157" t="s">
        <v>595</v>
      </c>
      <c r="U45" s="46" t="s">
        <v>115</v>
      </c>
      <c r="V45" s="46" t="b">
        <v>1</v>
      </c>
      <c r="W45" s="46">
        <v>0.99</v>
      </c>
      <c r="X45" s="46">
        <v>0.0558606107762999</v>
      </c>
      <c r="Y45" s="46">
        <v>1.74555399404323</v>
      </c>
      <c r="Z45" s="46" t="b">
        <v>1</v>
      </c>
      <c r="AA45" s="46" t="b">
        <v>1</v>
      </c>
    </row>
    <row r="46">
      <c r="A46" s="156" t="s">
        <v>556</v>
      </c>
      <c r="F46" s="157"/>
      <c r="G46" s="157"/>
      <c r="H46" s="157"/>
      <c r="I46" s="156">
        <v>2.9088051</v>
      </c>
      <c r="J46" s="156">
        <v>49.7689481</v>
      </c>
      <c r="K46" s="157"/>
      <c r="L46" s="157"/>
      <c r="M46" s="157"/>
      <c r="N46" s="157"/>
      <c r="O46" s="157"/>
      <c r="P46" s="157"/>
      <c r="Q46" s="158">
        <v>0.05642485937</v>
      </c>
      <c r="R46" s="159">
        <v>0.05642485937</v>
      </c>
      <c r="S46" s="51">
        <v>0.0</v>
      </c>
      <c r="T46" s="157" t="s">
        <v>595</v>
      </c>
      <c r="U46" s="46" t="s">
        <v>115</v>
      </c>
      <c r="V46" s="46" t="b">
        <v>1</v>
      </c>
      <c r="W46" s="46">
        <v>0.99</v>
      </c>
      <c r="X46" s="46">
        <v>0.0558606107762999</v>
      </c>
      <c r="Y46" s="46">
        <v>45.7150687640072</v>
      </c>
      <c r="Z46" s="46" t="b">
        <v>1</v>
      </c>
      <c r="AA46" s="46" t="b">
        <v>1</v>
      </c>
    </row>
    <row r="47">
      <c r="A47" s="156" t="s">
        <v>563</v>
      </c>
      <c r="F47" s="157"/>
      <c r="G47" s="157"/>
      <c r="H47" s="157"/>
      <c r="I47" s="156">
        <v>-1.0550031</v>
      </c>
      <c r="J47" s="156">
        <v>53.7789203</v>
      </c>
      <c r="K47" s="157"/>
      <c r="L47" s="157"/>
      <c r="M47" s="157"/>
      <c r="N47" s="157"/>
      <c r="O47" s="157"/>
      <c r="P47" s="157"/>
      <c r="Q47" s="158">
        <v>0.05642485937</v>
      </c>
      <c r="R47" s="159">
        <v>0.05642485937</v>
      </c>
      <c r="S47" s="51">
        <v>0.0</v>
      </c>
      <c r="T47" s="157" t="s">
        <v>595</v>
      </c>
      <c r="U47" s="46" t="s">
        <v>115</v>
      </c>
      <c r="V47" s="46" t="b">
        <v>1</v>
      </c>
      <c r="W47" s="46">
        <v>0.99</v>
      </c>
      <c r="X47" s="46">
        <v>0.0558606107762999</v>
      </c>
      <c r="Y47" s="46">
        <v>17.5887755432812</v>
      </c>
      <c r="Z47" s="46" t="b">
        <v>1</v>
      </c>
      <c r="AA47" s="46" t="b">
        <v>1</v>
      </c>
    </row>
    <row r="48">
      <c r="A48" s="156" t="s">
        <v>557</v>
      </c>
      <c r="F48" s="157"/>
      <c r="G48" s="157"/>
      <c r="H48" s="157"/>
      <c r="I48" s="156">
        <v>11.877412</v>
      </c>
      <c r="J48" s="156">
        <v>51.9848016</v>
      </c>
      <c r="K48" s="157"/>
      <c r="L48" s="157"/>
      <c r="M48" s="157"/>
      <c r="N48" s="157"/>
      <c r="O48" s="157"/>
      <c r="P48" s="157"/>
      <c r="Q48" s="158">
        <v>0.05642485937</v>
      </c>
      <c r="R48" s="159">
        <v>0.05642485937</v>
      </c>
      <c r="S48" s="51">
        <v>0.0</v>
      </c>
      <c r="T48" s="157" t="s">
        <v>595</v>
      </c>
      <c r="U48" s="46" t="s">
        <v>115</v>
      </c>
      <c r="V48" s="46" t="b">
        <v>1</v>
      </c>
      <c r="W48" s="46">
        <v>0.99</v>
      </c>
      <c r="X48" s="46">
        <v>0.0558606107762999</v>
      </c>
      <c r="Y48" s="46">
        <v>17.2117617632018</v>
      </c>
      <c r="Z48" s="46" t="b">
        <v>1</v>
      </c>
      <c r="AA48" s="46" t="b">
        <v>1</v>
      </c>
    </row>
    <row r="49">
      <c r="A49" s="156" t="s">
        <v>559</v>
      </c>
      <c r="F49" s="157"/>
      <c r="G49" s="157"/>
      <c r="H49" s="157"/>
      <c r="I49" s="156">
        <v>7.4835324</v>
      </c>
      <c r="J49" s="156">
        <v>44.6480984</v>
      </c>
      <c r="K49" s="157"/>
      <c r="L49" s="157"/>
      <c r="M49" s="157"/>
      <c r="N49" s="157"/>
      <c r="O49" s="157"/>
      <c r="P49" s="157"/>
      <c r="Q49" s="158">
        <v>0.05642485937</v>
      </c>
      <c r="R49" s="159">
        <v>0.05642485937</v>
      </c>
      <c r="S49" s="51">
        <v>0.0</v>
      </c>
      <c r="T49" s="157" t="s">
        <v>595</v>
      </c>
      <c r="U49" s="46" t="s">
        <v>115</v>
      </c>
      <c r="V49" s="46" t="b">
        <v>1</v>
      </c>
      <c r="W49" s="46">
        <v>0.99</v>
      </c>
      <c r="X49" s="46">
        <v>0.0558606107762999</v>
      </c>
      <c r="Y49" s="46">
        <v>115.966014181691</v>
      </c>
      <c r="Z49" s="46" t="b">
        <v>0</v>
      </c>
      <c r="AA49" s="46" t="b">
        <v>0</v>
      </c>
    </row>
    <row r="50">
      <c r="A50" s="156" t="s">
        <v>562</v>
      </c>
      <c r="F50" s="157"/>
      <c r="G50" s="157"/>
      <c r="H50" s="157"/>
      <c r="I50" s="156">
        <v>3.193993</v>
      </c>
      <c r="J50" s="156">
        <v>51.141864</v>
      </c>
      <c r="K50" s="157"/>
      <c r="L50" s="157"/>
      <c r="M50" s="157"/>
      <c r="N50" s="157"/>
      <c r="O50" s="157"/>
      <c r="P50" s="157"/>
      <c r="Q50" s="158">
        <v>0.05642485937</v>
      </c>
      <c r="R50" s="159">
        <v>0.05642485937</v>
      </c>
      <c r="S50" s="51">
        <v>0.0</v>
      </c>
      <c r="T50" s="157" t="s">
        <v>595</v>
      </c>
      <c r="U50" s="46" t="s">
        <v>115</v>
      </c>
      <c r="V50" s="46" t="b">
        <v>1</v>
      </c>
      <c r="W50" s="46">
        <v>0.99</v>
      </c>
      <c r="X50" s="46">
        <v>0.0558606107762999</v>
      </c>
      <c r="Y50" s="46">
        <v>6.44657954377367</v>
      </c>
      <c r="Z50" s="46" t="b">
        <v>1</v>
      </c>
      <c r="AA50" s="46" t="b">
        <v>1</v>
      </c>
    </row>
    <row r="51">
      <c r="A51" s="156" t="s">
        <v>563</v>
      </c>
      <c r="F51" s="157"/>
      <c r="G51" s="157"/>
      <c r="H51" s="157"/>
      <c r="I51" s="156">
        <v>-2.3295857</v>
      </c>
      <c r="J51" s="156">
        <v>53.4763116</v>
      </c>
      <c r="K51" s="157"/>
      <c r="L51" s="157"/>
      <c r="M51" s="157"/>
      <c r="N51" s="157"/>
      <c r="O51" s="157"/>
      <c r="P51" s="157"/>
      <c r="Q51" s="158">
        <v>0.05642485937</v>
      </c>
      <c r="R51" s="159">
        <v>0.05642485937</v>
      </c>
      <c r="S51" s="51">
        <v>0.0</v>
      </c>
      <c r="T51" s="157" t="s">
        <v>595</v>
      </c>
      <c r="U51" s="46" t="s">
        <v>115</v>
      </c>
      <c r="V51" s="46" t="b">
        <v>1</v>
      </c>
      <c r="W51" s="46">
        <v>0.99</v>
      </c>
      <c r="X51" s="46">
        <v>0.0558606107762999</v>
      </c>
      <c r="Y51" s="46">
        <v>12.7925011798721</v>
      </c>
      <c r="Z51" s="46" t="b">
        <v>1</v>
      </c>
      <c r="AA51" s="46" t="b">
        <v>1</v>
      </c>
    </row>
    <row r="52">
      <c r="A52" s="156" t="s">
        <v>570</v>
      </c>
      <c r="F52" s="157"/>
      <c r="G52" s="157"/>
      <c r="H52" s="157"/>
      <c r="I52" s="156">
        <v>3.8022966</v>
      </c>
      <c r="J52" s="156">
        <v>51.2354912</v>
      </c>
      <c r="K52" s="157"/>
      <c r="L52" s="157"/>
      <c r="M52" s="157"/>
      <c r="N52" s="157"/>
      <c r="O52" s="157"/>
      <c r="P52" s="157"/>
      <c r="Q52" s="158">
        <v>0.05642485937</v>
      </c>
      <c r="R52" s="159">
        <v>0.05642485937</v>
      </c>
      <c r="S52" s="51">
        <v>0.0</v>
      </c>
      <c r="T52" s="157" t="s">
        <v>595</v>
      </c>
      <c r="U52" s="46" t="s">
        <v>115</v>
      </c>
      <c r="V52" s="46" t="b">
        <v>1</v>
      </c>
      <c r="W52" s="46">
        <v>0.99</v>
      </c>
      <c r="X52" s="46">
        <v>0.0558606107762999</v>
      </c>
      <c r="Y52" s="46">
        <v>13.1233319687839</v>
      </c>
      <c r="Z52" s="46" t="b">
        <v>1</v>
      </c>
      <c r="AA52" s="46" t="b">
        <v>1</v>
      </c>
    </row>
    <row r="53">
      <c r="A53" s="156" t="s">
        <v>583</v>
      </c>
      <c r="F53" s="157"/>
      <c r="G53" s="157"/>
      <c r="H53" s="157"/>
      <c r="I53" s="156">
        <v>-8.9811968</v>
      </c>
      <c r="J53" s="156">
        <v>51.7252265</v>
      </c>
      <c r="K53" s="157"/>
      <c r="L53" s="157"/>
      <c r="M53" s="157"/>
      <c r="N53" s="157"/>
      <c r="O53" s="157"/>
      <c r="P53" s="157"/>
      <c r="Q53" s="158">
        <v>0.05642485937</v>
      </c>
      <c r="R53" s="159">
        <v>0.05642485937</v>
      </c>
      <c r="S53" s="51">
        <v>0.0</v>
      </c>
      <c r="T53" s="157" t="s">
        <v>595</v>
      </c>
      <c r="U53" s="46" t="s">
        <v>115</v>
      </c>
      <c r="V53" s="46" t="b">
        <v>1</v>
      </c>
      <c r="W53" s="46">
        <v>0.99</v>
      </c>
      <c r="X53" s="46">
        <v>0.0558606107762999</v>
      </c>
      <c r="Y53" s="46" t="s">
        <v>640</v>
      </c>
      <c r="Z53" s="46" t="b">
        <v>0</v>
      </c>
      <c r="AA53" s="46" t="b">
        <v>0</v>
      </c>
    </row>
    <row r="54">
      <c r="A54" s="156" t="s">
        <v>562</v>
      </c>
      <c r="F54" s="157"/>
      <c r="G54" s="157"/>
      <c r="H54" s="157"/>
      <c r="I54" s="156">
        <v>3.7956238</v>
      </c>
      <c r="J54" s="156">
        <v>51.1415947</v>
      </c>
      <c r="K54" s="157"/>
      <c r="L54" s="157"/>
      <c r="M54" s="157"/>
      <c r="N54" s="157"/>
      <c r="O54" s="157"/>
      <c r="P54" s="157"/>
      <c r="Q54" s="158">
        <v>0.05078237343</v>
      </c>
      <c r="R54" s="159">
        <v>0.05078237343</v>
      </c>
      <c r="S54" s="51">
        <v>0.0</v>
      </c>
      <c r="T54" s="157" t="s">
        <v>595</v>
      </c>
      <c r="U54" s="46" t="s">
        <v>115</v>
      </c>
      <c r="V54" s="46" t="b">
        <v>1</v>
      </c>
      <c r="W54" s="46">
        <v>0.99</v>
      </c>
      <c r="X54" s="46">
        <v>0.0502745496957</v>
      </c>
      <c r="Y54" s="46">
        <v>4.77637924695864</v>
      </c>
      <c r="Z54" s="46" t="b">
        <v>1</v>
      </c>
      <c r="AA54" s="46" t="b">
        <v>1</v>
      </c>
    </row>
    <row r="55">
      <c r="A55" s="156" t="s">
        <v>557</v>
      </c>
      <c r="F55" s="157"/>
      <c r="G55" s="157"/>
      <c r="H55" s="157"/>
      <c r="I55" s="156">
        <v>9.87069</v>
      </c>
      <c r="J55" s="156">
        <v>52.37619</v>
      </c>
      <c r="K55" s="157"/>
      <c r="L55" s="157"/>
      <c r="M55" s="157"/>
      <c r="N55" s="157"/>
      <c r="O55" s="157"/>
      <c r="P55" s="157"/>
      <c r="Q55" s="158">
        <v>0.04597099523</v>
      </c>
      <c r="R55" s="159">
        <v>0.04597099523</v>
      </c>
      <c r="S55" s="51">
        <v>0.0</v>
      </c>
      <c r="T55" s="157" t="s">
        <v>595</v>
      </c>
      <c r="U55" s="46" t="s">
        <v>115</v>
      </c>
      <c r="V55" s="46" t="b">
        <v>1</v>
      </c>
      <c r="W55" s="46">
        <v>0.99</v>
      </c>
      <c r="X55" s="46">
        <v>0.0455112852777</v>
      </c>
      <c r="Y55" s="46">
        <v>8.7826364088484</v>
      </c>
      <c r="Z55" s="46" t="b">
        <v>1</v>
      </c>
      <c r="AA55" s="46" t="b">
        <v>1</v>
      </c>
    </row>
    <row r="56">
      <c r="A56" s="156" t="s">
        <v>560</v>
      </c>
      <c r="F56" s="157"/>
      <c r="G56" s="157"/>
      <c r="H56" s="157"/>
      <c r="I56" s="156">
        <v>15.9552684</v>
      </c>
      <c r="J56" s="156">
        <v>48.3366754</v>
      </c>
      <c r="K56" s="157"/>
      <c r="L56" s="157"/>
      <c r="M56" s="157"/>
      <c r="N56" s="157"/>
      <c r="O56" s="157"/>
      <c r="P56" s="157"/>
      <c r="Q56" s="158">
        <v>0.0451398875</v>
      </c>
      <c r="R56" s="159">
        <v>0.0451398875</v>
      </c>
      <c r="S56" s="51">
        <v>0.0</v>
      </c>
      <c r="T56" s="157" t="s">
        <v>595</v>
      </c>
      <c r="U56" s="46" t="s">
        <v>115</v>
      </c>
      <c r="V56" s="46" t="b">
        <v>1</v>
      </c>
      <c r="W56" s="46">
        <v>0.99</v>
      </c>
      <c r="X56" s="46">
        <v>0.044688488625</v>
      </c>
      <c r="Y56" s="46" t="s">
        <v>640</v>
      </c>
      <c r="Z56" s="46" t="b">
        <v>0</v>
      </c>
      <c r="AA56" s="46" t="b">
        <v>0</v>
      </c>
    </row>
    <row r="57">
      <c r="A57" s="156" t="s">
        <v>576</v>
      </c>
      <c r="F57" s="157"/>
      <c r="G57" s="157"/>
      <c r="H57" s="157"/>
      <c r="I57" s="156">
        <v>25.3510283</v>
      </c>
      <c r="J57" s="156">
        <v>43.6687292</v>
      </c>
      <c r="K57" s="157"/>
      <c r="L57" s="157"/>
      <c r="M57" s="157"/>
      <c r="N57" s="157"/>
      <c r="O57" s="157"/>
      <c r="P57" s="157"/>
      <c r="Q57" s="158">
        <v>0.0451398875</v>
      </c>
      <c r="R57" s="159">
        <v>0.0451398875</v>
      </c>
      <c r="S57" s="51">
        <v>0.0</v>
      </c>
      <c r="T57" s="157" t="s">
        <v>595</v>
      </c>
      <c r="U57" s="46" t="s">
        <v>115</v>
      </c>
      <c r="V57" s="46" t="b">
        <v>1</v>
      </c>
      <c r="W57" s="46">
        <v>0.99</v>
      </c>
      <c r="X57" s="46">
        <v>0.044688488625</v>
      </c>
      <c r="Y57" s="46" t="s">
        <v>640</v>
      </c>
      <c r="Z57" s="46" t="b">
        <v>0</v>
      </c>
      <c r="AA57" s="46" t="b">
        <v>0</v>
      </c>
    </row>
    <row r="58">
      <c r="A58" s="156" t="s">
        <v>555</v>
      </c>
      <c r="F58" s="157"/>
      <c r="G58" s="157"/>
      <c r="H58" s="157"/>
      <c r="I58" s="156">
        <v>26.7788655</v>
      </c>
      <c r="J58" s="156">
        <v>60.7667546</v>
      </c>
      <c r="K58" s="157"/>
      <c r="L58" s="157"/>
      <c r="M58" s="157"/>
      <c r="N58" s="157"/>
      <c r="O58" s="157"/>
      <c r="P58" s="157"/>
      <c r="Q58" s="158">
        <v>0.04062589875</v>
      </c>
      <c r="R58" s="159">
        <v>0.04062589875</v>
      </c>
      <c r="S58" s="51">
        <v>0.0</v>
      </c>
      <c r="T58" s="157" t="s">
        <v>595</v>
      </c>
      <c r="U58" s="46" t="s">
        <v>115</v>
      </c>
      <c r="V58" s="46" t="b">
        <v>1</v>
      </c>
      <c r="W58" s="46">
        <v>0.99</v>
      </c>
      <c r="X58" s="46">
        <v>0.0402196397625</v>
      </c>
      <c r="Y58" s="46" t="s">
        <v>640</v>
      </c>
      <c r="Z58" s="46" t="b">
        <v>0</v>
      </c>
      <c r="AA58" s="46" t="b">
        <v>0</v>
      </c>
    </row>
    <row r="59">
      <c r="A59" s="156" t="s">
        <v>574</v>
      </c>
      <c r="F59" s="157"/>
      <c r="G59" s="157"/>
      <c r="H59" s="157"/>
      <c r="I59" s="156">
        <v>21.8369439</v>
      </c>
      <c r="J59" s="156">
        <v>48.873165</v>
      </c>
      <c r="K59" s="157"/>
      <c r="L59" s="157"/>
      <c r="M59" s="157"/>
      <c r="N59" s="157"/>
      <c r="O59" s="157"/>
      <c r="P59" s="157"/>
      <c r="Q59" s="158">
        <v>0.03103367265</v>
      </c>
      <c r="R59" s="159">
        <v>0.03103367265</v>
      </c>
      <c r="S59" s="51">
        <v>0.0</v>
      </c>
      <c r="T59" s="157" t="s">
        <v>595</v>
      </c>
      <c r="U59" s="46" t="s">
        <v>115</v>
      </c>
      <c r="V59" s="46" t="b">
        <v>1</v>
      </c>
      <c r="W59" s="46">
        <v>0.99</v>
      </c>
      <c r="X59" s="46">
        <v>0.0307233359235</v>
      </c>
      <c r="Y59" s="46" t="s">
        <v>640</v>
      </c>
      <c r="Z59" s="46" t="b">
        <v>0</v>
      </c>
      <c r="AA59" s="46" t="b">
        <v>0</v>
      </c>
    </row>
    <row r="60">
      <c r="A60" s="156" t="s">
        <v>574</v>
      </c>
      <c r="F60" s="157"/>
      <c r="G60" s="157"/>
      <c r="H60" s="157"/>
      <c r="I60" s="156">
        <v>17.7681976</v>
      </c>
      <c r="J60" s="156">
        <v>48.4465089</v>
      </c>
      <c r="K60" s="157"/>
      <c r="L60" s="157"/>
      <c r="M60" s="157"/>
      <c r="N60" s="157"/>
      <c r="O60" s="157"/>
      <c r="P60" s="157"/>
      <c r="Q60" s="158">
        <v>0.028212429679999998</v>
      </c>
      <c r="R60" s="159">
        <v>0.028212429679999998</v>
      </c>
      <c r="S60" s="51">
        <v>0.0</v>
      </c>
      <c r="T60" s="157" t="s">
        <v>595</v>
      </c>
      <c r="U60" s="46" t="s">
        <v>115</v>
      </c>
      <c r="V60" s="46" t="b">
        <v>1</v>
      </c>
      <c r="W60" s="46">
        <v>0.99</v>
      </c>
      <c r="X60" s="46">
        <v>0.0279303053832</v>
      </c>
      <c r="Y60" s="46" t="s">
        <v>640</v>
      </c>
      <c r="Z60" s="46" t="b">
        <v>0</v>
      </c>
      <c r="AA60" s="46" t="b">
        <v>0</v>
      </c>
    </row>
    <row r="61">
      <c r="A61" s="156" t="s">
        <v>566</v>
      </c>
      <c r="F61" s="157"/>
      <c r="G61" s="157"/>
      <c r="H61" s="157"/>
      <c r="I61" s="156">
        <v>17.2521373</v>
      </c>
      <c r="J61" s="156">
        <v>50.4877466</v>
      </c>
      <c r="K61" s="157"/>
      <c r="L61" s="157"/>
      <c r="M61" s="157"/>
      <c r="N61" s="157"/>
      <c r="O61" s="157"/>
      <c r="P61" s="157"/>
      <c r="Q61" s="158">
        <v>0.028212429679999998</v>
      </c>
      <c r="R61" s="159">
        <v>0.028212429679999998</v>
      </c>
      <c r="S61" s="51">
        <v>0.0</v>
      </c>
      <c r="T61" s="157" t="s">
        <v>595</v>
      </c>
      <c r="U61" s="46" t="s">
        <v>115</v>
      </c>
      <c r="V61" s="46" t="b">
        <v>1</v>
      </c>
      <c r="W61" s="46">
        <v>0.99</v>
      </c>
      <c r="X61" s="46">
        <v>0.0279303053832</v>
      </c>
      <c r="Y61" s="46" t="s">
        <v>640</v>
      </c>
      <c r="Z61" s="46" t="b">
        <v>0</v>
      </c>
      <c r="AA61" s="46" t="b">
        <v>0</v>
      </c>
    </row>
    <row r="62">
      <c r="A62" s="156" t="s">
        <v>581</v>
      </c>
      <c r="F62" s="157"/>
      <c r="G62" s="157"/>
      <c r="H62" s="157"/>
      <c r="I62" s="156">
        <v>24.8686859</v>
      </c>
      <c r="J62" s="156">
        <v>42.0998448</v>
      </c>
      <c r="K62" s="157"/>
      <c r="L62" s="157"/>
      <c r="M62" s="157"/>
      <c r="N62" s="157"/>
      <c r="O62" s="157"/>
      <c r="P62" s="157"/>
      <c r="Q62" s="158">
        <v>0.02368858343</v>
      </c>
      <c r="R62" s="159">
        <v>0.02368858343</v>
      </c>
      <c r="S62" s="51">
        <v>0.0</v>
      </c>
      <c r="T62" s="157" t="s">
        <v>595</v>
      </c>
      <c r="U62" s="46" t="s">
        <v>115</v>
      </c>
      <c r="V62" s="46" t="b">
        <v>1</v>
      </c>
      <c r="W62" s="46">
        <v>0.99</v>
      </c>
      <c r="X62" s="46">
        <v>0.0234516975957</v>
      </c>
      <c r="Y62" s="46" t="s">
        <v>640</v>
      </c>
      <c r="Z62" s="46" t="b">
        <v>0</v>
      </c>
      <c r="AA62" s="46" t="b">
        <v>0</v>
      </c>
    </row>
    <row r="63">
      <c r="A63" s="156" t="s">
        <v>556</v>
      </c>
      <c r="F63" s="157"/>
      <c r="G63" s="157"/>
      <c r="H63" s="157"/>
      <c r="I63" s="156">
        <v>-0.6224151</v>
      </c>
      <c r="J63" s="156">
        <v>43.4138043</v>
      </c>
      <c r="K63" s="157"/>
      <c r="L63" s="157"/>
      <c r="M63" s="157"/>
      <c r="N63" s="157"/>
      <c r="O63" s="157"/>
      <c r="P63" s="157"/>
      <c r="Q63" s="158">
        <v>0.02256994375</v>
      </c>
      <c r="R63" s="159">
        <v>0.02256994375</v>
      </c>
      <c r="S63" s="51">
        <v>0.0</v>
      </c>
      <c r="T63" s="157" t="s">
        <v>595</v>
      </c>
      <c r="U63" s="46" t="s">
        <v>115</v>
      </c>
      <c r="V63" s="46" t="b">
        <v>1</v>
      </c>
      <c r="W63" s="46">
        <v>0.99</v>
      </c>
      <c r="X63" s="46">
        <v>0.0223442443125</v>
      </c>
      <c r="Y63" s="46">
        <v>3.32740819407471</v>
      </c>
      <c r="Z63" s="46" t="b">
        <v>1</v>
      </c>
      <c r="AA63" s="46" t="b">
        <v>1</v>
      </c>
    </row>
    <row r="64">
      <c r="A64" s="156" t="s">
        <v>559</v>
      </c>
      <c r="F64" s="157"/>
      <c r="G64" s="157"/>
      <c r="H64" s="157"/>
      <c r="I64" s="156">
        <v>8.1028002</v>
      </c>
      <c r="J64" s="156">
        <v>45.1919142</v>
      </c>
      <c r="K64" s="157"/>
      <c r="L64" s="157"/>
      <c r="M64" s="157"/>
      <c r="N64" s="157"/>
      <c r="O64" s="157"/>
      <c r="P64" s="157"/>
      <c r="Q64" s="158">
        <v>0.02256994375</v>
      </c>
      <c r="R64" s="159">
        <v>0.02256994375</v>
      </c>
      <c r="S64" s="51">
        <v>0.0</v>
      </c>
      <c r="T64" s="157" t="s">
        <v>595</v>
      </c>
      <c r="U64" s="46" t="s">
        <v>115</v>
      </c>
      <c r="V64" s="46" t="b">
        <v>1</v>
      </c>
      <c r="W64" s="46">
        <v>0.99</v>
      </c>
      <c r="X64" s="46">
        <v>0.0223442443125</v>
      </c>
      <c r="Y64" s="46">
        <v>65.1755255847742</v>
      </c>
      <c r="Z64" s="46" t="b">
        <v>0</v>
      </c>
      <c r="AA64" s="46" t="b">
        <v>1</v>
      </c>
    </row>
    <row r="65">
      <c r="A65" s="156" t="s">
        <v>569</v>
      </c>
      <c r="F65" s="157"/>
      <c r="G65" s="157"/>
      <c r="H65" s="157"/>
      <c r="I65" s="156">
        <v>18.1590957</v>
      </c>
      <c r="J65" s="156">
        <v>46.4130553</v>
      </c>
      <c r="K65" s="157"/>
      <c r="L65" s="157"/>
      <c r="M65" s="157"/>
      <c r="N65" s="157"/>
      <c r="O65" s="157"/>
      <c r="P65" s="157"/>
      <c r="Q65" s="158">
        <v>0.01692745781</v>
      </c>
      <c r="R65" s="159">
        <v>0.01692745781</v>
      </c>
      <c r="S65" s="51">
        <v>0.0</v>
      </c>
      <c r="T65" s="157" t="s">
        <v>595</v>
      </c>
      <c r="U65" s="46" t="s">
        <v>115</v>
      </c>
      <c r="V65" s="46" t="b">
        <v>1</v>
      </c>
      <c r="W65" s="46">
        <v>0.99</v>
      </c>
      <c r="X65" s="46">
        <v>0.0167581832319</v>
      </c>
      <c r="Y65" s="46">
        <v>74.5593035540037</v>
      </c>
      <c r="Z65" s="46" t="b">
        <v>0</v>
      </c>
      <c r="AA65" s="46" t="b">
        <v>1</v>
      </c>
    </row>
    <row r="66">
      <c r="A66" s="156" t="s">
        <v>581</v>
      </c>
      <c r="F66" s="157"/>
      <c r="G66" s="157"/>
      <c r="H66" s="157"/>
      <c r="I66" s="156">
        <v>23.7542893</v>
      </c>
      <c r="J66" s="156">
        <v>42.4795352</v>
      </c>
      <c r="K66" s="157"/>
      <c r="L66" s="157"/>
      <c r="M66" s="157"/>
      <c r="N66" s="157"/>
      <c r="O66" s="157"/>
      <c r="P66" s="157"/>
      <c r="Q66" s="158">
        <v>0.016225057140000002</v>
      </c>
      <c r="R66" s="159">
        <v>0.016225057140000002</v>
      </c>
      <c r="S66" s="51">
        <v>0.0</v>
      </c>
      <c r="T66" s="157" t="s">
        <v>595</v>
      </c>
      <c r="U66" s="46" t="s">
        <v>115</v>
      </c>
      <c r="V66" s="46" t="b">
        <v>1</v>
      </c>
      <c r="W66" s="46">
        <v>0.99</v>
      </c>
      <c r="X66" s="46">
        <v>0.0160628065686</v>
      </c>
      <c r="Y66" s="46" t="s">
        <v>640</v>
      </c>
      <c r="Z66" s="46" t="b">
        <v>0</v>
      </c>
      <c r="AA66" s="46" t="b">
        <v>0</v>
      </c>
    </row>
    <row r="67">
      <c r="A67" s="156" t="s">
        <v>554</v>
      </c>
      <c r="F67" s="157"/>
      <c r="G67" s="157"/>
      <c r="H67" s="157"/>
      <c r="I67" s="156">
        <v>18.7006153</v>
      </c>
      <c r="J67" s="156">
        <v>63.2713094</v>
      </c>
      <c r="K67" s="157"/>
      <c r="L67" s="157"/>
      <c r="M67" s="157"/>
      <c r="N67" s="157"/>
      <c r="O67" s="157"/>
      <c r="P67" s="157"/>
      <c r="Q67" s="158">
        <v>0.011849220470000001</v>
      </c>
      <c r="R67" s="159">
        <v>0.011849220470000001</v>
      </c>
      <c r="S67" s="51">
        <v>0.0</v>
      </c>
      <c r="T67" s="157" t="s">
        <v>595</v>
      </c>
      <c r="U67" s="46" t="s">
        <v>115</v>
      </c>
      <c r="V67" s="46" t="b">
        <v>1</v>
      </c>
      <c r="W67" s="46">
        <v>0.99</v>
      </c>
      <c r="X67" s="46">
        <v>0.0117307282653</v>
      </c>
      <c r="Y67" s="46" t="s">
        <v>640</v>
      </c>
      <c r="Z67" s="46" t="b">
        <v>0</v>
      </c>
      <c r="AA67" s="46" t="b">
        <v>0</v>
      </c>
    </row>
    <row r="68">
      <c r="A68" s="156" t="s">
        <v>555</v>
      </c>
      <c r="F68" s="157"/>
      <c r="G68" s="157"/>
      <c r="H68" s="157"/>
      <c r="I68" s="156">
        <v>24.4820639</v>
      </c>
      <c r="J68" s="156">
        <v>60.9431653</v>
      </c>
      <c r="K68" s="157"/>
      <c r="L68" s="157"/>
      <c r="M68" s="157"/>
      <c r="N68" s="157"/>
      <c r="O68" s="157"/>
      <c r="P68" s="157"/>
      <c r="Q68" s="158">
        <v>0.008463728905</v>
      </c>
      <c r="R68" s="159">
        <v>0.008463728905</v>
      </c>
      <c r="S68" s="51">
        <v>0.0</v>
      </c>
      <c r="T68" s="157" t="s">
        <v>595</v>
      </c>
      <c r="U68" s="46" t="s">
        <v>115</v>
      </c>
      <c r="V68" s="46" t="b">
        <v>1</v>
      </c>
      <c r="W68" s="46">
        <v>0.99</v>
      </c>
      <c r="X68" s="46">
        <v>0.00837909161595</v>
      </c>
      <c r="Y68" s="46" t="s">
        <v>640</v>
      </c>
      <c r="Z68" s="46" t="b">
        <v>0</v>
      </c>
      <c r="AA68" s="46" t="b">
        <v>0</v>
      </c>
    </row>
    <row r="69">
      <c r="A69" s="156" t="s">
        <v>555</v>
      </c>
      <c r="F69" s="157"/>
      <c r="G69" s="157"/>
      <c r="H69" s="157"/>
      <c r="I69" s="156">
        <v>22.4646292</v>
      </c>
      <c r="J69" s="156">
        <v>62.6850366</v>
      </c>
      <c r="K69" s="157"/>
      <c r="L69" s="157"/>
      <c r="M69" s="157"/>
      <c r="N69" s="157"/>
      <c r="O69" s="157"/>
      <c r="P69" s="157"/>
      <c r="Q69" s="158">
        <v>0.005642485937</v>
      </c>
      <c r="R69" s="159">
        <v>0.005642485937</v>
      </c>
      <c r="S69" s="51">
        <v>0.0</v>
      </c>
      <c r="T69" s="157" t="s">
        <v>595</v>
      </c>
      <c r="U69" s="46" t="s">
        <v>115</v>
      </c>
      <c r="V69" s="46" t="b">
        <v>1</v>
      </c>
      <c r="W69" s="46">
        <v>0.99</v>
      </c>
      <c r="X69" s="46">
        <v>0.00558606107763</v>
      </c>
      <c r="Y69" s="46" t="s">
        <v>640</v>
      </c>
      <c r="Z69" s="46" t="b">
        <v>0</v>
      </c>
      <c r="AA69" s="46" t="b">
        <v>0</v>
      </c>
    </row>
    <row r="70">
      <c r="A70" s="156" t="s">
        <v>565</v>
      </c>
      <c r="F70" s="157"/>
      <c r="G70" s="157"/>
      <c r="H70" s="157"/>
      <c r="I70" s="156">
        <v>15.8008949</v>
      </c>
      <c r="J70" s="156">
        <v>49.9558345</v>
      </c>
      <c r="K70" s="157"/>
      <c r="L70" s="157"/>
      <c r="M70" s="157"/>
      <c r="N70" s="157"/>
      <c r="O70" s="157"/>
      <c r="P70" s="157"/>
      <c r="Q70" s="158">
        <v>0.005642485937</v>
      </c>
      <c r="R70" s="159">
        <v>0.005642485937</v>
      </c>
      <c r="S70" s="51">
        <v>0.0</v>
      </c>
      <c r="T70" s="157" t="s">
        <v>595</v>
      </c>
      <c r="U70" s="46" t="s">
        <v>115</v>
      </c>
      <c r="V70" s="46" t="b">
        <v>1</v>
      </c>
      <c r="W70" s="46">
        <v>0.99</v>
      </c>
      <c r="X70" s="46">
        <v>0.00558606107763</v>
      </c>
      <c r="Y70" s="46" t="s">
        <v>640</v>
      </c>
      <c r="Z70" s="46" t="b">
        <v>0</v>
      </c>
      <c r="AA70" s="46" t="b">
        <v>0</v>
      </c>
    </row>
    <row r="71">
      <c r="A71" s="156" t="s">
        <v>556</v>
      </c>
      <c r="F71" s="157"/>
      <c r="G71" s="157"/>
      <c r="H71" s="157"/>
      <c r="I71" s="156">
        <v>1.928515</v>
      </c>
      <c r="J71" s="156">
        <v>48.199531</v>
      </c>
      <c r="K71" s="157"/>
      <c r="L71" s="157"/>
      <c r="M71" s="157"/>
      <c r="N71" s="157"/>
      <c r="O71" s="157"/>
      <c r="P71" s="157"/>
      <c r="Q71" s="158">
        <v>0.005642485937</v>
      </c>
      <c r="R71" s="159">
        <v>0.005642485937</v>
      </c>
      <c r="S71" s="51">
        <v>0.0</v>
      </c>
      <c r="T71" s="157" t="s">
        <v>595</v>
      </c>
      <c r="U71" s="46" t="s">
        <v>115</v>
      </c>
      <c r="V71" s="46" t="b">
        <v>1</v>
      </c>
      <c r="W71" s="46">
        <v>0.99</v>
      </c>
      <c r="X71" s="46">
        <v>0.00558606107763</v>
      </c>
      <c r="Y71" s="46">
        <v>81.3904740295088</v>
      </c>
      <c r="Z71" s="46" t="b">
        <v>0</v>
      </c>
      <c r="AA71" s="46" t="b">
        <v>1</v>
      </c>
    </row>
    <row r="72">
      <c r="A72" s="156" t="s">
        <v>555</v>
      </c>
      <c r="F72" s="157"/>
      <c r="G72" s="157"/>
      <c r="H72" s="157"/>
      <c r="I72" s="156">
        <v>27.7278497</v>
      </c>
      <c r="J72" s="156">
        <v>64.2221775</v>
      </c>
      <c r="K72" s="157"/>
      <c r="L72" s="157"/>
      <c r="M72" s="157"/>
      <c r="N72" s="157"/>
      <c r="O72" s="157"/>
      <c r="P72" s="157"/>
      <c r="Q72" s="158">
        <v>0.00540835238</v>
      </c>
      <c r="R72" s="159">
        <v>0.00540835238</v>
      </c>
      <c r="S72" s="51">
        <v>0.0</v>
      </c>
      <c r="T72" s="157" t="s">
        <v>595</v>
      </c>
      <c r="U72" s="46" t="s">
        <v>115</v>
      </c>
      <c r="V72" s="46" t="b">
        <v>1</v>
      </c>
      <c r="W72" s="46">
        <v>0.99</v>
      </c>
      <c r="X72" s="46">
        <v>0.0053542688562</v>
      </c>
      <c r="Y72" s="46" t="s">
        <v>640</v>
      </c>
      <c r="Z72" s="46" t="b">
        <v>0</v>
      </c>
      <c r="AA72" s="46" t="b">
        <v>0</v>
      </c>
    </row>
    <row r="73">
      <c r="A73" s="156" t="s">
        <v>555</v>
      </c>
      <c r="F73" s="157"/>
      <c r="G73" s="157"/>
      <c r="H73" s="157"/>
      <c r="I73" s="156">
        <v>25.6700517</v>
      </c>
      <c r="J73" s="156">
        <v>64.9639516</v>
      </c>
      <c r="K73" s="157"/>
      <c r="L73" s="157"/>
      <c r="M73" s="157"/>
      <c r="N73" s="157"/>
      <c r="O73" s="157"/>
      <c r="P73" s="157"/>
      <c r="Q73" s="158">
        <v>0.002821242968</v>
      </c>
      <c r="R73" s="159">
        <v>0.002821242968</v>
      </c>
      <c r="S73" s="51">
        <v>0.0</v>
      </c>
      <c r="T73" s="157" t="s">
        <v>595</v>
      </c>
      <c r="U73" s="46" t="s">
        <v>115</v>
      </c>
      <c r="V73" s="46" t="b">
        <v>0</v>
      </c>
      <c r="W73" s="46">
        <v>0.99</v>
      </c>
      <c r="X73" s="46">
        <v>0.0</v>
      </c>
      <c r="Y73" s="46" t="s">
        <v>640</v>
      </c>
      <c r="Z73" s="46" t="b">
        <v>0</v>
      </c>
      <c r="AA73" s="46" t="b">
        <v>0</v>
      </c>
    </row>
    <row r="74">
      <c r="A74" s="156" t="s">
        <v>556</v>
      </c>
      <c r="F74" s="157"/>
      <c r="G74" s="157"/>
      <c r="H74" s="157"/>
      <c r="I74" s="156">
        <v>2.6812196</v>
      </c>
      <c r="J74" s="156">
        <v>50.6324117</v>
      </c>
      <c r="K74" s="157"/>
      <c r="L74" s="157"/>
      <c r="M74" s="157"/>
      <c r="N74" s="157"/>
      <c r="O74" s="157"/>
      <c r="P74" s="157"/>
      <c r="Q74" s="158">
        <v>0.002821242968</v>
      </c>
      <c r="R74" s="159">
        <v>0.002821242968</v>
      </c>
      <c r="S74" s="51">
        <v>0.0</v>
      </c>
      <c r="T74" s="157" t="s">
        <v>595</v>
      </c>
      <c r="U74" s="46" t="s">
        <v>115</v>
      </c>
      <c r="V74" s="46" t="b">
        <v>0</v>
      </c>
      <c r="W74" s="46">
        <v>0.99</v>
      </c>
      <c r="X74" s="46">
        <v>0.0</v>
      </c>
      <c r="Y74" s="46">
        <v>21.8011162292586</v>
      </c>
      <c r="Z74" s="46" t="b">
        <v>1</v>
      </c>
      <c r="AA74" s="46" t="b">
        <v>1</v>
      </c>
    </row>
    <row r="75">
      <c r="A75" s="156" t="s">
        <v>554</v>
      </c>
      <c r="F75" s="157"/>
      <c r="G75" s="157"/>
      <c r="H75" s="157"/>
      <c r="I75" s="156">
        <v>11.97456</v>
      </c>
      <c r="J75" s="156">
        <v>57.70887</v>
      </c>
      <c r="K75" s="157"/>
      <c r="L75" s="157"/>
      <c r="M75" s="157"/>
      <c r="N75" s="157"/>
      <c r="O75" s="157"/>
      <c r="P75" s="157"/>
      <c r="Q75" s="158">
        <v>0.00270417619</v>
      </c>
      <c r="R75" s="159">
        <v>0.00270417619</v>
      </c>
      <c r="S75" s="51">
        <v>0.0</v>
      </c>
      <c r="T75" s="157" t="s">
        <v>595</v>
      </c>
      <c r="U75" s="46" t="s">
        <v>115</v>
      </c>
      <c r="V75" s="46" t="b">
        <v>0</v>
      </c>
      <c r="W75" s="46">
        <v>0.99</v>
      </c>
      <c r="X75" s="46">
        <v>0.0</v>
      </c>
      <c r="Y75" s="46">
        <v>136.046653617913</v>
      </c>
      <c r="Z75" s="46" t="b">
        <v>0</v>
      </c>
      <c r="AA75" s="46" t="b">
        <v>0</v>
      </c>
    </row>
    <row r="76">
      <c r="A76" s="156" t="s">
        <v>554</v>
      </c>
      <c r="F76" s="157"/>
      <c r="G76" s="157"/>
      <c r="H76" s="157"/>
      <c r="I76" s="156">
        <v>18.700347</v>
      </c>
      <c r="J76" s="156">
        <v>63.2712539</v>
      </c>
      <c r="K76" s="157"/>
      <c r="L76" s="157"/>
      <c r="M76" s="157"/>
      <c r="N76" s="157"/>
      <c r="O76" s="157"/>
      <c r="P76" s="157"/>
      <c r="Q76" s="158">
        <v>0.002539118672</v>
      </c>
      <c r="R76" s="159">
        <v>0.002539118672</v>
      </c>
      <c r="S76" s="51">
        <v>0.0</v>
      </c>
      <c r="T76" s="157" t="s">
        <v>595</v>
      </c>
      <c r="U76" s="46" t="s">
        <v>115</v>
      </c>
      <c r="V76" s="46" t="b">
        <v>0</v>
      </c>
      <c r="W76" s="46">
        <v>0.99</v>
      </c>
      <c r="X76" s="46">
        <v>0.0</v>
      </c>
      <c r="Y76" s="46" t="s">
        <v>640</v>
      </c>
      <c r="Z76" s="46" t="b">
        <v>0</v>
      </c>
      <c r="AA76" s="46" t="b">
        <v>0</v>
      </c>
    </row>
    <row r="77">
      <c r="A77" s="156" t="s">
        <v>568</v>
      </c>
      <c r="F77" s="157"/>
      <c r="G77" s="157"/>
      <c r="H77" s="157"/>
      <c r="I77" s="156">
        <v>11.079573</v>
      </c>
      <c r="J77" s="156">
        <v>55.659734</v>
      </c>
      <c r="K77" s="157"/>
      <c r="L77" s="157"/>
      <c r="M77" s="157"/>
      <c r="N77" s="157"/>
      <c r="O77" s="157"/>
      <c r="P77" s="157"/>
      <c r="Q77" s="158">
        <v>0.002426268953</v>
      </c>
      <c r="R77" s="159">
        <v>0.002426268953</v>
      </c>
      <c r="S77" s="51">
        <v>0.0</v>
      </c>
      <c r="T77" s="157" t="s">
        <v>595</v>
      </c>
      <c r="U77" s="46" t="s">
        <v>115</v>
      </c>
      <c r="V77" s="46" t="b">
        <v>0</v>
      </c>
      <c r="W77" s="46">
        <v>0.99</v>
      </c>
      <c r="X77" s="46">
        <v>0.0</v>
      </c>
      <c r="Y77" s="46">
        <v>26.503500851713</v>
      </c>
      <c r="Z77" s="46" t="b">
        <v>1</v>
      </c>
      <c r="AA77" s="46" t="b">
        <v>1</v>
      </c>
    </row>
    <row r="78">
      <c r="A78" s="156" t="s">
        <v>568</v>
      </c>
      <c r="F78" s="157"/>
      <c r="G78" s="157"/>
      <c r="H78" s="157"/>
      <c r="I78" s="156">
        <v>14.920503</v>
      </c>
      <c r="J78" s="156">
        <v>55.070084</v>
      </c>
      <c r="K78" s="157"/>
      <c r="L78" s="157"/>
      <c r="M78" s="157"/>
      <c r="N78" s="157"/>
      <c r="O78" s="157"/>
      <c r="P78" s="157"/>
      <c r="Q78" s="158">
        <v>0.0022569943750000003</v>
      </c>
      <c r="R78" s="159">
        <v>0.0022569943750000003</v>
      </c>
      <c r="S78" s="51">
        <v>0.0</v>
      </c>
      <c r="T78" s="157" t="s">
        <v>595</v>
      </c>
      <c r="U78" s="46" t="s">
        <v>115</v>
      </c>
      <c r="V78" s="46" t="b">
        <v>0</v>
      </c>
      <c r="W78" s="46">
        <v>0.99</v>
      </c>
      <c r="X78" s="46">
        <v>0.0</v>
      </c>
      <c r="Y78" s="46" t="s">
        <v>640</v>
      </c>
      <c r="Z78" s="46" t="b">
        <v>0</v>
      </c>
      <c r="AA78" s="46" t="b">
        <v>0</v>
      </c>
    </row>
    <row r="79">
      <c r="A79" s="156" t="s">
        <v>555</v>
      </c>
      <c r="F79" s="157"/>
      <c r="G79" s="157"/>
      <c r="H79" s="157"/>
      <c r="I79" s="156">
        <v>28.1896627</v>
      </c>
      <c r="J79" s="156">
        <v>61.0549929</v>
      </c>
      <c r="K79" s="157"/>
      <c r="L79" s="157"/>
      <c r="M79" s="157"/>
      <c r="N79" s="157"/>
      <c r="O79" s="157"/>
      <c r="P79" s="157"/>
      <c r="Q79" s="158">
        <v>0.001081670476</v>
      </c>
      <c r="R79" s="159">
        <v>0.001081670476</v>
      </c>
      <c r="S79" s="51">
        <v>0.0</v>
      </c>
      <c r="T79" s="157" t="s">
        <v>595</v>
      </c>
      <c r="U79" s="46" t="s">
        <v>115</v>
      </c>
      <c r="V79" s="46" t="b">
        <v>0</v>
      </c>
      <c r="W79" s="46">
        <v>0.99</v>
      </c>
      <c r="X79" s="46">
        <v>0.0</v>
      </c>
      <c r="Y79" s="46" t="s">
        <v>640</v>
      </c>
      <c r="Z79" s="46" t="b">
        <v>0</v>
      </c>
      <c r="AA79" s="46" t="b">
        <v>0</v>
      </c>
    </row>
    <row r="80">
      <c r="A80" s="156" t="s">
        <v>554</v>
      </c>
      <c r="F80" s="157"/>
      <c r="G80" s="157"/>
      <c r="H80" s="157"/>
      <c r="I80" s="156">
        <v>21.4800363</v>
      </c>
      <c r="J80" s="156">
        <v>65.316698</v>
      </c>
      <c r="K80" s="157"/>
      <c r="L80" s="157"/>
      <c r="M80" s="157"/>
      <c r="N80" s="157"/>
      <c r="O80" s="157"/>
      <c r="P80" s="157"/>
      <c r="Q80" s="158">
        <v>8.23802947E-4</v>
      </c>
      <c r="R80" s="159">
        <v>8.23802947E-4</v>
      </c>
      <c r="S80" s="51">
        <v>0.0</v>
      </c>
      <c r="T80" s="157" t="s">
        <v>595</v>
      </c>
      <c r="U80" s="46" t="s">
        <v>115</v>
      </c>
      <c r="V80" s="46" t="b">
        <v>0</v>
      </c>
      <c r="W80" s="46">
        <v>0.99</v>
      </c>
      <c r="X80" s="46">
        <v>0.0</v>
      </c>
      <c r="Y80" s="46" t="s">
        <v>640</v>
      </c>
      <c r="Z80" s="46" t="b">
        <v>0</v>
      </c>
      <c r="AA80" s="46" t="b">
        <v>0</v>
      </c>
    </row>
    <row r="81">
      <c r="A81" s="156" t="s">
        <v>555</v>
      </c>
      <c r="F81" s="157"/>
      <c r="G81" s="157"/>
      <c r="H81" s="157"/>
      <c r="I81" s="156">
        <v>24.4590244</v>
      </c>
      <c r="J81" s="156">
        <v>60.9928787</v>
      </c>
      <c r="K81" s="157"/>
      <c r="L81" s="157"/>
      <c r="M81" s="157"/>
      <c r="N81" s="157"/>
      <c r="O81" s="157"/>
      <c r="P81" s="157"/>
      <c r="Q81" s="158">
        <v>5.40835238E-4</v>
      </c>
      <c r="R81" s="159">
        <v>5.40835238E-4</v>
      </c>
      <c r="S81" s="51">
        <v>0.0</v>
      </c>
      <c r="T81" s="157" t="s">
        <v>595</v>
      </c>
      <c r="U81" s="46" t="s">
        <v>115</v>
      </c>
      <c r="V81" s="46" t="b">
        <v>0</v>
      </c>
      <c r="W81" s="46">
        <v>0.99</v>
      </c>
      <c r="X81" s="46">
        <v>0.0</v>
      </c>
      <c r="Y81" s="46" t="s">
        <v>640</v>
      </c>
      <c r="Z81" s="46" t="b">
        <v>0</v>
      </c>
      <c r="AA81" s="46" t="b">
        <v>0</v>
      </c>
    </row>
    <row r="82">
      <c r="A82" s="156" t="s">
        <v>555</v>
      </c>
      <c r="F82" s="157"/>
      <c r="G82" s="157"/>
      <c r="H82" s="157"/>
      <c r="I82" s="156">
        <v>25.7179391</v>
      </c>
      <c r="J82" s="156">
        <v>60.9918062</v>
      </c>
      <c r="K82" s="157"/>
      <c r="L82" s="157"/>
      <c r="M82" s="157"/>
      <c r="N82" s="157"/>
      <c r="O82" s="157"/>
      <c r="P82" s="157"/>
      <c r="Q82" s="158">
        <v>5.40835238E-4</v>
      </c>
      <c r="R82" s="159">
        <v>5.40835238E-4</v>
      </c>
      <c r="S82" s="51">
        <v>0.0</v>
      </c>
      <c r="T82" s="157" t="s">
        <v>595</v>
      </c>
      <c r="U82" s="46" t="s">
        <v>115</v>
      </c>
      <c r="V82" s="46" t="b">
        <v>0</v>
      </c>
      <c r="W82" s="46">
        <v>0.99</v>
      </c>
      <c r="X82" s="46">
        <v>0.0</v>
      </c>
      <c r="Y82" s="46" t="s">
        <v>640</v>
      </c>
      <c r="Z82" s="46" t="b">
        <v>0</v>
      </c>
      <c r="AA82" s="46" t="b">
        <v>0</v>
      </c>
    </row>
    <row r="83">
      <c r="A83" s="156" t="s">
        <v>555</v>
      </c>
      <c r="F83" s="157"/>
      <c r="G83" s="157"/>
      <c r="H83" s="157"/>
      <c r="I83" s="156">
        <v>21.3371526</v>
      </c>
      <c r="J83" s="156">
        <v>62.4728387</v>
      </c>
      <c r="K83" s="157"/>
      <c r="L83" s="157"/>
      <c r="M83" s="157"/>
      <c r="N83" s="157"/>
      <c r="O83" s="157"/>
      <c r="P83" s="157"/>
      <c r="Q83" s="158">
        <v>4.59709952E-4</v>
      </c>
      <c r="R83" s="159">
        <v>4.59709952E-4</v>
      </c>
      <c r="S83" s="51">
        <v>0.0</v>
      </c>
      <c r="T83" s="157" t="s">
        <v>595</v>
      </c>
      <c r="U83" s="46" t="s">
        <v>115</v>
      </c>
      <c r="V83" s="46" t="b">
        <v>0</v>
      </c>
      <c r="W83" s="46">
        <v>0.99</v>
      </c>
      <c r="X83" s="46">
        <v>0.0</v>
      </c>
      <c r="Y83" s="46" t="s">
        <v>640</v>
      </c>
      <c r="Z83" s="46" t="b">
        <v>0</v>
      </c>
      <c r="AA83" s="46" t="b">
        <v>0</v>
      </c>
    </row>
    <row r="84">
      <c r="A84" s="156" t="s">
        <v>563</v>
      </c>
      <c r="F84" s="157"/>
      <c r="G84" s="157"/>
      <c r="H84" s="157"/>
      <c r="I84" s="156">
        <v>-3.7227698</v>
      </c>
      <c r="J84" s="156">
        <v>56.0097152</v>
      </c>
      <c r="K84" s="157"/>
      <c r="L84" s="157"/>
      <c r="M84" s="157"/>
      <c r="N84" s="157"/>
      <c r="O84" s="157"/>
      <c r="P84" s="157"/>
      <c r="Q84" s="158">
        <v>2.70417619E-4</v>
      </c>
      <c r="R84" s="159">
        <v>2.70417619E-4</v>
      </c>
      <c r="S84" s="51">
        <v>0.0</v>
      </c>
      <c r="T84" s="157" t="s">
        <v>595</v>
      </c>
      <c r="U84" s="46" t="s">
        <v>115</v>
      </c>
      <c r="V84" s="46" t="b">
        <v>0</v>
      </c>
      <c r="W84" s="46">
        <v>0.99</v>
      </c>
      <c r="X84" s="46">
        <v>0.0</v>
      </c>
      <c r="Y84" s="46">
        <v>5.38773728282972</v>
      </c>
      <c r="Z84" s="46" t="b">
        <v>1</v>
      </c>
      <c r="AA84" s="46" t="b">
        <v>1</v>
      </c>
    </row>
    <row r="85">
      <c r="A85" s="156" t="s">
        <v>557</v>
      </c>
      <c r="F85" s="157"/>
      <c r="G85" s="157"/>
      <c r="H85" s="157"/>
      <c r="I85" s="156">
        <v>12.6567499</v>
      </c>
      <c r="J85" s="156">
        <v>48.8975459</v>
      </c>
      <c r="K85" s="157"/>
      <c r="L85" s="157"/>
      <c r="M85" s="157"/>
      <c r="N85" s="157"/>
      <c r="O85" s="157"/>
      <c r="P85" s="157"/>
      <c r="Q85" s="158">
        <v>2.05950737E-4</v>
      </c>
      <c r="R85" s="159">
        <v>2.05950737E-4</v>
      </c>
      <c r="S85" s="51">
        <v>0.0</v>
      </c>
      <c r="T85" s="157" t="s">
        <v>595</v>
      </c>
      <c r="U85" s="46" t="s">
        <v>115</v>
      </c>
      <c r="V85" s="46" t="b">
        <v>0</v>
      </c>
      <c r="W85" s="46">
        <v>0.99</v>
      </c>
      <c r="X85" s="46">
        <v>0.0</v>
      </c>
      <c r="Y85" s="46">
        <v>44.936263880588</v>
      </c>
      <c r="Z85" s="46" t="b">
        <v>1</v>
      </c>
      <c r="AA85" s="46" t="b">
        <v>1</v>
      </c>
    </row>
    <row r="86">
      <c r="A86" s="156" t="s">
        <v>559</v>
      </c>
      <c r="F86" s="157"/>
      <c r="G86" s="157"/>
      <c r="H86" s="157"/>
      <c r="I86" s="156">
        <v>8.8150467</v>
      </c>
      <c r="J86" s="156">
        <v>44.8470779</v>
      </c>
      <c r="K86" s="157"/>
      <c r="L86" s="157"/>
      <c r="M86" s="157"/>
      <c r="N86" s="157"/>
      <c r="O86" s="157"/>
      <c r="P86" s="157"/>
      <c r="Q86" s="158">
        <v>2.821243E-5</v>
      </c>
      <c r="R86" s="159">
        <v>2.821243E-5</v>
      </c>
      <c r="S86" s="51">
        <v>0.0</v>
      </c>
      <c r="T86" s="157" t="s">
        <v>595</v>
      </c>
      <c r="U86" s="46" t="s">
        <v>115</v>
      </c>
      <c r="V86" s="46" t="b">
        <v>0</v>
      </c>
      <c r="W86" s="46">
        <v>0.99</v>
      </c>
      <c r="X86" s="46">
        <v>0.0</v>
      </c>
      <c r="Y86" s="46">
        <v>15.3818770164731</v>
      </c>
      <c r="Z86" s="46" t="b">
        <v>1</v>
      </c>
      <c r="AA86" s="46" t="b">
        <v>1</v>
      </c>
    </row>
    <row r="87">
      <c r="A87" s="156" t="s">
        <v>568</v>
      </c>
      <c r="F87" s="157"/>
      <c r="G87" s="157"/>
      <c r="H87" s="157"/>
      <c r="I87" s="156">
        <v>12.5200147</v>
      </c>
      <c r="J87" s="156">
        <v>55.787672</v>
      </c>
      <c r="K87" s="157"/>
      <c r="L87" s="157"/>
      <c r="M87" s="157"/>
      <c r="N87" s="157"/>
      <c r="O87" s="157"/>
      <c r="P87" s="157"/>
      <c r="Q87" s="158">
        <v>7.896194000000001E-6</v>
      </c>
      <c r="R87" s="159">
        <v>7.896194000000001E-6</v>
      </c>
      <c r="S87" s="51">
        <v>0.0</v>
      </c>
      <c r="T87" s="157" t="s">
        <v>595</v>
      </c>
      <c r="U87" s="46" t="s">
        <v>115</v>
      </c>
      <c r="V87" s="46" t="b">
        <v>0</v>
      </c>
      <c r="W87" s="46">
        <v>0.99</v>
      </c>
      <c r="X87" s="46">
        <v>0.0</v>
      </c>
      <c r="Y87" s="46">
        <v>9.37640663745151</v>
      </c>
      <c r="Z87" s="46" t="b">
        <v>1</v>
      </c>
      <c r="AA87" s="46" t="b">
        <v>1</v>
      </c>
    </row>
    <row r="88">
      <c r="A88" s="156" t="s">
        <v>568</v>
      </c>
      <c r="F88" s="157"/>
      <c r="G88" s="157"/>
      <c r="H88" s="157"/>
      <c r="I88" s="156">
        <v>12.374765</v>
      </c>
      <c r="J88" s="156">
        <v>55.727987</v>
      </c>
      <c r="K88" s="157"/>
      <c r="L88" s="157"/>
      <c r="M88" s="157"/>
      <c r="N88" s="157"/>
      <c r="O88" s="157"/>
      <c r="P88" s="157"/>
      <c r="Q88" s="158">
        <v>7.896194000000001E-6</v>
      </c>
      <c r="R88" s="159">
        <v>7.896194000000001E-6</v>
      </c>
      <c r="S88" s="51">
        <v>0.0</v>
      </c>
      <c r="T88" s="157" t="s">
        <v>595</v>
      </c>
      <c r="U88" s="46" t="s">
        <v>115</v>
      </c>
      <c r="V88" s="46" t="b">
        <v>0</v>
      </c>
      <c r="W88" s="46">
        <v>0.99</v>
      </c>
      <c r="X88" s="46">
        <v>0.0</v>
      </c>
      <c r="Y88" s="46">
        <v>7.02841896891764</v>
      </c>
      <c r="Z88" s="46" t="b">
        <v>1</v>
      </c>
      <c r="AA88" s="46" t="b">
        <v>1</v>
      </c>
    </row>
    <row r="89">
      <c r="A89" s="156" t="s">
        <v>568</v>
      </c>
      <c r="F89" s="157"/>
      <c r="G89" s="157"/>
      <c r="H89" s="157"/>
      <c r="I89" s="156">
        <v>14.8668836</v>
      </c>
      <c r="J89" s="156">
        <v>55.160428</v>
      </c>
      <c r="K89" s="157"/>
      <c r="L89" s="157"/>
      <c r="M89" s="157"/>
      <c r="N89" s="157"/>
      <c r="O89" s="157"/>
      <c r="P89" s="157"/>
      <c r="Q89" s="158">
        <v>6.206734999999999E-6</v>
      </c>
      <c r="R89" s="159">
        <v>6.206734999999999E-6</v>
      </c>
      <c r="S89" s="51">
        <v>0.0</v>
      </c>
      <c r="T89" s="157" t="s">
        <v>595</v>
      </c>
      <c r="U89" s="46" t="s">
        <v>115</v>
      </c>
      <c r="V89" s="46" t="b">
        <v>0</v>
      </c>
      <c r="W89" s="46">
        <v>0.99</v>
      </c>
      <c r="X89" s="46">
        <v>0.0</v>
      </c>
      <c r="Y89" s="46" t="s">
        <v>640</v>
      </c>
      <c r="Z89" s="46" t="b">
        <v>0</v>
      </c>
      <c r="AA89" s="46" t="b">
        <v>0</v>
      </c>
    </row>
    <row r="90">
      <c r="A90" s="156" t="s">
        <v>568</v>
      </c>
      <c r="F90" s="157"/>
      <c r="G90" s="157"/>
      <c r="H90" s="157"/>
      <c r="I90" s="156">
        <v>12.521381</v>
      </c>
      <c r="J90" s="156">
        <v>55.7855742</v>
      </c>
      <c r="K90" s="157"/>
      <c r="L90" s="157"/>
      <c r="M90" s="157"/>
      <c r="N90" s="157"/>
      <c r="O90" s="157"/>
      <c r="P90" s="157"/>
      <c r="Q90" s="158">
        <v>6.206734999999999E-6</v>
      </c>
      <c r="R90" s="159">
        <v>6.206734999999999E-6</v>
      </c>
      <c r="S90" s="51">
        <v>0.0</v>
      </c>
      <c r="T90" s="157" t="s">
        <v>595</v>
      </c>
      <c r="U90" s="46" t="s">
        <v>115</v>
      </c>
      <c r="V90" s="46" t="b">
        <v>0</v>
      </c>
      <c r="W90" s="46">
        <v>0.99</v>
      </c>
      <c r="X90" s="46">
        <v>0.0</v>
      </c>
      <c r="Y90" s="46">
        <v>9.1281991750802</v>
      </c>
      <c r="Z90" s="46" t="b">
        <v>1</v>
      </c>
      <c r="AA90" s="46" t="b">
        <v>1</v>
      </c>
    </row>
    <row r="91">
      <c r="A91" s="157" t="s">
        <v>560</v>
      </c>
      <c r="B91" s="157"/>
      <c r="C91" s="157"/>
      <c r="D91" s="157"/>
      <c r="E91" s="157"/>
      <c r="F91" s="157"/>
      <c r="G91" s="157"/>
      <c r="H91" s="157"/>
      <c r="I91" s="160" t="s">
        <v>641</v>
      </c>
      <c r="J91" s="160" t="s">
        <v>641</v>
      </c>
      <c r="K91" s="157"/>
      <c r="L91" s="157"/>
      <c r="M91" s="157"/>
      <c r="N91" s="157"/>
      <c r="O91" s="157"/>
      <c r="P91" s="157"/>
      <c r="Q91" s="158">
        <v>0.1229029402</v>
      </c>
      <c r="R91" s="158">
        <v>0.1229029402</v>
      </c>
      <c r="S91" s="51">
        <v>0.0</v>
      </c>
      <c r="T91" s="160" t="s">
        <v>104</v>
      </c>
      <c r="U91" s="160" t="s">
        <v>104</v>
      </c>
      <c r="V91" s="46" t="b">
        <v>1</v>
      </c>
      <c r="W91" s="46">
        <v>0.99</v>
      </c>
      <c r="X91" s="45">
        <f t="shared" ref="X91:X121" si="1">W91*R91</f>
        <v>0.1216739108</v>
      </c>
      <c r="Y91" s="46">
        <v>0.0</v>
      </c>
      <c r="Z91" s="46" t="b">
        <v>1</v>
      </c>
      <c r="AA91" s="46" t="b">
        <v>1</v>
      </c>
    </row>
    <row r="92">
      <c r="A92" s="157" t="s">
        <v>562</v>
      </c>
      <c r="B92" s="157"/>
      <c r="C92" s="157"/>
      <c r="D92" s="157"/>
      <c r="E92" s="157"/>
      <c r="F92" s="157"/>
      <c r="G92" s="157"/>
      <c r="H92" s="157"/>
      <c r="I92" s="160" t="s">
        <v>641</v>
      </c>
      <c r="J92" s="160" t="s">
        <v>641</v>
      </c>
      <c r="K92" s="157"/>
      <c r="L92" s="157"/>
      <c r="M92" s="157"/>
      <c r="N92" s="157"/>
      <c r="O92" s="157"/>
      <c r="P92" s="157"/>
      <c r="Q92" s="158">
        <v>0.11522150639999999</v>
      </c>
      <c r="R92" s="158">
        <v>0.11522150639999999</v>
      </c>
      <c r="S92" s="51">
        <v>0.0</v>
      </c>
      <c r="T92" s="160" t="s">
        <v>104</v>
      </c>
      <c r="U92" s="160" t="s">
        <v>104</v>
      </c>
      <c r="V92" s="46" t="b">
        <v>1</v>
      </c>
      <c r="W92" s="46">
        <v>0.99</v>
      </c>
      <c r="X92" s="45">
        <f t="shared" si="1"/>
        <v>0.1140692913</v>
      </c>
      <c r="Y92" s="46">
        <v>0.0</v>
      </c>
      <c r="Z92" s="46" t="b">
        <v>1</v>
      </c>
      <c r="AA92" s="46" t="b">
        <v>1</v>
      </c>
    </row>
    <row r="93">
      <c r="A93" s="157" t="s">
        <v>581</v>
      </c>
      <c r="B93" s="157"/>
      <c r="C93" s="157"/>
      <c r="D93" s="157"/>
      <c r="E93" s="157"/>
      <c r="F93" s="157"/>
      <c r="G93" s="157"/>
      <c r="H93" s="157"/>
      <c r="I93" s="160" t="s">
        <v>641</v>
      </c>
      <c r="J93" s="160" t="s">
        <v>641</v>
      </c>
      <c r="K93" s="157"/>
      <c r="L93" s="157"/>
      <c r="M93" s="157"/>
      <c r="N93" s="157"/>
      <c r="O93" s="157"/>
      <c r="P93" s="157"/>
      <c r="Q93" s="158">
        <v>0.0</v>
      </c>
      <c r="R93" s="158">
        <v>0.0</v>
      </c>
      <c r="S93" s="51">
        <v>0.0</v>
      </c>
      <c r="T93" s="160" t="s">
        <v>104</v>
      </c>
      <c r="U93" s="160" t="s">
        <v>104</v>
      </c>
      <c r="V93" s="46" t="b">
        <v>1</v>
      </c>
      <c r="W93" s="46">
        <v>0.99</v>
      </c>
      <c r="X93" s="45">
        <f t="shared" si="1"/>
        <v>0</v>
      </c>
      <c r="Y93" s="46">
        <v>0.0</v>
      </c>
      <c r="Z93" s="46" t="b">
        <v>1</v>
      </c>
      <c r="AA93" s="46" t="b">
        <v>1</v>
      </c>
    </row>
    <row r="94">
      <c r="A94" s="157" t="s">
        <v>579</v>
      </c>
      <c r="B94" s="157"/>
      <c r="C94" s="157"/>
      <c r="D94" s="157"/>
      <c r="E94" s="157"/>
      <c r="F94" s="157"/>
      <c r="G94" s="157"/>
      <c r="H94" s="157"/>
      <c r="I94" s="160" t="s">
        <v>641</v>
      </c>
      <c r="J94" s="160" t="s">
        <v>641</v>
      </c>
      <c r="K94" s="157"/>
      <c r="L94" s="157"/>
      <c r="M94" s="157"/>
      <c r="N94" s="157"/>
      <c r="O94" s="157"/>
      <c r="P94" s="157"/>
      <c r="Q94" s="158">
        <v>0.0</v>
      </c>
      <c r="R94" s="158">
        <v>0.0</v>
      </c>
      <c r="S94" s="51">
        <v>0.0</v>
      </c>
      <c r="T94" s="160" t="s">
        <v>104</v>
      </c>
      <c r="U94" s="160" t="s">
        <v>104</v>
      </c>
      <c r="V94" s="46" t="b">
        <v>1</v>
      </c>
      <c r="W94" s="46">
        <v>0.99</v>
      </c>
      <c r="X94" s="45">
        <f t="shared" si="1"/>
        <v>0</v>
      </c>
      <c r="Y94" s="46">
        <v>0.0</v>
      </c>
      <c r="Z94" s="46" t="b">
        <v>1</v>
      </c>
      <c r="AA94" s="46" t="b">
        <v>1</v>
      </c>
    </row>
    <row r="95">
      <c r="A95" s="157" t="s">
        <v>578</v>
      </c>
      <c r="B95" s="157"/>
      <c r="C95" s="157"/>
      <c r="D95" s="157"/>
      <c r="E95" s="157"/>
      <c r="F95" s="157"/>
      <c r="G95" s="157"/>
      <c r="H95" s="157"/>
      <c r="I95" s="160" t="s">
        <v>641</v>
      </c>
      <c r="J95" s="160" t="s">
        <v>641</v>
      </c>
      <c r="K95" s="157"/>
      <c r="L95" s="157"/>
      <c r="M95" s="157"/>
      <c r="N95" s="157"/>
      <c r="O95" s="157"/>
      <c r="P95" s="157"/>
      <c r="Q95" s="158">
        <v>0.0</v>
      </c>
      <c r="R95" s="158">
        <v>0.0</v>
      </c>
      <c r="S95" s="51">
        <v>0.0</v>
      </c>
      <c r="T95" s="160" t="s">
        <v>104</v>
      </c>
      <c r="U95" s="160" t="s">
        <v>104</v>
      </c>
      <c r="V95" s="46" t="b">
        <v>1</v>
      </c>
      <c r="W95" s="46">
        <v>0.99</v>
      </c>
      <c r="X95" s="45">
        <f t="shared" si="1"/>
        <v>0</v>
      </c>
      <c r="Y95" s="46">
        <v>0.0</v>
      </c>
      <c r="Z95" s="46" t="b">
        <v>1</v>
      </c>
      <c r="AA95" s="46" t="b">
        <v>1</v>
      </c>
    </row>
    <row r="96">
      <c r="A96" s="157" t="s">
        <v>565</v>
      </c>
      <c r="B96" s="157"/>
      <c r="C96" s="157"/>
      <c r="D96" s="157"/>
      <c r="E96" s="157"/>
      <c r="F96" s="157"/>
      <c r="G96" s="157"/>
      <c r="H96" s="157"/>
      <c r="I96" s="160" t="s">
        <v>641</v>
      </c>
      <c r="J96" s="160" t="s">
        <v>641</v>
      </c>
      <c r="K96" s="157"/>
      <c r="L96" s="157"/>
      <c r="M96" s="157"/>
      <c r="N96" s="157"/>
      <c r="O96" s="157"/>
      <c r="P96" s="157"/>
      <c r="Q96" s="158">
        <v>0.09985863888</v>
      </c>
      <c r="R96" s="158">
        <v>0.09985863888</v>
      </c>
      <c r="S96" s="51">
        <v>0.0</v>
      </c>
      <c r="T96" s="160" t="s">
        <v>104</v>
      </c>
      <c r="U96" s="160" t="s">
        <v>104</v>
      </c>
      <c r="V96" s="46" t="b">
        <v>1</v>
      </c>
      <c r="W96" s="46">
        <v>0.99</v>
      </c>
      <c r="X96" s="45">
        <f t="shared" si="1"/>
        <v>0.09886005249</v>
      </c>
      <c r="Y96" s="46">
        <v>0.0</v>
      </c>
      <c r="Z96" s="46" t="b">
        <v>1</v>
      </c>
      <c r="AA96" s="46" t="b">
        <v>1</v>
      </c>
    </row>
    <row r="97">
      <c r="A97" s="157" t="s">
        <v>568</v>
      </c>
      <c r="B97" s="157"/>
      <c r="C97" s="157"/>
      <c r="D97" s="157"/>
      <c r="E97" s="157"/>
      <c r="F97" s="157"/>
      <c r="G97" s="157"/>
      <c r="H97" s="157"/>
      <c r="I97" s="160" t="s">
        <v>641</v>
      </c>
      <c r="J97" s="160" t="s">
        <v>641</v>
      </c>
      <c r="K97" s="157"/>
      <c r="L97" s="157"/>
      <c r="M97" s="157"/>
      <c r="N97" s="157"/>
      <c r="O97" s="157"/>
      <c r="P97" s="157"/>
      <c r="Q97" s="158">
        <v>0.9597224736</v>
      </c>
      <c r="R97" s="158">
        <v>0.9597224736</v>
      </c>
      <c r="S97" s="51">
        <v>0.0</v>
      </c>
      <c r="T97" s="160" t="s">
        <v>104</v>
      </c>
      <c r="U97" s="160" t="s">
        <v>104</v>
      </c>
      <c r="V97" s="46" t="b">
        <v>1</v>
      </c>
      <c r="W97" s="46">
        <v>0.99</v>
      </c>
      <c r="X97" s="45">
        <f t="shared" si="1"/>
        <v>0.9501252489</v>
      </c>
      <c r="Y97" s="46">
        <v>0.0</v>
      </c>
      <c r="Z97" s="46" t="b">
        <v>1</v>
      </c>
      <c r="AA97" s="46" t="b">
        <v>1</v>
      </c>
    </row>
    <row r="98">
      <c r="A98" s="157" t="s">
        <v>573</v>
      </c>
      <c r="B98" s="157"/>
      <c r="C98" s="157"/>
      <c r="D98" s="157"/>
      <c r="E98" s="157"/>
      <c r="F98" s="157"/>
      <c r="G98" s="157"/>
      <c r="H98" s="157"/>
      <c r="I98" s="160" t="s">
        <v>641</v>
      </c>
      <c r="J98" s="160" t="s">
        <v>641</v>
      </c>
      <c r="K98" s="157"/>
      <c r="L98" s="157"/>
      <c r="M98" s="157"/>
      <c r="N98" s="157"/>
      <c r="O98" s="157"/>
      <c r="P98" s="157"/>
      <c r="Q98" s="158">
        <v>0.06145147008</v>
      </c>
      <c r="R98" s="158">
        <v>0.06145147008</v>
      </c>
      <c r="S98" s="51">
        <v>0.0</v>
      </c>
      <c r="T98" s="160" t="s">
        <v>104</v>
      </c>
      <c r="U98" s="160" t="s">
        <v>104</v>
      </c>
      <c r="V98" s="46" t="b">
        <v>1</v>
      </c>
      <c r="W98" s="46">
        <v>0.99</v>
      </c>
      <c r="X98" s="45">
        <f t="shared" si="1"/>
        <v>0.06083695538</v>
      </c>
      <c r="Y98" s="46">
        <v>0.0</v>
      </c>
      <c r="Z98" s="46" t="b">
        <v>1</v>
      </c>
      <c r="AA98" s="46" t="b">
        <v>1</v>
      </c>
    </row>
    <row r="99">
      <c r="A99" s="157" t="s">
        <v>555</v>
      </c>
      <c r="B99" s="157"/>
      <c r="C99" s="157"/>
      <c r="D99" s="157"/>
      <c r="E99" s="157"/>
      <c r="F99" s="157"/>
      <c r="G99" s="157"/>
      <c r="H99" s="157"/>
      <c r="I99" s="160" t="s">
        <v>641</v>
      </c>
      <c r="J99" s="160" t="s">
        <v>641</v>
      </c>
      <c r="K99" s="157"/>
      <c r="L99" s="157"/>
      <c r="M99" s="157"/>
      <c r="N99" s="157"/>
      <c r="O99" s="157"/>
      <c r="P99" s="157"/>
      <c r="Q99" s="158">
        <v>0.22276157900000002</v>
      </c>
      <c r="R99" s="158">
        <v>0.22276157900000002</v>
      </c>
      <c r="S99" s="51">
        <v>0.0</v>
      </c>
      <c r="T99" s="160" t="s">
        <v>104</v>
      </c>
      <c r="U99" s="160" t="s">
        <v>104</v>
      </c>
      <c r="V99" s="46" t="b">
        <v>1</v>
      </c>
      <c r="W99" s="46">
        <v>0.99</v>
      </c>
      <c r="X99" s="45">
        <f t="shared" si="1"/>
        <v>0.2205339632</v>
      </c>
      <c r="Y99" s="46">
        <v>0.0</v>
      </c>
      <c r="Z99" s="46" t="b">
        <v>1</v>
      </c>
      <c r="AA99" s="46" t="b">
        <v>1</v>
      </c>
    </row>
    <row r="100">
      <c r="A100" s="157" t="s">
        <v>556</v>
      </c>
      <c r="B100" s="157"/>
      <c r="C100" s="157"/>
      <c r="D100" s="157"/>
      <c r="E100" s="157"/>
      <c r="F100" s="157"/>
      <c r="G100" s="157"/>
      <c r="H100" s="157"/>
      <c r="I100" s="160" t="s">
        <v>641</v>
      </c>
      <c r="J100" s="160" t="s">
        <v>641</v>
      </c>
      <c r="K100" s="157"/>
      <c r="L100" s="157"/>
      <c r="M100" s="157"/>
      <c r="N100" s="157"/>
      <c r="O100" s="157"/>
      <c r="P100" s="157"/>
      <c r="Q100" s="158">
        <v>1.616997888</v>
      </c>
      <c r="R100" s="158">
        <v>1.616997888</v>
      </c>
      <c r="S100" s="51">
        <v>0.0</v>
      </c>
      <c r="T100" s="160" t="s">
        <v>104</v>
      </c>
      <c r="U100" s="160" t="s">
        <v>104</v>
      </c>
      <c r="V100" s="46" t="b">
        <v>1</v>
      </c>
      <c r="W100" s="46">
        <v>0.99</v>
      </c>
      <c r="X100" s="45">
        <f t="shared" si="1"/>
        <v>1.600827909</v>
      </c>
      <c r="Y100" s="46">
        <v>0.0</v>
      </c>
      <c r="Z100" s="46" t="b">
        <v>1</v>
      </c>
      <c r="AA100" s="46" t="b">
        <v>1</v>
      </c>
    </row>
    <row r="101">
      <c r="A101" s="157" t="s">
        <v>557</v>
      </c>
      <c r="B101" s="157"/>
      <c r="C101" s="157"/>
      <c r="D101" s="157"/>
      <c r="E101" s="157"/>
      <c r="F101" s="157"/>
      <c r="G101" s="157"/>
      <c r="H101" s="157"/>
      <c r="I101" s="160" t="s">
        <v>641</v>
      </c>
      <c r="J101" s="160" t="s">
        <v>641</v>
      </c>
      <c r="K101" s="157"/>
      <c r="L101" s="157"/>
      <c r="M101" s="157"/>
      <c r="N101" s="157"/>
      <c r="O101" s="157"/>
      <c r="P101" s="157"/>
      <c r="Q101" s="158">
        <v>1.749743424</v>
      </c>
      <c r="R101" s="158">
        <v>1.749743424</v>
      </c>
      <c r="S101" s="51">
        <v>0.0</v>
      </c>
      <c r="T101" s="160" t="s">
        <v>104</v>
      </c>
      <c r="U101" s="160" t="s">
        <v>104</v>
      </c>
      <c r="V101" s="46" t="b">
        <v>1</v>
      </c>
      <c r="W101" s="46">
        <v>0.99</v>
      </c>
      <c r="X101" s="45">
        <f t="shared" si="1"/>
        <v>1.73224599</v>
      </c>
      <c r="Y101" s="46">
        <v>0.0</v>
      </c>
      <c r="Z101" s="46" t="b">
        <v>1</v>
      </c>
      <c r="AA101" s="46" t="b">
        <v>1</v>
      </c>
    </row>
    <row r="102">
      <c r="A102" s="157" t="s">
        <v>572</v>
      </c>
      <c r="B102" s="157"/>
      <c r="C102" s="157"/>
      <c r="D102" s="157"/>
      <c r="E102" s="157"/>
      <c r="F102" s="157"/>
      <c r="G102" s="157"/>
      <c r="H102" s="157"/>
      <c r="I102" s="160" t="s">
        <v>641</v>
      </c>
      <c r="J102" s="160" t="s">
        <v>641</v>
      </c>
      <c r="K102" s="157"/>
      <c r="L102" s="157"/>
      <c r="M102" s="157"/>
      <c r="N102" s="157"/>
      <c r="O102" s="157"/>
      <c r="P102" s="157"/>
      <c r="Q102" s="158">
        <v>0.0</v>
      </c>
      <c r="R102" s="158">
        <v>0.0</v>
      </c>
      <c r="S102" s="51">
        <v>0.0</v>
      </c>
      <c r="T102" s="160" t="s">
        <v>104</v>
      </c>
      <c r="U102" s="160" t="s">
        <v>104</v>
      </c>
      <c r="V102" s="46" t="b">
        <v>1</v>
      </c>
      <c r="W102" s="46">
        <v>0.99</v>
      </c>
      <c r="X102" s="45">
        <f t="shared" si="1"/>
        <v>0</v>
      </c>
      <c r="Y102" s="46">
        <v>0.0</v>
      </c>
      <c r="Z102" s="46" t="b">
        <v>1</v>
      </c>
      <c r="AA102" s="46" t="b">
        <v>1</v>
      </c>
    </row>
    <row r="103">
      <c r="A103" s="157" t="s">
        <v>569</v>
      </c>
      <c r="B103" s="157"/>
      <c r="C103" s="157"/>
      <c r="D103" s="157"/>
      <c r="E103" s="157"/>
      <c r="F103" s="157"/>
      <c r="G103" s="157"/>
      <c r="H103" s="157"/>
      <c r="I103" s="160" t="s">
        <v>641</v>
      </c>
      <c r="J103" s="160" t="s">
        <v>641</v>
      </c>
      <c r="K103" s="157"/>
      <c r="L103" s="157"/>
      <c r="M103" s="157"/>
      <c r="N103" s="157"/>
      <c r="O103" s="157"/>
      <c r="P103" s="157"/>
      <c r="Q103" s="158">
        <v>0.01536286752</v>
      </c>
      <c r="R103" s="158">
        <v>0.01536286752</v>
      </c>
      <c r="S103" s="51">
        <v>0.0</v>
      </c>
      <c r="T103" s="160" t="s">
        <v>104</v>
      </c>
      <c r="U103" s="160" t="s">
        <v>104</v>
      </c>
      <c r="V103" s="46" t="b">
        <v>1</v>
      </c>
      <c r="W103" s="46">
        <v>0.99</v>
      </c>
      <c r="X103" s="45">
        <f t="shared" si="1"/>
        <v>0.01520923884</v>
      </c>
      <c r="Y103" s="46">
        <v>0.0</v>
      </c>
      <c r="Z103" s="46" t="b">
        <v>1</v>
      </c>
      <c r="AA103" s="46" t="b">
        <v>1</v>
      </c>
    </row>
    <row r="104">
      <c r="A104" s="157" t="s">
        <v>582</v>
      </c>
      <c r="B104" s="157"/>
      <c r="C104" s="157"/>
      <c r="D104" s="157"/>
      <c r="E104" s="157"/>
      <c r="F104" s="157"/>
      <c r="G104" s="157"/>
      <c r="H104" s="157"/>
      <c r="I104" s="160" t="s">
        <v>641</v>
      </c>
      <c r="J104" s="160" t="s">
        <v>641</v>
      </c>
      <c r="K104" s="157"/>
      <c r="L104" s="157"/>
      <c r="M104" s="157"/>
      <c r="N104" s="157"/>
      <c r="O104" s="157"/>
      <c r="P104" s="157"/>
      <c r="Q104" s="158">
        <v>0.01536286752</v>
      </c>
      <c r="R104" s="158">
        <v>0.01536286752</v>
      </c>
      <c r="S104" s="51">
        <v>0.0</v>
      </c>
      <c r="T104" s="160" t="s">
        <v>104</v>
      </c>
      <c r="U104" s="160" t="s">
        <v>104</v>
      </c>
      <c r="V104" s="46" t="b">
        <v>1</v>
      </c>
      <c r="W104" s="46">
        <v>0.99</v>
      </c>
      <c r="X104" s="45">
        <f t="shared" si="1"/>
        <v>0.01520923884</v>
      </c>
      <c r="Y104" s="46">
        <v>0.0</v>
      </c>
      <c r="Z104" s="46" t="b">
        <v>1</v>
      </c>
      <c r="AA104" s="46" t="b">
        <v>1</v>
      </c>
    </row>
    <row r="105">
      <c r="A105" s="157" t="s">
        <v>583</v>
      </c>
      <c r="B105" s="157"/>
      <c r="C105" s="157"/>
      <c r="D105" s="157"/>
      <c r="E105" s="157"/>
      <c r="F105" s="157"/>
      <c r="G105" s="157"/>
      <c r="H105" s="157"/>
      <c r="I105" s="160" t="s">
        <v>641</v>
      </c>
      <c r="J105" s="160" t="s">
        <v>641</v>
      </c>
      <c r="K105" s="157"/>
      <c r="L105" s="157"/>
      <c r="M105" s="157"/>
      <c r="N105" s="157"/>
      <c r="O105" s="157"/>
      <c r="P105" s="157"/>
      <c r="Q105" s="158">
        <v>0.01536286752</v>
      </c>
      <c r="R105" s="158">
        <v>0.01536286752</v>
      </c>
      <c r="S105" s="51">
        <v>0.0</v>
      </c>
      <c r="T105" s="160" t="s">
        <v>104</v>
      </c>
      <c r="U105" s="160" t="s">
        <v>104</v>
      </c>
      <c r="V105" s="46" t="b">
        <v>1</v>
      </c>
      <c r="W105" s="46">
        <v>0.99</v>
      </c>
      <c r="X105" s="45">
        <f t="shared" si="1"/>
        <v>0.01520923884</v>
      </c>
      <c r="Y105" s="46">
        <v>0.0</v>
      </c>
      <c r="Z105" s="46" t="b">
        <v>1</v>
      </c>
      <c r="AA105" s="46" t="b">
        <v>1</v>
      </c>
    </row>
    <row r="106">
      <c r="A106" s="157" t="s">
        <v>559</v>
      </c>
      <c r="B106" s="157"/>
      <c r="C106" s="157"/>
      <c r="D106" s="157"/>
      <c r="E106" s="157"/>
      <c r="F106" s="157"/>
      <c r="G106" s="157"/>
      <c r="H106" s="157"/>
      <c r="I106" s="160" t="s">
        <v>641</v>
      </c>
      <c r="J106" s="160" t="s">
        <v>641</v>
      </c>
      <c r="K106" s="157"/>
      <c r="L106" s="157"/>
      <c r="M106" s="157"/>
      <c r="N106" s="157"/>
      <c r="O106" s="157"/>
      <c r="P106" s="157"/>
      <c r="Q106" s="158">
        <v>1.411485134</v>
      </c>
      <c r="R106" s="158">
        <v>1.411485134</v>
      </c>
      <c r="S106" s="51">
        <v>0.0</v>
      </c>
      <c r="T106" s="160" t="s">
        <v>104</v>
      </c>
      <c r="U106" s="160" t="s">
        <v>104</v>
      </c>
      <c r="V106" s="46" t="b">
        <v>1</v>
      </c>
      <c r="W106" s="46">
        <v>0.99</v>
      </c>
      <c r="X106" s="45">
        <f t="shared" si="1"/>
        <v>1.397370283</v>
      </c>
      <c r="Y106" s="46">
        <v>0.0</v>
      </c>
      <c r="Z106" s="46" t="b">
        <v>1</v>
      </c>
      <c r="AA106" s="46" t="b">
        <v>1</v>
      </c>
    </row>
    <row r="107">
      <c r="A107" s="157" t="s">
        <v>580</v>
      </c>
      <c r="B107" s="157"/>
      <c r="C107" s="157"/>
      <c r="D107" s="157"/>
      <c r="E107" s="157"/>
      <c r="F107" s="157"/>
      <c r="G107" s="157"/>
      <c r="H107" s="157"/>
      <c r="I107" s="160" t="s">
        <v>641</v>
      </c>
      <c r="J107" s="160" t="s">
        <v>641</v>
      </c>
      <c r="K107" s="157"/>
      <c r="L107" s="157"/>
      <c r="M107" s="157"/>
      <c r="N107" s="157"/>
      <c r="O107" s="157"/>
      <c r="P107" s="157"/>
      <c r="Q107" s="158">
        <v>0.06145147008</v>
      </c>
      <c r="R107" s="158">
        <v>0.06145147008</v>
      </c>
      <c r="S107" s="51">
        <v>0.0</v>
      </c>
      <c r="T107" s="160" t="s">
        <v>104</v>
      </c>
      <c r="U107" s="160" t="s">
        <v>104</v>
      </c>
      <c r="V107" s="46" t="b">
        <v>1</v>
      </c>
      <c r="W107" s="46">
        <v>0.99</v>
      </c>
      <c r="X107" s="45">
        <f t="shared" si="1"/>
        <v>0.06083695538</v>
      </c>
      <c r="Y107" s="46">
        <v>0.0</v>
      </c>
      <c r="Z107" s="46" t="b">
        <v>1</v>
      </c>
      <c r="AA107" s="46" t="b">
        <v>1</v>
      </c>
    </row>
    <row r="108">
      <c r="A108" s="157" t="s">
        <v>571</v>
      </c>
      <c r="B108" s="157"/>
      <c r="C108" s="157"/>
      <c r="D108" s="157"/>
      <c r="E108" s="157"/>
      <c r="F108" s="157"/>
      <c r="G108" s="157"/>
      <c r="H108" s="157"/>
      <c r="I108" s="160" t="s">
        <v>641</v>
      </c>
      <c r="J108" s="160" t="s">
        <v>641</v>
      </c>
      <c r="K108" s="157"/>
      <c r="L108" s="157"/>
      <c r="M108" s="157"/>
      <c r="N108" s="157"/>
      <c r="O108" s="157"/>
      <c r="P108" s="157"/>
      <c r="Q108" s="158">
        <v>0.0384071688</v>
      </c>
      <c r="R108" s="158">
        <v>0.0384071688</v>
      </c>
      <c r="S108" s="51">
        <v>0.0</v>
      </c>
      <c r="T108" s="160" t="s">
        <v>104</v>
      </c>
      <c r="U108" s="160" t="s">
        <v>104</v>
      </c>
      <c r="V108" s="46" t="b">
        <v>1</v>
      </c>
      <c r="W108" s="46">
        <v>0.99</v>
      </c>
      <c r="X108" s="45">
        <f t="shared" si="1"/>
        <v>0.03802309711</v>
      </c>
      <c r="Y108" s="46">
        <v>0.0</v>
      </c>
      <c r="Z108" s="46" t="b">
        <v>1</v>
      </c>
      <c r="AA108" s="46" t="b">
        <v>1</v>
      </c>
    </row>
    <row r="109">
      <c r="A109" s="157" t="s">
        <v>575</v>
      </c>
      <c r="B109" s="157"/>
      <c r="C109" s="157"/>
      <c r="D109" s="157"/>
      <c r="E109" s="157"/>
      <c r="F109" s="157"/>
      <c r="G109" s="157"/>
      <c r="H109" s="157"/>
      <c r="I109" s="160" t="s">
        <v>641</v>
      </c>
      <c r="J109" s="160" t="s">
        <v>641</v>
      </c>
      <c r="K109" s="157"/>
      <c r="L109" s="157"/>
      <c r="M109" s="157"/>
      <c r="N109" s="157"/>
      <c r="O109" s="157"/>
      <c r="P109" s="157"/>
      <c r="Q109" s="158">
        <v>0.02304430128</v>
      </c>
      <c r="R109" s="158">
        <v>0.02304430128</v>
      </c>
      <c r="S109" s="51">
        <v>0.0</v>
      </c>
      <c r="T109" s="160" t="s">
        <v>104</v>
      </c>
      <c r="U109" s="160" t="s">
        <v>104</v>
      </c>
      <c r="V109" s="46" t="b">
        <v>1</v>
      </c>
      <c r="W109" s="46">
        <v>0.99</v>
      </c>
      <c r="X109" s="45">
        <f t="shared" si="1"/>
        <v>0.02281385827</v>
      </c>
      <c r="Y109" s="46">
        <v>0.0</v>
      </c>
      <c r="Z109" s="46" t="b">
        <v>1</v>
      </c>
      <c r="AA109" s="46" t="b">
        <v>1</v>
      </c>
    </row>
    <row r="110">
      <c r="A110" s="157" t="s">
        <v>584</v>
      </c>
      <c r="B110" s="157"/>
      <c r="C110" s="157"/>
      <c r="D110" s="157"/>
      <c r="E110" s="157"/>
      <c r="F110" s="157"/>
      <c r="G110" s="157"/>
      <c r="H110" s="157"/>
      <c r="I110" s="160" t="s">
        <v>641</v>
      </c>
      <c r="J110" s="160" t="s">
        <v>641</v>
      </c>
      <c r="K110" s="157"/>
      <c r="L110" s="157"/>
      <c r="M110" s="157"/>
      <c r="N110" s="157"/>
      <c r="O110" s="157"/>
      <c r="P110" s="157"/>
      <c r="Q110" s="158">
        <v>0.0</v>
      </c>
      <c r="R110" s="158">
        <v>0.0</v>
      </c>
      <c r="S110" s="51">
        <v>0.0</v>
      </c>
      <c r="T110" s="160" t="s">
        <v>104</v>
      </c>
      <c r="U110" s="160" t="s">
        <v>104</v>
      </c>
      <c r="V110" s="46" t="b">
        <v>1</v>
      </c>
      <c r="W110" s="46">
        <v>0.99</v>
      </c>
      <c r="X110" s="45">
        <f t="shared" si="1"/>
        <v>0</v>
      </c>
      <c r="Y110" s="46">
        <v>0.0</v>
      </c>
      <c r="Z110" s="46" t="b">
        <v>1</v>
      </c>
      <c r="AA110" s="46" t="b">
        <v>1</v>
      </c>
    </row>
    <row r="111">
      <c r="A111" s="157" t="s">
        <v>570</v>
      </c>
      <c r="B111" s="157"/>
      <c r="C111" s="157"/>
      <c r="D111" s="157"/>
      <c r="E111" s="157"/>
      <c r="F111" s="157"/>
      <c r="G111" s="157"/>
      <c r="H111" s="157"/>
      <c r="I111" s="160" t="s">
        <v>641</v>
      </c>
      <c r="J111" s="160" t="s">
        <v>641</v>
      </c>
      <c r="K111" s="157"/>
      <c r="L111" s="157"/>
      <c r="M111" s="157"/>
      <c r="N111" s="157"/>
      <c r="O111" s="157"/>
      <c r="P111" s="157"/>
      <c r="Q111" s="158">
        <v>0.482879232</v>
      </c>
      <c r="R111" s="158">
        <v>0.482879232</v>
      </c>
      <c r="S111" s="51">
        <v>0.0</v>
      </c>
      <c r="T111" s="160" t="s">
        <v>104</v>
      </c>
      <c r="U111" s="160" t="s">
        <v>104</v>
      </c>
      <c r="V111" s="46" t="b">
        <v>1</v>
      </c>
      <c r="W111" s="46">
        <v>0.99</v>
      </c>
      <c r="X111" s="45">
        <f t="shared" si="1"/>
        <v>0.4780504397</v>
      </c>
      <c r="Y111" s="46">
        <v>0.0</v>
      </c>
      <c r="Z111" s="46" t="b">
        <v>1</v>
      </c>
      <c r="AA111" s="46" t="b">
        <v>1</v>
      </c>
    </row>
    <row r="112">
      <c r="A112" s="157" t="s">
        <v>567</v>
      </c>
      <c r="B112" s="157"/>
      <c r="C112" s="157"/>
      <c r="D112" s="157"/>
      <c r="E112" s="157"/>
      <c r="F112" s="157"/>
      <c r="G112" s="157"/>
      <c r="H112" s="157"/>
      <c r="I112" s="160" t="s">
        <v>641</v>
      </c>
      <c r="J112" s="160" t="s">
        <v>641</v>
      </c>
      <c r="K112" s="157"/>
      <c r="L112" s="157"/>
      <c r="M112" s="157"/>
      <c r="N112" s="157"/>
      <c r="O112" s="157"/>
      <c r="P112" s="157"/>
      <c r="Q112" s="158">
        <v>0.14430873600000002</v>
      </c>
      <c r="R112" s="158">
        <v>0.14430873600000002</v>
      </c>
      <c r="S112" s="51">
        <v>0.0</v>
      </c>
      <c r="T112" s="160" t="s">
        <v>104</v>
      </c>
      <c r="U112" s="160" t="s">
        <v>104</v>
      </c>
      <c r="V112" s="46" t="b">
        <v>1</v>
      </c>
      <c r="W112" s="46">
        <v>0.99</v>
      </c>
      <c r="X112" s="45">
        <f t="shared" si="1"/>
        <v>0.1428656486</v>
      </c>
      <c r="Y112" s="46">
        <v>0.0</v>
      </c>
      <c r="Z112" s="46" t="b">
        <v>1</v>
      </c>
      <c r="AA112" s="46" t="b">
        <v>1</v>
      </c>
    </row>
    <row r="113">
      <c r="A113" s="157" t="s">
        <v>566</v>
      </c>
      <c r="B113" s="157"/>
      <c r="C113" s="157"/>
      <c r="D113" s="157"/>
      <c r="E113" s="157"/>
      <c r="F113" s="157"/>
      <c r="G113" s="157"/>
      <c r="H113" s="157"/>
      <c r="I113" s="160" t="s">
        <v>641</v>
      </c>
      <c r="J113" s="160" t="s">
        <v>641</v>
      </c>
      <c r="K113" s="157"/>
      <c r="L113" s="157"/>
      <c r="M113" s="157"/>
      <c r="N113" s="157"/>
      <c r="O113" s="157"/>
      <c r="P113" s="157"/>
      <c r="Q113" s="158">
        <v>0.0</v>
      </c>
      <c r="R113" s="158">
        <v>0.0</v>
      </c>
      <c r="S113" s="51">
        <v>0.0</v>
      </c>
      <c r="T113" s="160" t="s">
        <v>104</v>
      </c>
      <c r="U113" s="160" t="s">
        <v>104</v>
      </c>
      <c r="V113" s="46" t="b">
        <v>1</v>
      </c>
      <c r="W113" s="46">
        <v>0.99</v>
      </c>
      <c r="X113" s="45">
        <f t="shared" si="1"/>
        <v>0</v>
      </c>
      <c r="Y113" s="46">
        <v>0.0</v>
      </c>
      <c r="Z113" s="46" t="b">
        <v>1</v>
      </c>
      <c r="AA113" s="46" t="b">
        <v>1</v>
      </c>
    </row>
    <row r="114">
      <c r="A114" s="157" t="s">
        <v>558</v>
      </c>
      <c r="B114" s="157"/>
      <c r="C114" s="157"/>
      <c r="D114" s="157"/>
      <c r="E114" s="157"/>
      <c r="F114" s="157"/>
      <c r="G114" s="157"/>
      <c r="H114" s="157"/>
      <c r="I114" s="160" t="s">
        <v>641</v>
      </c>
      <c r="J114" s="160" t="s">
        <v>641</v>
      </c>
      <c r="K114" s="157"/>
      <c r="L114" s="157"/>
      <c r="M114" s="157"/>
      <c r="N114" s="157"/>
      <c r="O114" s="157"/>
      <c r="P114" s="157"/>
      <c r="Q114" s="158">
        <v>0.0384071688</v>
      </c>
      <c r="R114" s="158">
        <v>0.0384071688</v>
      </c>
      <c r="S114" s="51">
        <v>0.0</v>
      </c>
      <c r="T114" s="160" t="s">
        <v>104</v>
      </c>
      <c r="U114" s="160" t="s">
        <v>104</v>
      </c>
      <c r="V114" s="46" t="b">
        <v>1</v>
      </c>
      <c r="W114" s="46">
        <v>0.99</v>
      </c>
      <c r="X114" s="45">
        <f t="shared" si="1"/>
        <v>0.03802309711</v>
      </c>
      <c r="Y114" s="46">
        <v>0.0</v>
      </c>
      <c r="Z114" s="46" t="b">
        <v>1</v>
      </c>
      <c r="AA114" s="46" t="b">
        <v>1</v>
      </c>
    </row>
    <row r="115">
      <c r="A115" s="157" t="s">
        <v>576</v>
      </c>
      <c r="B115" s="157"/>
      <c r="C115" s="157"/>
      <c r="D115" s="157"/>
      <c r="E115" s="157"/>
      <c r="F115" s="157"/>
      <c r="G115" s="157"/>
      <c r="H115" s="157"/>
      <c r="I115" s="160" t="s">
        <v>641</v>
      </c>
      <c r="J115" s="160" t="s">
        <v>641</v>
      </c>
      <c r="K115" s="157"/>
      <c r="L115" s="157"/>
      <c r="M115" s="157"/>
      <c r="N115" s="157"/>
      <c r="O115" s="157"/>
      <c r="P115" s="157"/>
      <c r="Q115" s="158">
        <v>0.0</v>
      </c>
      <c r="R115" s="158">
        <v>0.0</v>
      </c>
      <c r="S115" s="51">
        <v>0.0</v>
      </c>
      <c r="T115" s="160" t="s">
        <v>104</v>
      </c>
      <c r="U115" s="160" t="s">
        <v>104</v>
      </c>
      <c r="V115" s="46" t="b">
        <v>1</v>
      </c>
      <c r="W115" s="46">
        <v>0.99</v>
      </c>
      <c r="X115" s="45">
        <f t="shared" si="1"/>
        <v>0</v>
      </c>
      <c r="Y115" s="46">
        <v>0.0</v>
      </c>
      <c r="Z115" s="46" t="b">
        <v>1</v>
      </c>
      <c r="AA115" s="46" t="b">
        <v>1</v>
      </c>
    </row>
    <row r="116">
      <c r="A116" s="157" t="s">
        <v>574</v>
      </c>
      <c r="B116" s="157"/>
      <c r="C116" s="157"/>
      <c r="D116" s="157"/>
      <c r="E116" s="157"/>
      <c r="F116" s="157"/>
      <c r="G116" s="157"/>
      <c r="H116" s="157"/>
      <c r="I116" s="160" t="s">
        <v>641</v>
      </c>
      <c r="J116" s="160" t="s">
        <v>641</v>
      </c>
      <c r="K116" s="157"/>
      <c r="L116" s="157"/>
      <c r="M116" s="157"/>
      <c r="N116" s="157"/>
      <c r="O116" s="157"/>
      <c r="P116" s="157"/>
      <c r="Q116" s="158">
        <v>0.0384071688</v>
      </c>
      <c r="R116" s="158">
        <v>0.0384071688</v>
      </c>
      <c r="S116" s="51">
        <v>0.0</v>
      </c>
      <c r="T116" s="160" t="s">
        <v>104</v>
      </c>
      <c r="U116" s="160" t="s">
        <v>104</v>
      </c>
      <c r="V116" s="46" t="b">
        <v>1</v>
      </c>
      <c r="W116" s="46">
        <v>0.99</v>
      </c>
      <c r="X116" s="45">
        <f t="shared" si="1"/>
        <v>0.03802309711</v>
      </c>
      <c r="Y116" s="46">
        <v>0.0</v>
      </c>
      <c r="Z116" s="46" t="b">
        <v>1</v>
      </c>
      <c r="AA116" s="46" t="b">
        <v>1</v>
      </c>
    </row>
    <row r="117">
      <c r="A117" s="157" t="s">
        <v>577</v>
      </c>
      <c r="B117" s="157"/>
      <c r="C117" s="157"/>
      <c r="D117" s="157"/>
      <c r="E117" s="157"/>
      <c r="F117" s="157"/>
      <c r="G117" s="157"/>
      <c r="H117" s="157"/>
      <c r="I117" s="160" t="s">
        <v>641</v>
      </c>
      <c r="J117" s="160" t="s">
        <v>641</v>
      </c>
      <c r="K117" s="157"/>
      <c r="L117" s="157"/>
      <c r="M117" s="157"/>
      <c r="N117" s="157"/>
      <c r="O117" s="157"/>
      <c r="P117" s="157"/>
      <c r="Q117" s="158">
        <v>0.0</v>
      </c>
      <c r="R117" s="158">
        <v>0.0</v>
      </c>
      <c r="S117" s="51">
        <v>0.0</v>
      </c>
      <c r="T117" s="160" t="s">
        <v>104</v>
      </c>
      <c r="U117" s="160" t="s">
        <v>104</v>
      </c>
      <c r="V117" s="46" t="b">
        <v>1</v>
      </c>
      <c r="W117" s="46">
        <v>0.99</v>
      </c>
      <c r="X117" s="45">
        <f t="shared" si="1"/>
        <v>0</v>
      </c>
      <c r="Y117" s="46">
        <v>0.0</v>
      </c>
      <c r="Z117" s="46" t="b">
        <v>1</v>
      </c>
      <c r="AA117" s="46" t="b">
        <v>1</v>
      </c>
    </row>
    <row r="118">
      <c r="A118" s="157" t="s">
        <v>561</v>
      </c>
      <c r="B118" s="157"/>
      <c r="C118" s="157"/>
      <c r="D118" s="157"/>
      <c r="E118" s="157"/>
      <c r="F118" s="157"/>
      <c r="G118" s="157"/>
      <c r="H118" s="157"/>
      <c r="I118" s="160" t="s">
        <v>641</v>
      </c>
      <c r="J118" s="160" t="s">
        <v>641</v>
      </c>
      <c r="K118" s="157"/>
      <c r="L118" s="157"/>
      <c r="M118" s="157"/>
      <c r="N118" s="157"/>
      <c r="O118" s="157"/>
      <c r="P118" s="157"/>
      <c r="Q118" s="158">
        <v>0.0780516</v>
      </c>
      <c r="R118" s="158">
        <v>0.0780516</v>
      </c>
      <c r="S118" s="51">
        <v>0.0</v>
      </c>
      <c r="T118" s="160" t="s">
        <v>104</v>
      </c>
      <c r="U118" s="160" t="s">
        <v>104</v>
      </c>
      <c r="V118" s="46" t="b">
        <v>1</v>
      </c>
      <c r="W118" s="46">
        <v>0.99</v>
      </c>
      <c r="X118" s="45">
        <f t="shared" si="1"/>
        <v>0.077271084</v>
      </c>
      <c r="Y118" s="46">
        <v>0.0</v>
      </c>
      <c r="Z118" s="46" t="b">
        <v>1</v>
      </c>
      <c r="AA118" s="46" t="b">
        <v>1</v>
      </c>
    </row>
    <row r="119">
      <c r="A119" s="157" t="s">
        <v>554</v>
      </c>
      <c r="B119" s="157"/>
      <c r="C119" s="157"/>
      <c r="D119" s="157"/>
      <c r="E119" s="157"/>
      <c r="F119" s="157"/>
      <c r="G119" s="157"/>
      <c r="H119" s="157"/>
      <c r="I119" s="160" t="s">
        <v>641</v>
      </c>
      <c r="J119" s="160" t="s">
        <v>641</v>
      </c>
      <c r="K119" s="157"/>
      <c r="L119" s="157"/>
      <c r="M119" s="157"/>
      <c r="N119" s="157"/>
      <c r="O119" s="157"/>
      <c r="P119" s="157"/>
      <c r="Q119" s="158">
        <v>0.4596718896</v>
      </c>
      <c r="R119" s="158">
        <v>0.4596718896</v>
      </c>
      <c r="S119" s="51">
        <v>0.0</v>
      </c>
      <c r="T119" s="160" t="s">
        <v>104</v>
      </c>
      <c r="U119" s="160" t="s">
        <v>104</v>
      </c>
      <c r="V119" s="46" t="b">
        <v>1</v>
      </c>
      <c r="W119" s="46">
        <v>0.99</v>
      </c>
      <c r="X119" s="45">
        <f t="shared" si="1"/>
        <v>0.4550751707</v>
      </c>
      <c r="Y119" s="46">
        <v>0.0</v>
      </c>
      <c r="Z119" s="46" t="b">
        <v>1</v>
      </c>
      <c r="AA119" s="46" t="b">
        <v>1</v>
      </c>
    </row>
    <row r="120">
      <c r="A120" s="157" t="s">
        <v>564</v>
      </c>
      <c r="B120" s="157"/>
      <c r="C120" s="157"/>
      <c r="D120" s="157"/>
      <c r="E120" s="157"/>
      <c r="F120" s="157"/>
      <c r="G120" s="157"/>
      <c r="H120" s="157"/>
      <c r="I120" s="160" t="s">
        <v>641</v>
      </c>
      <c r="J120" s="160" t="s">
        <v>641</v>
      </c>
      <c r="K120" s="157"/>
      <c r="L120" s="157"/>
      <c r="M120" s="157"/>
      <c r="N120" s="157"/>
      <c r="O120" s="157"/>
      <c r="P120" s="157"/>
      <c r="Q120" s="158">
        <v>0.0808498944</v>
      </c>
      <c r="R120" s="158">
        <v>0.0808498944</v>
      </c>
      <c r="S120" s="51">
        <v>0.0</v>
      </c>
      <c r="T120" s="160" t="s">
        <v>104</v>
      </c>
      <c r="U120" s="160" t="s">
        <v>104</v>
      </c>
      <c r="V120" s="46" t="b">
        <v>1</v>
      </c>
      <c r="W120" s="46">
        <v>0.99</v>
      </c>
      <c r="X120" s="45">
        <f t="shared" si="1"/>
        <v>0.08004139546</v>
      </c>
      <c r="Y120" s="46">
        <v>0.0</v>
      </c>
      <c r="Z120" s="46" t="b">
        <v>1</v>
      </c>
      <c r="AA120" s="46" t="b">
        <v>1</v>
      </c>
    </row>
    <row r="121">
      <c r="A121" s="157" t="s">
        <v>563</v>
      </c>
      <c r="B121" s="157"/>
      <c r="C121" s="157"/>
      <c r="D121" s="157"/>
      <c r="E121" s="157"/>
      <c r="F121" s="157"/>
      <c r="G121" s="157"/>
      <c r="H121" s="157"/>
      <c r="I121" s="160" t="s">
        <v>641</v>
      </c>
      <c r="J121" s="160" t="s">
        <v>641</v>
      </c>
      <c r="K121" s="157"/>
      <c r="L121" s="157"/>
      <c r="M121" s="157"/>
      <c r="N121" s="157"/>
      <c r="O121" s="157"/>
      <c r="P121" s="157"/>
      <c r="Q121" s="158">
        <v>1.389781008</v>
      </c>
      <c r="R121" s="158">
        <v>1.389781008</v>
      </c>
      <c r="S121" s="51">
        <v>0.0</v>
      </c>
      <c r="T121" s="160" t="s">
        <v>104</v>
      </c>
      <c r="U121" s="160" t="s">
        <v>104</v>
      </c>
      <c r="V121" s="46" t="b">
        <v>1</v>
      </c>
      <c r="W121" s="46">
        <v>0.99</v>
      </c>
      <c r="X121" s="45">
        <f t="shared" si="1"/>
        <v>1.375883198</v>
      </c>
      <c r="Y121" s="46">
        <v>0.0</v>
      </c>
      <c r="Z121" s="46" t="b">
        <v>1</v>
      </c>
      <c r="AA121" s="46" t="b">
        <v>1</v>
      </c>
    </row>
    <row r="122">
      <c r="A122" s="157" t="s">
        <v>563</v>
      </c>
      <c r="B122" s="158">
        <v>1.0</v>
      </c>
      <c r="C122" s="157" t="s">
        <v>642</v>
      </c>
      <c r="D122" s="157" t="s">
        <v>643</v>
      </c>
      <c r="E122" s="157" t="s">
        <v>644</v>
      </c>
      <c r="F122" s="157" t="s">
        <v>645</v>
      </c>
      <c r="G122" s="157" t="s">
        <v>646</v>
      </c>
      <c r="H122" s="157"/>
      <c r="I122" s="158">
        <v>-0.996528</v>
      </c>
      <c r="J122" s="158">
        <v>53.736715</v>
      </c>
      <c r="K122" s="157" t="s">
        <v>647</v>
      </c>
      <c r="L122" s="157" t="s">
        <v>648</v>
      </c>
      <c r="M122" s="158">
        <v>2019.0</v>
      </c>
      <c r="N122" s="157" t="s">
        <v>649</v>
      </c>
      <c r="O122" s="157" t="s">
        <v>650</v>
      </c>
      <c r="P122" s="161" t="b">
        <v>0</v>
      </c>
      <c r="Q122" s="158">
        <v>13.0</v>
      </c>
      <c r="R122" s="158">
        <v>12.3</v>
      </c>
      <c r="S122" s="158">
        <v>0.7</v>
      </c>
      <c r="T122" s="157" t="s">
        <v>117</v>
      </c>
      <c r="U122" s="46" t="s">
        <v>651</v>
      </c>
      <c r="V122" s="46" t="b">
        <v>1</v>
      </c>
      <c r="W122" s="46">
        <v>0.95</v>
      </c>
      <c r="X122" s="46">
        <v>11.685</v>
      </c>
      <c r="Y122" s="46">
        <v>11.976626392369</v>
      </c>
      <c r="Z122" s="46" t="b">
        <v>1</v>
      </c>
      <c r="AA122" s="46" t="b">
        <v>1</v>
      </c>
    </row>
    <row r="123">
      <c r="A123" s="157" t="s">
        <v>556</v>
      </c>
      <c r="B123" s="158">
        <v>5.0</v>
      </c>
      <c r="C123" s="157" t="s">
        <v>652</v>
      </c>
      <c r="D123" s="157" t="s">
        <v>653</v>
      </c>
      <c r="E123" s="157" t="s">
        <v>654</v>
      </c>
      <c r="F123" s="157" t="s">
        <v>655</v>
      </c>
      <c r="G123" s="157" t="s">
        <v>656</v>
      </c>
      <c r="H123" s="157"/>
      <c r="I123" s="158">
        <v>0.05072</v>
      </c>
      <c r="J123" s="158">
        <v>47.51752</v>
      </c>
      <c r="K123" s="157" t="s">
        <v>657</v>
      </c>
      <c r="L123" s="157" t="s">
        <v>648</v>
      </c>
      <c r="M123" s="158">
        <v>2022.0</v>
      </c>
      <c r="N123" s="157" t="s">
        <v>116</v>
      </c>
      <c r="O123" s="157" t="s">
        <v>658</v>
      </c>
      <c r="P123" s="161" t="b">
        <v>1</v>
      </c>
      <c r="Q123" s="158">
        <v>6.050999808</v>
      </c>
      <c r="R123" s="158">
        <v>3.328049894</v>
      </c>
      <c r="S123" s="158">
        <v>2.722949914</v>
      </c>
      <c r="T123" s="157" t="s">
        <v>116</v>
      </c>
      <c r="U123" s="46" t="s">
        <v>651</v>
      </c>
      <c r="V123" s="46" t="b">
        <v>1</v>
      </c>
      <c r="W123" s="46">
        <v>0.95</v>
      </c>
      <c r="X123" s="46">
        <v>3.16164739929999</v>
      </c>
      <c r="Y123" s="46">
        <v>72.0357459126066</v>
      </c>
      <c r="Z123" s="46" t="b">
        <v>0</v>
      </c>
      <c r="AA123" s="46" t="b">
        <v>1</v>
      </c>
    </row>
    <row r="124">
      <c r="A124" s="157" t="s">
        <v>555</v>
      </c>
      <c r="B124" s="158">
        <v>6.0</v>
      </c>
      <c r="C124" s="157" t="s">
        <v>659</v>
      </c>
      <c r="D124" s="157" t="s">
        <v>660</v>
      </c>
      <c r="E124" s="157" t="s">
        <v>661</v>
      </c>
      <c r="F124" s="162" t="s">
        <v>662</v>
      </c>
      <c r="G124" s="157" t="s">
        <v>663</v>
      </c>
      <c r="H124" s="157"/>
      <c r="I124" s="158">
        <v>25.74986</v>
      </c>
      <c r="J124" s="158">
        <v>62.59286</v>
      </c>
      <c r="K124" s="157" t="s">
        <v>664</v>
      </c>
      <c r="L124" s="157" t="s">
        <v>648</v>
      </c>
      <c r="M124" s="158">
        <v>2022.0</v>
      </c>
      <c r="N124" s="157" t="s">
        <v>123</v>
      </c>
      <c r="O124" s="157" t="s">
        <v>665</v>
      </c>
      <c r="P124" s="161" t="b">
        <v>1</v>
      </c>
      <c r="Q124" s="158">
        <v>3.1</v>
      </c>
      <c r="R124" s="158">
        <v>3.1</v>
      </c>
      <c r="S124" s="158">
        <v>0.0</v>
      </c>
      <c r="T124" s="157" t="s">
        <v>123</v>
      </c>
      <c r="U124" s="46" t="s">
        <v>651</v>
      </c>
      <c r="V124" s="46" t="b">
        <v>1</v>
      </c>
      <c r="W124" s="46">
        <v>0.95</v>
      </c>
      <c r="X124" s="46">
        <v>2.945</v>
      </c>
      <c r="Y124" s="46" t="s">
        <v>640</v>
      </c>
      <c r="Z124" s="46" t="b">
        <v>0</v>
      </c>
      <c r="AA124" s="46" t="b">
        <v>0</v>
      </c>
    </row>
    <row r="125">
      <c r="A125" s="157" t="s">
        <v>566</v>
      </c>
      <c r="B125" s="158">
        <v>1.0</v>
      </c>
      <c r="C125" s="157" t="s">
        <v>642</v>
      </c>
      <c r="D125" s="157" t="s">
        <v>643</v>
      </c>
      <c r="E125" s="157" t="s">
        <v>644</v>
      </c>
      <c r="F125" s="157" t="s">
        <v>666</v>
      </c>
      <c r="G125" s="157" t="s">
        <v>667</v>
      </c>
      <c r="H125" s="157"/>
      <c r="I125" s="158">
        <v>19.31666756</v>
      </c>
      <c r="J125" s="158">
        <v>51.26666641</v>
      </c>
      <c r="K125" s="157" t="s">
        <v>668</v>
      </c>
      <c r="L125" s="157" t="s">
        <v>648</v>
      </c>
      <c r="M125" s="158">
        <v>2022.0</v>
      </c>
      <c r="N125" s="157" t="s">
        <v>649</v>
      </c>
      <c r="O125" s="157" t="s">
        <v>650</v>
      </c>
      <c r="P125" s="161" t="b">
        <v>0</v>
      </c>
      <c r="Q125" s="158">
        <v>35.1</v>
      </c>
      <c r="R125" s="158">
        <v>2.545676538</v>
      </c>
      <c r="S125" s="158">
        <v>32.55432346</v>
      </c>
      <c r="T125" s="157" t="s">
        <v>594</v>
      </c>
      <c r="U125" s="46" t="s">
        <v>651</v>
      </c>
      <c r="V125" s="46" t="b">
        <v>1</v>
      </c>
      <c r="W125" s="46">
        <v>0.95</v>
      </c>
      <c r="X125" s="46">
        <v>2.41839271109999</v>
      </c>
      <c r="Y125" s="46" t="s">
        <v>640</v>
      </c>
      <c r="Z125" s="46" t="b">
        <v>0</v>
      </c>
      <c r="AA125" s="46" t="b">
        <v>0</v>
      </c>
    </row>
    <row r="126">
      <c r="A126" s="157" t="s">
        <v>555</v>
      </c>
      <c r="B126" s="158">
        <v>6.0</v>
      </c>
      <c r="C126" s="157" t="s">
        <v>659</v>
      </c>
      <c r="D126" s="157" t="s">
        <v>660</v>
      </c>
      <c r="E126" s="157" t="s">
        <v>661</v>
      </c>
      <c r="F126" s="162" t="s">
        <v>669</v>
      </c>
      <c r="G126" s="157" t="s">
        <v>670</v>
      </c>
      <c r="H126" s="157"/>
      <c r="I126" s="158">
        <v>28.85848</v>
      </c>
      <c r="J126" s="158">
        <v>61.24909</v>
      </c>
      <c r="K126" s="157" t="s">
        <v>671</v>
      </c>
      <c r="L126" s="157" t="s">
        <v>648</v>
      </c>
      <c r="M126" s="158">
        <v>2022.0</v>
      </c>
      <c r="N126" s="157" t="s">
        <v>123</v>
      </c>
      <c r="O126" s="157" t="s">
        <v>665</v>
      </c>
      <c r="P126" s="161" t="b">
        <v>1</v>
      </c>
      <c r="Q126" s="158">
        <v>2.36</v>
      </c>
      <c r="R126" s="158">
        <v>2.178</v>
      </c>
      <c r="S126" s="158">
        <v>0.182</v>
      </c>
      <c r="T126" s="157" t="s">
        <v>123</v>
      </c>
      <c r="U126" s="46" t="s">
        <v>651</v>
      </c>
      <c r="V126" s="46" t="b">
        <v>1</v>
      </c>
      <c r="W126" s="46">
        <v>0.95</v>
      </c>
      <c r="X126" s="46">
        <v>2.06909999999999</v>
      </c>
      <c r="Y126" s="46" t="s">
        <v>640</v>
      </c>
      <c r="Z126" s="46" t="b">
        <v>0</v>
      </c>
      <c r="AA126" s="46" t="b">
        <v>0</v>
      </c>
    </row>
    <row r="127">
      <c r="A127" s="157" t="s">
        <v>554</v>
      </c>
      <c r="B127" s="158">
        <v>6.0</v>
      </c>
      <c r="C127" s="157" t="s">
        <v>659</v>
      </c>
      <c r="D127" s="157" t="s">
        <v>660</v>
      </c>
      <c r="E127" s="157" t="s">
        <v>661</v>
      </c>
      <c r="F127" s="157" t="s">
        <v>672</v>
      </c>
      <c r="G127" s="157" t="s">
        <v>673</v>
      </c>
      <c r="H127" s="157"/>
      <c r="I127" s="158">
        <v>17.33031</v>
      </c>
      <c r="J127" s="158">
        <v>62.47519</v>
      </c>
      <c r="K127" s="157" t="s">
        <v>674</v>
      </c>
      <c r="L127" s="157" t="s">
        <v>648</v>
      </c>
      <c r="M127" s="158">
        <v>2022.0</v>
      </c>
      <c r="N127" s="157" t="s">
        <v>123</v>
      </c>
      <c r="O127" s="157" t="s">
        <v>665</v>
      </c>
      <c r="P127" s="161" t="b">
        <v>1</v>
      </c>
      <c r="Q127" s="158">
        <v>1.99</v>
      </c>
      <c r="R127" s="158">
        <v>1.911</v>
      </c>
      <c r="S127" s="158">
        <v>0.079</v>
      </c>
      <c r="T127" s="157" t="s">
        <v>123</v>
      </c>
      <c r="U127" s="46" t="s">
        <v>651</v>
      </c>
      <c r="V127" s="46" t="b">
        <v>1</v>
      </c>
      <c r="W127" s="46">
        <v>0.95</v>
      </c>
      <c r="X127" s="46">
        <v>1.81545</v>
      </c>
      <c r="Y127" s="46" t="s">
        <v>640</v>
      </c>
      <c r="Z127" s="46" t="b">
        <v>0</v>
      </c>
      <c r="AA127" s="46" t="b">
        <v>0</v>
      </c>
    </row>
    <row r="128">
      <c r="A128" s="157" t="s">
        <v>554</v>
      </c>
      <c r="B128" s="158">
        <v>6.0</v>
      </c>
      <c r="C128" s="157" t="s">
        <v>659</v>
      </c>
      <c r="D128" s="157" t="s">
        <v>660</v>
      </c>
      <c r="E128" s="157" t="s">
        <v>661</v>
      </c>
      <c r="F128" s="157" t="s">
        <v>675</v>
      </c>
      <c r="G128" s="157" t="s">
        <v>676</v>
      </c>
      <c r="H128" s="157"/>
      <c r="I128" s="158">
        <v>16.55049</v>
      </c>
      <c r="J128" s="158">
        <v>57.09152</v>
      </c>
      <c r="K128" s="157" t="s">
        <v>677</v>
      </c>
      <c r="L128" s="157" t="s">
        <v>648</v>
      </c>
      <c r="M128" s="158">
        <v>2022.0</v>
      </c>
      <c r="N128" s="157" t="s">
        <v>123</v>
      </c>
      <c r="O128" s="157" t="s">
        <v>665</v>
      </c>
      <c r="P128" s="161" t="b">
        <v>1</v>
      </c>
      <c r="Q128" s="158">
        <v>1.84</v>
      </c>
      <c r="R128" s="158">
        <v>1.83195</v>
      </c>
      <c r="S128" s="158">
        <v>0.00805</v>
      </c>
      <c r="T128" s="157" t="s">
        <v>123</v>
      </c>
      <c r="U128" s="46" t="s">
        <v>651</v>
      </c>
      <c r="V128" s="46" t="b">
        <v>1</v>
      </c>
      <c r="W128" s="46">
        <v>0.95</v>
      </c>
      <c r="X128" s="46">
        <v>1.7403525</v>
      </c>
      <c r="Y128" s="46" t="s">
        <v>640</v>
      </c>
      <c r="Z128" s="46" t="b">
        <v>0</v>
      </c>
      <c r="AA128" s="46" t="b">
        <v>0</v>
      </c>
    </row>
    <row r="129">
      <c r="A129" s="157" t="s">
        <v>554</v>
      </c>
      <c r="B129" s="158">
        <v>6.0</v>
      </c>
      <c r="C129" s="157" t="s">
        <v>659</v>
      </c>
      <c r="D129" s="157" t="s">
        <v>660</v>
      </c>
      <c r="E129" s="157" t="s">
        <v>661</v>
      </c>
      <c r="F129" s="157" t="s">
        <v>678</v>
      </c>
      <c r="G129" s="157" t="s">
        <v>679</v>
      </c>
      <c r="H129" s="157"/>
      <c r="I129" s="158">
        <v>12.17193</v>
      </c>
      <c r="J129" s="158">
        <v>57.22166</v>
      </c>
      <c r="K129" s="157" t="s">
        <v>680</v>
      </c>
      <c r="L129" s="157" t="s">
        <v>648</v>
      </c>
      <c r="M129" s="158">
        <v>2022.0</v>
      </c>
      <c r="N129" s="157" t="s">
        <v>123</v>
      </c>
      <c r="O129" s="157" t="s">
        <v>665</v>
      </c>
      <c r="P129" s="161" t="b">
        <v>1</v>
      </c>
      <c r="Q129" s="158">
        <v>1.82</v>
      </c>
      <c r="R129" s="158">
        <v>1.8098</v>
      </c>
      <c r="S129" s="158">
        <v>0.0102</v>
      </c>
      <c r="T129" s="157" t="s">
        <v>123</v>
      </c>
      <c r="U129" s="46" t="s">
        <v>651</v>
      </c>
      <c r="V129" s="46" t="b">
        <v>1</v>
      </c>
      <c r="W129" s="46">
        <v>0.95</v>
      </c>
      <c r="X129" s="46">
        <v>1.71931</v>
      </c>
      <c r="Y129" s="46" t="s">
        <v>640</v>
      </c>
      <c r="Z129" s="46" t="b">
        <v>0</v>
      </c>
      <c r="AA129" s="46" t="b">
        <v>0</v>
      </c>
    </row>
    <row r="130">
      <c r="A130" s="157" t="s">
        <v>565</v>
      </c>
      <c r="B130" s="158">
        <v>6.0</v>
      </c>
      <c r="C130" s="157" t="s">
        <v>659</v>
      </c>
      <c r="D130" s="157" t="s">
        <v>660</v>
      </c>
      <c r="E130" s="157" t="s">
        <v>661</v>
      </c>
      <c r="F130" s="157" t="s">
        <v>681</v>
      </c>
      <c r="G130" s="157" t="s">
        <v>682</v>
      </c>
      <c r="H130" s="157"/>
      <c r="I130" s="158">
        <v>14.37481449</v>
      </c>
      <c r="J130" s="158">
        <v>50.46118536</v>
      </c>
      <c r="K130" s="157" t="s">
        <v>683</v>
      </c>
      <c r="L130" s="157" t="s">
        <v>648</v>
      </c>
      <c r="M130" s="158">
        <v>2020.0</v>
      </c>
      <c r="N130" s="157" t="s">
        <v>123</v>
      </c>
      <c r="O130" s="157" t="s">
        <v>665</v>
      </c>
      <c r="P130" s="161" t="b">
        <v>1</v>
      </c>
      <c r="Q130" s="158">
        <v>1.861933465</v>
      </c>
      <c r="R130" s="158">
        <v>1.48736573</v>
      </c>
      <c r="S130" s="158">
        <v>0.374567735</v>
      </c>
      <c r="T130" s="157" t="s">
        <v>123</v>
      </c>
      <c r="U130" s="46" t="s">
        <v>651</v>
      </c>
      <c r="V130" s="46" t="b">
        <v>1</v>
      </c>
      <c r="W130" s="46">
        <v>0.95</v>
      </c>
      <c r="X130" s="46">
        <v>1.4129974435</v>
      </c>
      <c r="Y130" s="46">
        <v>76.6041644729405</v>
      </c>
      <c r="Z130" s="46" t="b">
        <v>0</v>
      </c>
      <c r="AA130" s="46" t="b">
        <v>1</v>
      </c>
    </row>
    <row r="131">
      <c r="A131" s="157" t="s">
        <v>555</v>
      </c>
      <c r="B131" s="158">
        <v>6.0</v>
      </c>
      <c r="C131" s="157" t="s">
        <v>659</v>
      </c>
      <c r="D131" s="157" t="s">
        <v>660</v>
      </c>
      <c r="E131" s="157" t="s">
        <v>661</v>
      </c>
      <c r="F131" s="162" t="s">
        <v>684</v>
      </c>
      <c r="G131" s="157" t="s">
        <v>685</v>
      </c>
      <c r="H131" s="157"/>
      <c r="I131" s="158">
        <v>24.51977</v>
      </c>
      <c r="J131" s="158">
        <v>65.75583</v>
      </c>
      <c r="K131" s="157" t="s">
        <v>686</v>
      </c>
      <c r="L131" s="157" t="s">
        <v>648</v>
      </c>
      <c r="M131" s="158">
        <v>2022.0</v>
      </c>
      <c r="N131" s="157" t="s">
        <v>123</v>
      </c>
      <c r="O131" s="157" t="s">
        <v>665</v>
      </c>
      <c r="P131" s="161" t="b">
        <v>1</v>
      </c>
      <c r="Q131" s="158">
        <v>1.52</v>
      </c>
      <c r="R131" s="158">
        <v>1.4518</v>
      </c>
      <c r="S131" s="158">
        <v>0.0682</v>
      </c>
      <c r="T131" s="157" t="s">
        <v>123</v>
      </c>
      <c r="U131" s="46" t="s">
        <v>651</v>
      </c>
      <c r="V131" s="46" t="b">
        <v>1</v>
      </c>
      <c r="W131" s="46">
        <v>0.95</v>
      </c>
      <c r="X131" s="46">
        <v>1.37920999999999</v>
      </c>
      <c r="Y131" s="46" t="s">
        <v>640</v>
      </c>
      <c r="Z131" s="46" t="b">
        <v>0</v>
      </c>
      <c r="AA131" s="46" t="b">
        <v>0</v>
      </c>
    </row>
    <row r="132">
      <c r="A132" s="157" t="s">
        <v>554</v>
      </c>
      <c r="B132" s="158">
        <v>6.0</v>
      </c>
      <c r="C132" s="157" t="s">
        <v>659</v>
      </c>
      <c r="D132" s="157" t="s">
        <v>660</v>
      </c>
      <c r="E132" s="157" t="s">
        <v>661</v>
      </c>
      <c r="F132" s="157" t="s">
        <v>687</v>
      </c>
      <c r="G132" s="157" t="s">
        <v>688</v>
      </c>
      <c r="H132" s="157"/>
      <c r="I132" s="158">
        <v>13.12153</v>
      </c>
      <c r="J132" s="158">
        <v>59.33827</v>
      </c>
      <c r="K132" s="157" t="s">
        <v>689</v>
      </c>
      <c r="L132" s="157" t="s">
        <v>648</v>
      </c>
      <c r="M132" s="158">
        <v>2022.0</v>
      </c>
      <c r="N132" s="157" t="s">
        <v>123</v>
      </c>
      <c r="O132" s="157" t="s">
        <v>665</v>
      </c>
      <c r="P132" s="161" t="b">
        <v>1</v>
      </c>
      <c r="Q132" s="158">
        <v>1.45</v>
      </c>
      <c r="R132" s="158">
        <v>1.4382</v>
      </c>
      <c r="S132" s="158">
        <v>0.0118</v>
      </c>
      <c r="T132" s="157" t="s">
        <v>123</v>
      </c>
      <c r="U132" s="46" t="s">
        <v>651</v>
      </c>
      <c r="V132" s="46" t="b">
        <v>1</v>
      </c>
      <c r="W132" s="46">
        <v>0.95</v>
      </c>
      <c r="X132" s="46">
        <v>1.36628999999999</v>
      </c>
      <c r="Y132" s="46" t="s">
        <v>640</v>
      </c>
      <c r="Z132" s="46" t="b">
        <v>0</v>
      </c>
      <c r="AA132" s="46" t="b">
        <v>0</v>
      </c>
    </row>
    <row r="133">
      <c r="A133" s="157" t="s">
        <v>554</v>
      </c>
      <c r="B133" s="158">
        <v>6.0</v>
      </c>
      <c r="C133" s="157" t="s">
        <v>659</v>
      </c>
      <c r="D133" s="157" t="s">
        <v>660</v>
      </c>
      <c r="E133" s="157" t="s">
        <v>661</v>
      </c>
      <c r="F133" s="157" t="s">
        <v>690</v>
      </c>
      <c r="G133" s="157" t="s">
        <v>691</v>
      </c>
      <c r="H133" s="157"/>
      <c r="I133" s="158">
        <v>19.16166</v>
      </c>
      <c r="J133" s="158">
        <v>63.3235</v>
      </c>
      <c r="K133" s="157" t="s">
        <v>692</v>
      </c>
      <c r="L133" s="157" t="s">
        <v>648</v>
      </c>
      <c r="M133" s="158">
        <v>2022.0</v>
      </c>
      <c r="N133" s="157" t="s">
        <v>123</v>
      </c>
      <c r="O133" s="157" t="s">
        <v>665</v>
      </c>
      <c r="P133" s="161" t="b">
        <v>1</v>
      </c>
      <c r="Q133" s="158">
        <v>1.49</v>
      </c>
      <c r="R133" s="158">
        <v>1.4184</v>
      </c>
      <c r="S133" s="158">
        <v>0.0716</v>
      </c>
      <c r="T133" s="157" t="s">
        <v>123</v>
      </c>
      <c r="U133" s="46" t="s">
        <v>651</v>
      </c>
      <c r="V133" s="46" t="b">
        <v>1</v>
      </c>
      <c r="W133" s="46">
        <v>0.95</v>
      </c>
      <c r="X133" s="46">
        <v>1.34748</v>
      </c>
      <c r="Y133" s="46" t="s">
        <v>640</v>
      </c>
      <c r="Z133" s="46" t="b">
        <v>0</v>
      </c>
      <c r="AA133" s="46" t="b">
        <v>0</v>
      </c>
    </row>
    <row r="134">
      <c r="A134" s="157" t="s">
        <v>558</v>
      </c>
      <c r="B134" s="158">
        <v>6.0</v>
      </c>
      <c r="C134" s="157" t="s">
        <v>659</v>
      </c>
      <c r="D134" s="157" t="s">
        <v>660</v>
      </c>
      <c r="E134" s="157" t="s">
        <v>661</v>
      </c>
      <c r="F134" s="157" t="s">
        <v>693</v>
      </c>
      <c r="G134" s="157" t="s">
        <v>694</v>
      </c>
      <c r="H134" s="157"/>
      <c r="I134" s="158">
        <v>-8.80816</v>
      </c>
      <c r="J134" s="158">
        <v>38.493319</v>
      </c>
      <c r="K134" s="157" t="s">
        <v>695</v>
      </c>
      <c r="L134" s="157" t="s">
        <v>648</v>
      </c>
      <c r="M134" s="158">
        <v>2022.0</v>
      </c>
      <c r="N134" s="157" t="s">
        <v>123</v>
      </c>
      <c r="O134" s="157" t="s">
        <v>665</v>
      </c>
      <c r="P134" s="161" t="b">
        <v>1</v>
      </c>
      <c r="Q134" s="158">
        <v>1.47</v>
      </c>
      <c r="R134" s="158">
        <v>1.377084795</v>
      </c>
      <c r="S134" s="158">
        <v>0.092915205</v>
      </c>
      <c r="T134" s="157" t="s">
        <v>123</v>
      </c>
      <c r="U134" s="46" t="s">
        <v>651</v>
      </c>
      <c r="V134" s="46" t="b">
        <v>1</v>
      </c>
      <c r="W134" s="46">
        <v>0.95</v>
      </c>
      <c r="X134" s="46">
        <v>1.30823055525</v>
      </c>
      <c r="Y134" s="46" t="s">
        <v>640</v>
      </c>
      <c r="Z134" s="46" t="b">
        <v>0</v>
      </c>
      <c r="AA134" s="46" t="b">
        <v>0</v>
      </c>
    </row>
    <row r="135">
      <c r="A135" s="157" t="s">
        <v>555</v>
      </c>
      <c r="B135" s="158">
        <v>6.0</v>
      </c>
      <c r="C135" s="157" t="s">
        <v>659</v>
      </c>
      <c r="D135" s="157" t="s">
        <v>660</v>
      </c>
      <c r="E135" s="157" t="s">
        <v>661</v>
      </c>
      <c r="F135" s="162" t="s">
        <v>696</v>
      </c>
      <c r="G135" s="157" t="s">
        <v>697</v>
      </c>
      <c r="H135" s="157"/>
      <c r="I135" s="158">
        <v>30.22521</v>
      </c>
      <c r="J135" s="158">
        <v>62.92722</v>
      </c>
      <c r="K135" s="157" t="s">
        <v>698</v>
      </c>
      <c r="L135" s="157" t="s">
        <v>648</v>
      </c>
      <c r="M135" s="158">
        <v>2022.0</v>
      </c>
      <c r="N135" s="157" t="s">
        <v>123</v>
      </c>
      <c r="O135" s="157" t="s">
        <v>665</v>
      </c>
      <c r="P135" s="161" t="b">
        <v>1</v>
      </c>
      <c r="Q135" s="158">
        <v>1.37</v>
      </c>
      <c r="R135" s="158">
        <v>1.3118</v>
      </c>
      <c r="S135" s="158">
        <v>0.0582</v>
      </c>
      <c r="T135" s="157" t="s">
        <v>123</v>
      </c>
      <c r="U135" s="46" t="s">
        <v>651</v>
      </c>
      <c r="V135" s="46" t="b">
        <v>1</v>
      </c>
      <c r="W135" s="46">
        <v>0.95</v>
      </c>
      <c r="X135" s="46">
        <v>1.24621</v>
      </c>
      <c r="Y135" s="46" t="s">
        <v>640</v>
      </c>
      <c r="Z135" s="46" t="b">
        <v>0</v>
      </c>
      <c r="AA135" s="46" t="b">
        <v>0</v>
      </c>
    </row>
    <row r="136">
      <c r="A136" s="157" t="s">
        <v>555</v>
      </c>
      <c r="B136" s="158">
        <v>6.0</v>
      </c>
      <c r="C136" s="157" t="s">
        <v>659</v>
      </c>
      <c r="D136" s="157" t="s">
        <v>660</v>
      </c>
      <c r="E136" s="157" t="s">
        <v>661</v>
      </c>
      <c r="F136" s="162" t="s">
        <v>699</v>
      </c>
      <c r="G136" s="157" t="s">
        <v>700</v>
      </c>
      <c r="H136" s="157"/>
      <c r="I136" s="158">
        <v>28.45687</v>
      </c>
      <c r="J136" s="158">
        <v>61.13091</v>
      </c>
      <c r="K136" s="157" t="s">
        <v>701</v>
      </c>
      <c r="L136" s="157" t="s">
        <v>648</v>
      </c>
      <c r="M136" s="158">
        <v>2022.0</v>
      </c>
      <c r="N136" s="157" t="s">
        <v>123</v>
      </c>
      <c r="O136" s="157" t="s">
        <v>665</v>
      </c>
      <c r="P136" s="161" t="b">
        <v>1</v>
      </c>
      <c r="Q136" s="158">
        <v>1.34</v>
      </c>
      <c r="R136" s="158">
        <v>1.3115</v>
      </c>
      <c r="S136" s="158">
        <v>0.0285</v>
      </c>
      <c r="T136" s="157" t="s">
        <v>123</v>
      </c>
      <c r="U136" s="46" t="s">
        <v>651</v>
      </c>
      <c r="V136" s="46" t="b">
        <v>1</v>
      </c>
      <c r="W136" s="46">
        <v>0.95</v>
      </c>
      <c r="X136" s="46">
        <v>1.245925</v>
      </c>
      <c r="Y136" s="46" t="s">
        <v>640</v>
      </c>
      <c r="Z136" s="46" t="b">
        <v>0</v>
      </c>
      <c r="AA136" s="46" t="b">
        <v>0</v>
      </c>
    </row>
    <row r="137">
      <c r="A137" s="157" t="s">
        <v>555</v>
      </c>
      <c r="B137" s="158">
        <v>6.0</v>
      </c>
      <c r="C137" s="157" t="s">
        <v>659</v>
      </c>
      <c r="D137" s="157" t="s">
        <v>660</v>
      </c>
      <c r="E137" s="157" t="s">
        <v>661</v>
      </c>
      <c r="F137" s="162" t="s">
        <v>702</v>
      </c>
      <c r="G137" s="157" t="s">
        <v>703</v>
      </c>
      <c r="H137" s="157"/>
      <c r="I137" s="158">
        <v>21.46621</v>
      </c>
      <c r="J137" s="158">
        <v>61.1107</v>
      </c>
      <c r="K137" s="157" t="s">
        <v>704</v>
      </c>
      <c r="L137" s="157" t="s">
        <v>648</v>
      </c>
      <c r="M137" s="158">
        <v>2022.0</v>
      </c>
      <c r="N137" s="157" t="s">
        <v>123</v>
      </c>
      <c r="O137" s="157" t="s">
        <v>665</v>
      </c>
      <c r="P137" s="161" t="b">
        <v>1</v>
      </c>
      <c r="Q137" s="158">
        <v>1.37</v>
      </c>
      <c r="R137" s="158">
        <v>1.3045</v>
      </c>
      <c r="S137" s="158">
        <v>0.0655</v>
      </c>
      <c r="T137" s="157" t="s">
        <v>123</v>
      </c>
      <c r="U137" s="46" t="s">
        <v>651</v>
      </c>
      <c r="V137" s="46" t="b">
        <v>1</v>
      </c>
      <c r="W137" s="46">
        <v>0.95</v>
      </c>
      <c r="X137" s="46">
        <v>1.239275</v>
      </c>
      <c r="Y137" s="46" t="s">
        <v>640</v>
      </c>
      <c r="Z137" s="46" t="b">
        <v>0</v>
      </c>
      <c r="AA137" s="46" t="b">
        <v>0</v>
      </c>
    </row>
    <row r="138">
      <c r="A138" s="157" t="s">
        <v>561</v>
      </c>
      <c r="B138" s="158">
        <v>6.0</v>
      </c>
      <c r="C138" s="157" t="s">
        <v>659</v>
      </c>
      <c r="D138" s="157" t="s">
        <v>660</v>
      </c>
      <c r="E138" s="157" t="s">
        <v>661</v>
      </c>
      <c r="F138" s="157" t="s">
        <v>705</v>
      </c>
      <c r="G138" s="157" t="s">
        <v>706</v>
      </c>
      <c r="H138" s="157"/>
      <c r="I138" s="158">
        <v>-6.72114</v>
      </c>
      <c r="J138" s="158">
        <v>43.54111</v>
      </c>
      <c r="K138" s="157" t="s">
        <v>707</v>
      </c>
      <c r="L138" s="157" t="s">
        <v>648</v>
      </c>
      <c r="M138" s="158">
        <v>2022.0</v>
      </c>
      <c r="N138" s="157" t="s">
        <v>123</v>
      </c>
      <c r="O138" s="157" t="s">
        <v>665</v>
      </c>
      <c r="P138" s="161" t="b">
        <v>1</v>
      </c>
      <c r="Q138" s="158">
        <v>1.37</v>
      </c>
      <c r="R138" s="158">
        <v>1.283405558</v>
      </c>
      <c r="S138" s="158">
        <v>0.086594442</v>
      </c>
      <c r="T138" s="157" t="s">
        <v>123</v>
      </c>
      <c r="U138" s="46" t="s">
        <v>651</v>
      </c>
      <c r="V138" s="46" t="b">
        <v>1</v>
      </c>
      <c r="W138" s="46">
        <v>0.95</v>
      </c>
      <c r="X138" s="46">
        <v>1.2192352801</v>
      </c>
      <c r="Y138" s="46" t="s">
        <v>640</v>
      </c>
      <c r="Z138" s="46" t="b">
        <v>0</v>
      </c>
      <c r="AA138" s="46" t="b">
        <v>0</v>
      </c>
    </row>
    <row r="139">
      <c r="A139" s="157" t="s">
        <v>554</v>
      </c>
      <c r="B139" s="158">
        <v>6.0</v>
      </c>
      <c r="C139" s="157" t="s">
        <v>659</v>
      </c>
      <c r="D139" s="157" t="s">
        <v>660</v>
      </c>
      <c r="E139" s="157" t="s">
        <v>661</v>
      </c>
      <c r="F139" s="157" t="s">
        <v>708</v>
      </c>
      <c r="G139" s="157" t="s">
        <v>709</v>
      </c>
      <c r="H139" s="157"/>
      <c r="I139" s="158">
        <v>17.38983</v>
      </c>
      <c r="J139" s="158">
        <v>60.64365</v>
      </c>
      <c r="K139" s="157" t="s">
        <v>710</v>
      </c>
      <c r="L139" s="157" t="s">
        <v>648</v>
      </c>
      <c r="M139" s="158">
        <v>2022.0</v>
      </c>
      <c r="N139" s="157" t="s">
        <v>123</v>
      </c>
      <c r="O139" s="157" t="s">
        <v>665</v>
      </c>
      <c r="P139" s="161" t="b">
        <v>1</v>
      </c>
      <c r="Q139" s="158">
        <v>1.28</v>
      </c>
      <c r="R139" s="158">
        <v>1.279858</v>
      </c>
      <c r="S139" s="158">
        <v>1.42E-4</v>
      </c>
      <c r="T139" s="157" t="s">
        <v>123</v>
      </c>
      <c r="U139" s="46" t="s">
        <v>651</v>
      </c>
      <c r="V139" s="46" t="b">
        <v>1</v>
      </c>
      <c r="W139" s="46">
        <v>0.95</v>
      </c>
      <c r="X139" s="46">
        <v>1.21586509999999</v>
      </c>
      <c r="Y139" s="46" t="s">
        <v>640</v>
      </c>
      <c r="Z139" s="46" t="b">
        <v>0</v>
      </c>
      <c r="AA139" s="46" t="b">
        <v>0</v>
      </c>
    </row>
    <row r="140">
      <c r="A140" s="157" t="s">
        <v>554</v>
      </c>
      <c r="B140" s="158">
        <v>6.0</v>
      </c>
      <c r="C140" s="157" t="s">
        <v>659</v>
      </c>
      <c r="D140" s="157" t="s">
        <v>660</v>
      </c>
      <c r="E140" s="157" t="s">
        <v>661</v>
      </c>
      <c r="F140" s="157" t="s">
        <v>711</v>
      </c>
      <c r="G140" s="157" t="s">
        <v>712</v>
      </c>
      <c r="H140" s="157"/>
      <c r="I140" s="158">
        <v>17.26746</v>
      </c>
      <c r="J140" s="158">
        <v>60.6811</v>
      </c>
      <c r="K140" s="157" t="s">
        <v>713</v>
      </c>
      <c r="L140" s="157" t="s">
        <v>648</v>
      </c>
      <c r="M140" s="158">
        <v>2022.0</v>
      </c>
      <c r="N140" s="157" t="s">
        <v>123</v>
      </c>
      <c r="O140" s="157" t="s">
        <v>665</v>
      </c>
      <c r="P140" s="161" t="b">
        <v>1</v>
      </c>
      <c r="Q140" s="158">
        <v>1.2</v>
      </c>
      <c r="R140" s="158">
        <v>1.1838</v>
      </c>
      <c r="S140" s="158">
        <v>0.0162</v>
      </c>
      <c r="T140" s="157" t="s">
        <v>123</v>
      </c>
      <c r="U140" s="46" t="s">
        <v>651</v>
      </c>
      <c r="V140" s="46" t="b">
        <v>1</v>
      </c>
      <c r="W140" s="46">
        <v>0.95</v>
      </c>
      <c r="X140" s="46">
        <v>1.12460999999999</v>
      </c>
      <c r="Y140" s="46" t="s">
        <v>640</v>
      </c>
      <c r="Z140" s="46" t="b">
        <v>0</v>
      </c>
      <c r="AA140" s="46" t="b">
        <v>0</v>
      </c>
    </row>
    <row r="141">
      <c r="A141" s="157" t="s">
        <v>554</v>
      </c>
      <c r="B141" s="158">
        <v>6.0</v>
      </c>
      <c r="C141" s="157" t="s">
        <v>659</v>
      </c>
      <c r="D141" s="157" t="s">
        <v>660</v>
      </c>
      <c r="E141" s="157" t="s">
        <v>661</v>
      </c>
      <c r="F141" s="157" t="s">
        <v>714</v>
      </c>
      <c r="G141" s="157" t="s">
        <v>715</v>
      </c>
      <c r="H141" s="157"/>
      <c r="I141" s="158">
        <v>21.44037</v>
      </c>
      <c r="J141" s="158">
        <v>65.31475</v>
      </c>
      <c r="K141" s="157" t="s">
        <v>716</v>
      </c>
      <c r="L141" s="157" t="s">
        <v>648</v>
      </c>
      <c r="M141" s="158">
        <v>2022.0</v>
      </c>
      <c r="N141" s="157" t="s">
        <v>123</v>
      </c>
      <c r="O141" s="157" t="s">
        <v>665</v>
      </c>
      <c r="P141" s="161" t="b">
        <v>1</v>
      </c>
      <c r="Q141" s="158">
        <v>1.19</v>
      </c>
      <c r="R141" s="158">
        <v>1.1797</v>
      </c>
      <c r="S141" s="158">
        <v>0.0103</v>
      </c>
      <c r="T141" s="157" t="s">
        <v>123</v>
      </c>
      <c r="U141" s="46" t="s">
        <v>651</v>
      </c>
      <c r="V141" s="46" t="b">
        <v>1</v>
      </c>
      <c r="W141" s="46">
        <v>0.95</v>
      </c>
      <c r="X141" s="46">
        <v>1.120715</v>
      </c>
      <c r="Y141" s="46" t="s">
        <v>640</v>
      </c>
      <c r="Z141" s="46" t="b">
        <v>0</v>
      </c>
      <c r="AA141" s="46" t="b">
        <v>0</v>
      </c>
    </row>
    <row r="142">
      <c r="A142" s="157" t="s">
        <v>555</v>
      </c>
      <c r="B142" s="158">
        <v>6.0</v>
      </c>
      <c r="C142" s="157" t="s">
        <v>659</v>
      </c>
      <c r="D142" s="157" t="s">
        <v>717</v>
      </c>
      <c r="E142" s="157" t="s">
        <v>718</v>
      </c>
      <c r="F142" s="162" t="s">
        <v>719</v>
      </c>
      <c r="G142" s="157" t="s">
        <v>720</v>
      </c>
      <c r="H142" s="157"/>
      <c r="I142" s="158">
        <v>25.43152</v>
      </c>
      <c r="J142" s="158">
        <v>65.00547</v>
      </c>
      <c r="K142" s="157" t="s">
        <v>721</v>
      </c>
      <c r="L142" s="157" t="s">
        <v>648</v>
      </c>
      <c r="M142" s="158">
        <v>2022.0</v>
      </c>
      <c r="N142" s="157" t="s">
        <v>123</v>
      </c>
      <c r="O142" s="157" t="s">
        <v>722</v>
      </c>
      <c r="P142" s="161" t="b">
        <v>1</v>
      </c>
      <c r="Q142" s="158">
        <v>1.19</v>
      </c>
      <c r="R142" s="158">
        <v>1.173</v>
      </c>
      <c r="S142" s="158">
        <v>0.017</v>
      </c>
      <c r="T142" s="157" t="s">
        <v>123</v>
      </c>
      <c r="U142" s="46" t="s">
        <v>651</v>
      </c>
      <c r="V142" s="46" t="b">
        <v>1</v>
      </c>
      <c r="W142" s="46">
        <v>0.95</v>
      </c>
      <c r="X142" s="46">
        <v>1.11435</v>
      </c>
      <c r="Y142" s="46" t="s">
        <v>640</v>
      </c>
      <c r="Z142" s="46" t="b">
        <v>0</v>
      </c>
      <c r="AA142" s="46" t="b">
        <v>0</v>
      </c>
    </row>
    <row r="143">
      <c r="A143" s="157" t="s">
        <v>554</v>
      </c>
      <c r="B143" s="158">
        <v>6.0</v>
      </c>
      <c r="C143" s="157" t="s">
        <v>659</v>
      </c>
      <c r="D143" s="157" t="s">
        <v>660</v>
      </c>
      <c r="E143" s="157" t="s">
        <v>661</v>
      </c>
      <c r="F143" s="157" t="s">
        <v>723</v>
      </c>
      <c r="G143" s="157" t="s">
        <v>724</v>
      </c>
      <c r="H143" s="157"/>
      <c r="I143" s="158">
        <v>14.76467</v>
      </c>
      <c r="J143" s="158">
        <v>56.16098</v>
      </c>
      <c r="K143" s="157" t="s">
        <v>725</v>
      </c>
      <c r="L143" s="157" t="s">
        <v>648</v>
      </c>
      <c r="M143" s="158">
        <v>2022.0</v>
      </c>
      <c r="N143" s="157" t="s">
        <v>123</v>
      </c>
      <c r="O143" s="157" t="s">
        <v>665</v>
      </c>
      <c r="P143" s="161" t="b">
        <v>1</v>
      </c>
      <c r="Q143" s="158">
        <v>1.14</v>
      </c>
      <c r="R143" s="158">
        <v>1.1274</v>
      </c>
      <c r="S143" s="158">
        <v>0.0126</v>
      </c>
      <c r="T143" s="157" t="s">
        <v>123</v>
      </c>
      <c r="U143" s="46" t="s">
        <v>651</v>
      </c>
      <c r="V143" s="46" t="b">
        <v>1</v>
      </c>
      <c r="W143" s="46">
        <v>0.95</v>
      </c>
      <c r="X143" s="46">
        <v>1.07103</v>
      </c>
      <c r="Y143" s="46" t="s">
        <v>640</v>
      </c>
      <c r="Z143" s="46" t="b">
        <v>0</v>
      </c>
      <c r="AA143" s="46" t="b">
        <v>0</v>
      </c>
    </row>
    <row r="144">
      <c r="A144" s="157" t="s">
        <v>566</v>
      </c>
      <c r="B144" s="158">
        <v>1.0</v>
      </c>
      <c r="C144" s="157" t="s">
        <v>642</v>
      </c>
      <c r="D144" s="157" t="s">
        <v>643</v>
      </c>
      <c r="E144" s="157" t="s">
        <v>644</v>
      </c>
      <c r="F144" s="157" t="s">
        <v>726</v>
      </c>
      <c r="G144" s="157" t="s">
        <v>727</v>
      </c>
      <c r="H144" s="157"/>
      <c r="I144" s="158">
        <v>21.46666718</v>
      </c>
      <c r="J144" s="158">
        <v>51.65000153</v>
      </c>
      <c r="K144" s="157" t="s">
        <v>728</v>
      </c>
      <c r="L144" s="157" t="s">
        <v>648</v>
      </c>
      <c r="M144" s="158">
        <v>2022.0</v>
      </c>
      <c r="N144" s="157" t="s">
        <v>649</v>
      </c>
      <c r="O144" s="157" t="s">
        <v>650</v>
      </c>
      <c r="P144" s="161" t="b">
        <v>0</v>
      </c>
      <c r="Q144" s="158">
        <v>15.5</v>
      </c>
      <c r="R144" s="158">
        <v>1.124159155</v>
      </c>
      <c r="S144" s="158">
        <v>14.37584085</v>
      </c>
      <c r="T144" s="157" t="s">
        <v>594</v>
      </c>
      <c r="U144" s="46" t="s">
        <v>651</v>
      </c>
      <c r="V144" s="46" t="b">
        <v>1</v>
      </c>
      <c r="W144" s="46">
        <v>0.95</v>
      </c>
      <c r="X144" s="46">
        <v>1.06795119725</v>
      </c>
      <c r="Y144" s="46" t="s">
        <v>640</v>
      </c>
      <c r="Z144" s="46" t="b">
        <v>0</v>
      </c>
      <c r="AA144" s="46" t="b">
        <v>0</v>
      </c>
    </row>
    <row r="145">
      <c r="A145" s="157" t="s">
        <v>560</v>
      </c>
      <c r="B145" s="158">
        <v>6.0</v>
      </c>
      <c r="C145" s="157" t="s">
        <v>659</v>
      </c>
      <c r="D145" s="157" t="s">
        <v>660</v>
      </c>
      <c r="E145" s="157" t="s">
        <v>661</v>
      </c>
      <c r="F145" s="157" t="s">
        <v>729</v>
      </c>
      <c r="G145" s="157" t="s">
        <v>730</v>
      </c>
      <c r="H145" s="157"/>
      <c r="I145" s="158">
        <v>14.590389</v>
      </c>
      <c r="J145" s="158">
        <v>47.2175</v>
      </c>
      <c r="K145" s="157" t="s">
        <v>731</v>
      </c>
      <c r="L145" s="157" t="s">
        <v>648</v>
      </c>
      <c r="M145" s="158">
        <v>2022.0</v>
      </c>
      <c r="N145" s="157" t="s">
        <v>123</v>
      </c>
      <c r="O145" s="157" t="s">
        <v>665</v>
      </c>
      <c r="P145" s="161" t="b">
        <v>1</v>
      </c>
      <c r="Q145" s="158">
        <v>1.14</v>
      </c>
      <c r="R145" s="158">
        <v>1.067943311</v>
      </c>
      <c r="S145" s="158">
        <v>0.072056689</v>
      </c>
      <c r="T145" s="157" t="s">
        <v>123</v>
      </c>
      <c r="U145" s="46" t="s">
        <v>651</v>
      </c>
      <c r="V145" s="46" t="b">
        <v>1</v>
      </c>
      <c r="W145" s="46">
        <v>0.95</v>
      </c>
      <c r="X145" s="46">
        <v>1.01454614545</v>
      </c>
      <c r="Y145" s="46">
        <v>118.443084007478</v>
      </c>
      <c r="Z145" s="46" t="b">
        <v>0</v>
      </c>
      <c r="AA145" s="46" t="b">
        <v>0</v>
      </c>
    </row>
    <row r="146">
      <c r="A146" s="157" t="s">
        <v>555</v>
      </c>
      <c r="B146" s="158">
        <v>6.0</v>
      </c>
      <c r="C146" s="157" t="s">
        <v>659</v>
      </c>
      <c r="D146" s="157" t="s">
        <v>660</v>
      </c>
      <c r="E146" s="157" t="s">
        <v>661</v>
      </c>
      <c r="F146" s="162" t="s">
        <v>732</v>
      </c>
      <c r="G146" s="157" t="s">
        <v>733</v>
      </c>
      <c r="H146" s="157"/>
      <c r="I146" s="158">
        <v>26.66421</v>
      </c>
      <c r="J146" s="158">
        <v>60.91123</v>
      </c>
      <c r="K146" s="157" t="s">
        <v>734</v>
      </c>
      <c r="L146" s="157" t="s">
        <v>648</v>
      </c>
      <c r="M146" s="158">
        <v>2022.0</v>
      </c>
      <c r="N146" s="157" t="s">
        <v>123</v>
      </c>
      <c r="O146" s="157" t="s">
        <v>665</v>
      </c>
      <c r="P146" s="161" t="b">
        <v>1</v>
      </c>
      <c r="Q146" s="158">
        <v>1.13</v>
      </c>
      <c r="R146" s="158">
        <v>1.052</v>
      </c>
      <c r="S146" s="158">
        <v>0.078</v>
      </c>
      <c r="T146" s="157" t="s">
        <v>123</v>
      </c>
      <c r="U146" s="46" t="s">
        <v>651</v>
      </c>
      <c r="V146" s="46" t="b">
        <v>1</v>
      </c>
      <c r="W146" s="46">
        <v>0.95</v>
      </c>
      <c r="X146" s="46">
        <v>0.9994</v>
      </c>
      <c r="Y146" s="46" t="s">
        <v>640</v>
      </c>
      <c r="Z146" s="46" t="b">
        <v>0</v>
      </c>
      <c r="AA146" s="46" t="b">
        <v>0</v>
      </c>
    </row>
    <row r="147">
      <c r="A147" s="157" t="s">
        <v>562</v>
      </c>
      <c r="B147" s="158">
        <v>6.0</v>
      </c>
      <c r="C147" s="157" t="s">
        <v>659</v>
      </c>
      <c r="D147" s="157" t="s">
        <v>660</v>
      </c>
      <c r="E147" s="157" t="s">
        <v>661</v>
      </c>
      <c r="F147" s="157" t="s">
        <v>735</v>
      </c>
      <c r="G147" s="157" t="s">
        <v>736</v>
      </c>
      <c r="H147" s="157"/>
      <c r="I147" s="158">
        <v>5.5042443</v>
      </c>
      <c r="J147" s="158">
        <v>49.549896</v>
      </c>
      <c r="K147" s="157" t="s">
        <v>737</v>
      </c>
      <c r="L147" s="157" t="s">
        <v>648</v>
      </c>
      <c r="M147" s="158">
        <v>2022.0</v>
      </c>
      <c r="N147" s="157" t="s">
        <v>123</v>
      </c>
      <c r="O147" s="157" t="s">
        <v>665</v>
      </c>
      <c r="P147" s="161" t="b">
        <v>1</v>
      </c>
      <c r="Q147" s="158">
        <v>1.07</v>
      </c>
      <c r="R147" s="158">
        <v>1.002367844</v>
      </c>
      <c r="S147" s="158">
        <v>0.067632156</v>
      </c>
      <c r="T147" s="157" t="s">
        <v>123</v>
      </c>
      <c r="U147" s="46" t="s">
        <v>651</v>
      </c>
      <c r="V147" s="46" t="b">
        <v>1</v>
      </c>
      <c r="W147" s="46">
        <v>0.95</v>
      </c>
      <c r="X147" s="46">
        <v>0.952249451799999</v>
      </c>
      <c r="Y147" s="46">
        <v>104.320148334799</v>
      </c>
      <c r="Z147" s="46" t="b">
        <v>0</v>
      </c>
      <c r="AA147" s="46" t="b">
        <v>0</v>
      </c>
    </row>
    <row r="148">
      <c r="A148" s="157" t="s">
        <v>554</v>
      </c>
      <c r="B148" s="158">
        <v>1.0</v>
      </c>
      <c r="C148" s="157" t="s">
        <v>642</v>
      </c>
      <c r="D148" s="157" t="s">
        <v>643</v>
      </c>
      <c r="E148" s="157" t="s">
        <v>644</v>
      </c>
      <c r="F148" s="157" t="s">
        <v>738</v>
      </c>
      <c r="G148" s="157" t="s">
        <v>739</v>
      </c>
      <c r="H148" s="157"/>
      <c r="I148" s="158">
        <v>18.1033</v>
      </c>
      <c r="J148" s="158">
        <v>59.35339</v>
      </c>
      <c r="K148" s="157" t="s">
        <v>740</v>
      </c>
      <c r="L148" s="157" t="s">
        <v>648</v>
      </c>
      <c r="M148" s="158">
        <v>2022.0</v>
      </c>
      <c r="N148" s="157" t="s">
        <v>649</v>
      </c>
      <c r="O148" s="157" t="s">
        <v>650</v>
      </c>
      <c r="P148" s="161" t="b">
        <v>0</v>
      </c>
      <c r="Q148" s="158">
        <v>1.04</v>
      </c>
      <c r="R148" s="158">
        <v>1.0016</v>
      </c>
      <c r="S148" s="158">
        <v>0.0384</v>
      </c>
      <c r="T148" s="157" t="s">
        <v>117</v>
      </c>
      <c r="U148" s="46" t="s">
        <v>651</v>
      </c>
      <c r="V148" s="46" t="b">
        <v>1</v>
      </c>
      <c r="W148" s="46">
        <v>0.95</v>
      </c>
      <c r="X148" s="46">
        <v>0.95152</v>
      </c>
      <c r="Y148" s="46" t="s">
        <v>640</v>
      </c>
      <c r="Z148" s="46" t="b">
        <v>0</v>
      </c>
      <c r="AA148" s="46" t="b">
        <v>0</v>
      </c>
    </row>
    <row r="149">
      <c r="A149" s="157" t="s">
        <v>554</v>
      </c>
      <c r="B149" s="158">
        <v>6.0</v>
      </c>
      <c r="C149" s="157" t="s">
        <v>659</v>
      </c>
      <c r="D149" s="157" t="s">
        <v>660</v>
      </c>
      <c r="E149" s="157" t="s">
        <v>661</v>
      </c>
      <c r="F149" s="157" t="s">
        <v>741</v>
      </c>
      <c r="G149" s="157" t="s">
        <v>742</v>
      </c>
      <c r="H149" s="157"/>
      <c r="I149" s="158">
        <v>13.43828</v>
      </c>
      <c r="J149" s="158">
        <v>59.31854</v>
      </c>
      <c r="K149" s="157" t="s">
        <v>743</v>
      </c>
      <c r="L149" s="157" t="s">
        <v>648</v>
      </c>
      <c r="M149" s="158">
        <v>2022.0</v>
      </c>
      <c r="N149" s="157" t="s">
        <v>123</v>
      </c>
      <c r="O149" s="157" t="s">
        <v>665</v>
      </c>
      <c r="P149" s="161" t="b">
        <v>1</v>
      </c>
      <c r="Q149" s="158">
        <v>1.05</v>
      </c>
      <c r="R149" s="158">
        <v>0.9963</v>
      </c>
      <c r="S149" s="158">
        <v>0.0537</v>
      </c>
      <c r="T149" s="157" t="s">
        <v>123</v>
      </c>
      <c r="U149" s="46" t="s">
        <v>651</v>
      </c>
      <c r="V149" s="46" t="b">
        <v>1</v>
      </c>
      <c r="W149" s="46">
        <v>0.95</v>
      </c>
      <c r="X149" s="46">
        <v>0.946484999999999</v>
      </c>
      <c r="Y149" s="46" t="s">
        <v>640</v>
      </c>
      <c r="Z149" s="46" t="b">
        <v>0</v>
      </c>
      <c r="AA149" s="46" t="b">
        <v>0</v>
      </c>
    </row>
    <row r="150">
      <c r="A150" s="157" t="s">
        <v>558</v>
      </c>
      <c r="B150" s="158">
        <v>6.0</v>
      </c>
      <c r="C150" s="157" t="s">
        <v>659</v>
      </c>
      <c r="D150" s="157" t="s">
        <v>660</v>
      </c>
      <c r="E150" s="157" t="s">
        <v>661</v>
      </c>
      <c r="F150" s="157" t="s">
        <v>744</v>
      </c>
      <c r="G150" s="157" t="s">
        <v>745</v>
      </c>
      <c r="H150" s="157"/>
      <c r="I150" s="158">
        <v>-8.873595</v>
      </c>
      <c r="J150" s="158">
        <v>40.053571</v>
      </c>
      <c r="K150" s="157" t="s">
        <v>746</v>
      </c>
      <c r="L150" s="157" t="s">
        <v>648</v>
      </c>
      <c r="M150" s="158">
        <v>2022.0</v>
      </c>
      <c r="N150" s="157" t="s">
        <v>123</v>
      </c>
      <c r="O150" s="157" t="s">
        <v>665</v>
      </c>
      <c r="P150" s="161" t="b">
        <v>1</v>
      </c>
      <c r="Q150" s="158">
        <v>1.06</v>
      </c>
      <c r="R150" s="158">
        <v>0.99299992</v>
      </c>
      <c r="S150" s="158">
        <v>0.06700008</v>
      </c>
      <c r="T150" s="157" t="s">
        <v>123</v>
      </c>
      <c r="U150" s="46" t="s">
        <v>651</v>
      </c>
      <c r="V150" s="46" t="b">
        <v>1</v>
      </c>
      <c r="W150" s="46">
        <v>0.95</v>
      </c>
      <c r="X150" s="46">
        <v>0.943349924</v>
      </c>
      <c r="Y150" s="46" t="s">
        <v>640</v>
      </c>
      <c r="Z150" s="46" t="b">
        <v>0</v>
      </c>
      <c r="AA150" s="46" t="b">
        <v>0</v>
      </c>
    </row>
    <row r="151">
      <c r="A151" s="157" t="s">
        <v>555</v>
      </c>
      <c r="B151" s="158">
        <v>6.0</v>
      </c>
      <c r="C151" s="157" t="s">
        <v>659</v>
      </c>
      <c r="D151" s="157" t="s">
        <v>660</v>
      </c>
      <c r="E151" s="157" t="s">
        <v>661</v>
      </c>
      <c r="F151" s="162" t="s">
        <v>747</v>
      </c>
      <c r="G151" s="157" t="s">
        <v>748</v>
      </c>
      <c r="H151" s="157"/>
      <c r="I151" s="158">
        <v>28.24899</v>
      </c>
      <c r="J151" s="158">
        <v>61.06625</v>
      </c>
      <c r="K151" s="157" t="s">
        <v>701</v>
      </c>
      <c r="L151" s="157" t="s">
        <v>648</v>
      </c>
      <c r="M151" s="158">
        <v>2022.0</v>
      </c>
      <c r="N151" s="157" t="s">
        <v>123</v>
      </c>
      <c r="O151" s="157" t="s">
        <v>665</v>
      </c>
      <c r="P151" s="161" t="b">
        <v>1</v>
      </c>
      <c r="Q151" s="158">
        <v>1.06</v>
      </c>
      <c r="R151" s="158">
        <v>0.9832</v>
      </c>
      <c r="S151" s="158">
        <v>0.0768</v>
      </c>
      <c r="T151" s="157" t="s">
        <v>123</v>
      </c>
      <c r="U151" s="46" t="s">
        <v>651</v>
      </c>
      <c r="V151" s="46" t="b">
        <v>1</v>
      </c>
      <c r="W151" s="46">
        <v>0.95</v>
      </c>
      <c r="X151" s="46">
        <v>0.934039999999999</v>
      </c>
      <c r="Y151" s="46" t="s">
        <v>640</v>
      </c>
      <c r="Z151" s="46" t="b">
        <v>0</v>
      </c>
      <c r="AA151" s="46" t="b">
        <v>0</v>
      </c>
    </row>
    <row r="152">
      <c r="A152" s="157" t="s">
        <v>554</v>
      </c>
      <c r="B152" s="158">
        <v>6.0</v>
      </c>
      <c r="C152" s="157" t="s">
        <v>659</v>
      </c>
      <c r="D152" s="157" t="s">
        <v>660</v>
      </c>
      <c r="E152" s="157" t="s">
        <v>661</v>
      </c>
      <c r="F152" s="157" t="s">
        <v>749</v>
      </c>
      <c r="G152" s="157" t="s">
        <v>750</v>
      </c>
      <c r="H152" s="157"/>
      <c r="I152" s="158">
        <v>17.09807</v>
      </c>
      <c r="J152" s="158">
        <v>61.63863</v>
      </c>
      <c r="K152" s="157" t="s">
        <v>751</v>
      </c>
      <c r="L152" s="157" t="s">
        <v>648</v>
      </c>
      <c r="M152" s="158">
        <v>2022.0</v>
      </c>
      <c r="N152" s="157" t="s">
        <v>123</v>
      </c>
      <c r="O152" s="157" t="s">
        <v>665</v>
      </c>
      <c r="P152" s="161" t="b">
        <v>1</v>
      </c>
      <c r="Q152" s="158">
        <v>0.988</v>
      </c>
      <c r="R152" s="158">
        <v>0.974</v>
      </c>
      <c r="S152" s="158">
        <v>0.014</v>
      </c>
      <c r="T152" s="157" t="s">
        <v>123</v>
      </c>
      <c r="U152" s="46" t="s">
        <v>651</v>
      </c>
      <c r="V152" s="46" t="b">
        <v>1</v>
      </c>
      <c r="W152" s="46">
        <v>0.95</v>
      </c>
      <c r="X152" s="46">
        <v>0.925299999999999</v>
      </c>
      <c r="Y152" s="46" t="s">
        <v>640</v>
      </c>
      <c r="Z152" s="46" t="b">
        <v>0</v>
      </c>
      <c r="AA152" s="46" t="b">
        <v>0</v>
      </c>
    </row>
    <row r="153">
      <c r="A153" s="157" t="s">
        <v>566</v>
      </c>
      <c r="B153" s="158">
        <v>1.0</v>
      </c>
      <c r="C153" s="157" t="s">
        <v>642</v>
      </c>
      <c r="D153" s="157" t="s">
        <v>643</v>
      </c>
      <c r="E153" s="157" t="s">
        <v>644</v>
      </c>
      <c r="F153" s="157" t="s">
        <v>752</v>
      </c>
      <c r="G153" s="157" t="s">
        <v>753</v>
      </c>
      <c r="H153" s="157"/>
      <c r="I153" s="158">
        <v>14.91352749</v>
      </c>
      <c r="J153" s="158">
        <v>50.94794464</v>
      </c>
      <c r="K153" s="157" t="s">
        <v>754</v>
      </c>
      <c r="L153" s="157" t="s">
        <v>648</v>
      </c>
      <c r="M153" s="158">
        <v>2022.0</v>
      </c>
      <c r="N153" s="157" t="s">
        <v>649</v>
      </c>
      <c r="O153" s="157" t="s">
        <v>650</v>
      </c>
      <c r="P153" s="161" t="b">
        <v>0</v>
      </c>
      <c r="Q153" s="158">
        <v>11.2</v>
      </c>
      <c r="R153" s="158">
        <v>0.812295647</v>
      </c>
      <c r="S153" s="158">
        <v>10.38770435</v>
      </c>
      <c r="T153" s="157" t="s">
        <v>594</v>
      </c>
      <c r="U153" s="46" t="s">
        <v>651</v>
      </c>
      <c r="V153" s="46" t="b">
        <v>1</v>
      </c>
      <c r="W153" s="46">
        <v>0.95</v>
      </c>
      <c r="X153" s="46">
        <v>0.77168086465</v>
      </c>
      <c r="Y153" s="46">
        <v>76.1396541324578</v>
      </c>
      <c r="Z153" s="46" t="b">
        <v>0</v>
      </c>
      <c r="AA153" s="46" t="b">
        <v>1</v>
      </c>
    </row>
    <row r="154">
      <c r="A154" s="157" t="s">
        <v>554</v>
      </c>
      <c r="B154" s="158">
        <v>6.0</v>
      </c>
      <c r="C154" s="157" t="s">
        <v>659</v>
      </c>
      <c r="D154" s="157" t="s">
        <v>660</v>
      </c>
      <c r="E154" s="157" t="s">
        <v>661</v>
      </c>
      <c r="F154" s="157" t="s">
        <v>755</v>
      </c>
      <c r="G154" s="157" t="s">
        <v>756</v>
      </c>
      <c r="H154" s="157"/>
      <c r="I154" s="158">
        <v>15.90144</v>
      </c>
      <c r="J154" s="158">
        <v>58.57869</v>
      </c>
      <c r="K154" s="157" t="s">
        <v>757</v>
      </c>
      <c r="L154" s="157" t="s">
        <v>648</v>
      </c>
      <c r="M154" s="158">
        <v>2022.0</v>
      </c>
      <c r="N154" s="157" t="s">
        <v>123</v>
      </c>
      <c r="O154" s="157" t="s">
        <v>665</v>
      </c>
      <c r="P154" s="161" t="b">
        <v>1</v>
      </c>
      <c r="Q154" s="158">
        <v>0.821</v>
      </c>
      <c r="R154" s="158">
        <v>0.8</v>
      </c>
      <c r="S154" s="158">
        <v>0.021</v>
      </c>
      <c r="T154" s="157" t="s">
        <v>123</v>
      </c>
      <c r="U154" s="46" t="s">
        <v>651</v>
      </c>
      <c r="V154" s="46" t="b">
        <v>1</v>
      </c>
      <c r="W154" s="46">
        <v>0.95</v>
      </c>
      <c r="X154" s="46">
        <v>0.76</v>
      </c>
      <c r="Y154" s="46" t="s">
        <v>640</v>
      </c>
      <c r="Z154" s="46" t="b">
        <v>0</v>
      </c>
      <c r="AA154" s="46" t="b">
        <v>0</v>
      </c>
    </row>
    <row r="155">
      <c r="A155" s="157" t="s">
        <v>554</v>
      </c>
      <c r="B155" s="158">
        <v>6.0</v>
      </c>
      <c r="C155" s="157" t="s">
        <v>659</v>
      </c>
      <c r="D155" s="157" t="s">
        <v>660</v>
      </c>
      <c r="E155" s="157" t="s">
        <v>661</v>
      </c>
      <c r="F155" s="157" t="s">
        <v>758</v>
      </c>
      <c r="G155" s="157" t="s">
        <v>759</v>
      </c>
      <c r="H155" s="157"/>
      <c r="I155" s="158">
        <v>23.28767</v>
      </c>
      <c r="J155" s="158">
        <v>65.79194</v>
      </c>
      <c r="K155" s="157" t="s">
        <v>760</v>
      </c>
      <c r="L155" s="157" t="s">
        <v>648</v>
      </c>
      <c r="M155" s="158">
        <v>2022.0</v>
      </c>
      <c r="N155" s="157" t="s">
        <v>123</v>
      </c>
      <c r="O155" s="157" t="s">
        <v>665</v>
      </c>
      <c r="P155" s="161" t="b">
        <v>1</v>
      </c>
      <c r="Q155" s="158">
        <v>0.798</v>
      </c>
      <c r="R155" s="158">
        <v>0.7866</v>
      </c>
      <c r="S155" s="158">
        <v>0.0114</v>
      </c>
      <c r="T155" s="157" t="s">
        <v>123</v>
      </c>
      <c r="U155" s="46" t="s">
        <v>651</v>
      </c>
      <c r="V155" s="46" t="b">
        <v>1</v>
      </c>
      <c r="W155" s="46">
        <v>0.95</v>
      </c>
      <c r="X155" s="46">
        <v>0.747269999999999</v>
      </c>
      <c r="Y155" s="46" t="s">
        <v>640</v>
      </c>
      <c r="Z155" s="46" t="b">
        <v>0</v>
      </c>
      <c r="AA155" s="46" t="b">
        <v>0</v>
      </c>
    </row>
    <row r="156">
      <c r="A156" s="157" t="s">
        <v>554</v>
      </c>
      <c r="B156" s="158">
        <v>1.0</v>
      </c>
      <c r="C156" s="157" t="s">
        <v>642</v>
      </c>
      <c r="D156" s="157" t="s">
        <v>643</v>
      </c>
      <c r="E156" s="157" t="s">
        <v>644</v>
      </c>
      <c r="F156" s="157" t="s">
        <v>761</v>
      </c>
      <c r="G156" s="157" t="s">
        <v>762</v>
      </c>
      <c r="H156" s="157"/>
      <c r="I156" s="158">
        <v>16.51352</v>
      </c>
      <c r="J156" s="158">
        <v>59.58845</v>
      </c>
      <c r="K156" s="157" t="s">
        <v>763</v>
      </c>
      <c r="L156" s="157" t="s">
        <v>648</v>
      </c>
      <c r="M156" s="158">
        <v>2022.0</v>
      </c>
      <c r="N156" s="157" t="s">
        <v>649</v>
      </c>
      <c r="O156" s="157" t="s">
        <v>650</v>
      </c>
      <c r="P156" s="161" t="b">
        <v>0</v>
      </c>
      <c r="Q156" s="158">
        <v>0.941</v>
      </c>
      <c r="R156" s="158">
        <v>0.783</v>
      </c>
      <c r="S156" s="158">
        <v>0.158</v>
      </c>
      <c r="T156" s="157" t="s">
        <v>117</v>
      </c>
      <c r="U156" s="46" t="s">
        <v>651</v>
      </c>
      <c r="V156" s="46" t="b">
        <v>1</v>
      </c>
      <c r="W156" s="46">
        <v>0.95</v>
      </c>
      <c r="X156" s="46">
        <v>0.74385</v>
      </c>
      <c r="Y156" s="46" t="s">
        <v>640</v>
      </c>
      <c r="Z156" s="46" t="b">
        <v>0</v>
      </c>
      <c r="AA156" s="46" t="b">
        <v>0</v>
      </c>
    </row>
    <row r="157">
      <c r="A157" s="157" t="s">
        <v>556</v>
      </c>
      <c r="B157" s="158">
        <v>6.0</v>
      </c>
      <c r="C157" s="157" t="s">
        <v>659</v>
      </c>
      <c r="D157" s="157" t="s">
        <v>660</v>
      </c>
      <c r="E157" s="157" t="s">
        <v>661</v>
      </c>
      <c r="F157" s="157" t="s">
        <v>764</v>
      </c>
      <c r="G157" s="157" t="s">
        <v>765</v>
      </c>
      <c r="H157" s="157"/>
      <c r="I157" s="158">
        <v>-0.97612</v>
      </c>
      <c r="J157" s="158">
        <v>44.6288</v>
      </c>
      <c r="K157" s="157" t="s">
        <v>766</v>
      </c>
      <c r="L157" s="157" t="s">
        <v>648</v>
      </c>
      <c r="M157" s="158">
        <v>2022.0</v>
      </c>
      <c r="N157" s="157" t="s">
        <v>123</v>
      </c>
      <c r="O157" s="157" t="s">
        <v>665</v>
      </c>
      <c r="P157" s="161" t="b">
        <v>1</v>
      </c>
      <c r="Q157" s="158">
        <v>0.832</v>
      </c>
      <c r="R157" s="158">
        <v>0.779411258</v>
      </c>
      <c r="S157" s="158">
        <v>0.052588742</v>
      </c>
      <c r="T157" s="157" t="s">
        <v>123</v>
      </c>
      <c r="U157" s="46" t="s">
        <v>651</v>
      </c>
      <c r="V157" s="46" t="b">
        <v>1</v>
      </c>
      <c r="W157" s="46">
        <v>0.95</v>
      </c>
      <c r="X157" s="46">
        <v>0.7404406951</v>
      </c>
      <c r="Y157" s="46">
        <v>3.08272590458495</v>
      </c>
      <c r="Z157" s="46" t="b">
        <v>1</v>
      </c>
      <c r="AA157" s="46" t="b">
        <v>1</v>
      </c>
    </row>
    <row r="158">
      <c r="A158" s="157" t="s">
        <v>558</v>
      </c>
      <c r="B158" s="158">
        <v>6.0</v>
      </c>
      <c r="C158" s="157" t="s">
        <v>659</v>
      </c>
      <c r="D158" s="157" t="s">
        <v>660</v>
      </c>
      <c r="E158" s="157" t="s">
        <v>661</v>
      </c>
      <c r="F158" s="157" t="s">
        <v>767</v>
      </c>
      <c r="G158" s="157" t="s">
        <v>768</v>
      </c>
      <c r="H158" s="157"/>
      <c r="I158" s="158">
        <v>-8.587658</v>
      </c>
      <c r="J158" s="158">
        <v>40.6846</v>
      </c>
      <c r="K158" s="157" t="s">
        <v>769</v>
      </c>
      <c r="L158" s="157" t="s">
        <v>648</v>
      </c>
      <c r="M158" s="158">
        <v>2022.0</v>
      </c>
      <c r="N158" s="157" t="s">
        <v>123</v>
      </c>
      <c r="O158" s="157" t="s">
        <v>665</v>
      </c>
      <c r="P158" s="161" t="b">
        <v>1</v>
      </c>
      <c r="Q158" s="158">
        <v>0.794</v>
      </c>
      <c r="R158" s="158">
        <v>0.743813148</v>
      </c>
      <c r="S158" s="158">
        <v>0.050186852</v>
      </c>
      <c r="T158" s="157" t="s">
        <v>123</v>
      </c>
      <c r="U158" s="46" t="s">
        <v>651</v>
      </c>
      <c r="V158" s="46" t="b">
        <v>1</v>
      </c>
      <c r="W158" s="46">
        <v>0.95</v>
      </c>
      <c r="X158" s="46">
        <v>0.706622490599999</v>
      </c>
      <c r="Y158" s="46" t="s">
        <v>640</v>
      </c>
      <c r="Z158" s="46" t="b">
        <v>0</v>
      </c>
      <c r="AA158" s="46" t="b">
        <v>0</v>
      </c>
    </row>
    <row r="159">
      <c r="A159" s="157" t="s">
        <v>555</v>
      </c>
      <c r="B159" s="158">
        <v>6.0</v>
      </c>
      <c r="C159" s="157" t="s">
        <v>659</v>
      </c>
      <c r="D159" s="157" t="s">
        <v>660</v>
      </c>
      <c r="E159" s="157" t="s">
        <v>661</v>
      </c>
      <c r="F159" s="162" t="s">
        <v>770</v>
      </c>
      <c r="G159" s="157" t="s">
        <v>771</v>
      </c>
      <c r="H159" s="157"/>
      <c r="I159" s="158">
        <v>26.95161</v>
      </c>
      <c r="J159" s="158">
        <v>60.49098</v>
      </c>
      <c r="K159" s="157" t="s">
        <v>772</v>
      </c>
      <c r="L159" s="157" t="s">
        <v>648</v>
      </c>
      <c r="M159" s="158">
        <v>2022.0</v>
      </c>
      <c r="N159" s="157" t="s">
        <v>123</v>
      </c>
      <c r="O159" s="157" t="s">
        <v>665</v>
      </c>
      <c r="P159" s="161" t="b">
        <v>1</v>
      </c>
      <c r="Q159" s="158">
        <v>0.736</v>
      </c>
      <c r="R159" s="158">
        <v>0.7038</v>
      </c>
      <c r="S159" s="158">
        <v>0.0322</v>
      </c>
      <c r="T159" s="157" t="s">
        <v>123</v>
      </c>
      <c r="U159" s="46" t="s">
        <v>651</v>
      </c>
      <c r="V159" s="46" t="b">
        <v>1</v>
      </c>
      <c r="W159" s="46">
        <v>0.95</v>
      </c>
      <c r="X159" s="46">
        <v>0.668609999999999</v>
      </c>
      <c r="Y159" s="46" t="s">
        <v>640</v>
      </c>
      <c r="Z159" s="46" t="b">
        <v>0</v>
      </c>
      <c r="AA159" s="46" t="b">
        <v>0</v>
      </c>
    </row>
    <row r="160">
      <c r="A160" s="157" t="s">
        <v>554</v>
      </c>
      <c r="B160" s="158">
        <v>6.0</v>
      </c>
      <c r="C160" s="157" t="s">
        <v>659</v>
      </c>
      <c r="D160" s="157" t="s">
        <v>660</v>
      </c>
      <c r="E160" s="157" t="s">
        <v>661</v>
      </c>
      <c r="F160" s="157" t="s">
        <v>773</v>
      </c>
      <c r="G160" s="157" t="s">
        <v>774</v>
      </c>
      <c r="H160" s="157"/>
      <c r="I160" s="158">
        <v>15.32691</v>
      </c>
      <c r="J160" s="158">
        <v>59.47975</v>
      </c>
      <c r="K160" s="157" t="s">
        <v>775</v>
      </c>
      <c r="L160" s="157" t="s">
        <v>648</v>
      </c>
      <c r="M160" s="158">
        <v>2022.0</v>
      </c>
      <c r="N160" s="157" t="s">
        <v>123</v>
      </c>
      <c r="O160" s="157" t="s">
        <v>665</v>
      </c>
      <c r="P160" s="161" t="b">
        <v>1</v>
      </c>
      <c r="Q160" s="158">
        <v>0.725</v>
      </c>
      <c r="R160" s="158">
        <v>0.6998</v>
      </c>
      <c r="S160" s="158">
        <v>0.0252</v>
      </c>
      <c r="T160" s="157" t="s">
        <v>123</v>
      </c>
      <c r="U160" s="46" t="s">
        <v>651</v>
      </c>
      <c r="V160" s="46" t="b">
        <v>1</v>
      </c>
      <c r="W160" s="46">
        <v>0.95</v>
      </c>
      <c r="X160" s="46">
        <v>0.664809999999999</v>
      </c>
      <c r="Y160" s="46" t="s">
        <v>640</v>
      </c>
      <c r="Z160" s="46" t="b">
        <v>0</v>
      </c>
      <c r="AA160" s="46" t="b">
        <v>0</v>
      </c>
    </row>
    <row r="161">
      <c r="A161" s="157" t="s">
        <v>566</v>
      </c>
      <c r="B161" s="158">
        <v>1.0</v>
      </c>
      <c r="C161" s="157" t="s">
        <v>642</v>
      </c>
      <c r="D161" s="157" t="s">
        <v>643</v>
      </c>
      <c r="E161" s="157" t="s">
        <v>644</v>
      </c>
      <c r="F161" s="157" t="s">
        <v>776</v>
      </c>
      <c r="G161" s="157" t="s">
        <v>777</v>
      </c>
      <c r="H161" s="157"/>
      <c r="I161" s="158">
        <v>17.88222313</v>
      </c>
      <c r="J161" s="158">
        <v>50.75166702</v>
      </c>
      <c r="K161" s="157" t="s">
        <v>778</v>
      </c>
      <c r="L161" s="157" t="s">
        <v>648</v>
      </c>
      <c r="M161" s="158">
        <v>2022.0</v>
      </c>
      <c r="N161" s="157" t="s">
        <v>649</v>
      </c>
      <c r="O161" s="157" t="s">
        <v>650</v>
      </c>
      <c r="P161" s="161" t="b">
        <v>0</v>
      </c>
      <c r="Q161" s="158">
        <v>9.11</v>
      </c>
      <c r="R161" s="158">
        <v>0.660715477</v>
      </c>
      <c r="S161" s="158">
        <v>8.449284523</v>
      </c>
      <c r="T161" s="157" t="s">
        <v>594</v>
      </c>
      <c r="U161" s="46" t="s">
        <v>651</v>
      </c>
      <c r="V161" s="46" t="b">
        <v>1</v>
      </c>
      <c r="W161" s="46">
        <v>0.95</v>
      </c>
      <c r="X161" s="46">
        <v>0.62767970315</v>
      </c>
      <c r="Y161" s="46" t="s">
        <v>640</v>
      </c>
      <c r="Z161" s="46" t="b">
        <v>0</v>
      </c>
      <c r="AA161" s="46" t="b">
        <v>0</v>
      </c>
    </row>
    <row r="162">
      <c r="A162" s="157" t="s">
        <v>554</v>
      </c>
      <c r="B162" s="158">
        <v>6.0</v>
      </c>
      <c r="C162" s="157" t="s">
        <v>659</v>
      </c>
      <c r="D162" s="157" t="s">
        <v>660</v>
      </c>
      <c r="E162" s="157" t="s">
        <v>661</v>
      </c>
      <c r="F162" s="157" t="s">
        <v>779</v>
      </c>
      <c r="G162" s="157" t="s">
        <v>780</v>
      </c>
      <c r="H162" s="157"/>
      <c r="I162" s="158">
        <v>21.50386</v>
      </c>
      <c r="J162" s="158">
        <v>65.27232</v>
      </c>
      <c r="K162" s="157" t="s">
        <v>716</v>
      </c>
      <c r="L162" s="157" t="s">
        <v>648</v>
      </c>
      <c r="M162" s="158">
        <v>2022.0</v>
      </c>
      <c r="N162" s="157" t="s">
        <v>123</v>
      </c>
      <c r="O162" s="157" t="s">
        <v>665</v>
      </c>
      <c r="P162" s="161" t="b">
        <v>1</v>
      </c>
      <c r="Q162" s="158">
        <v>0.654</v>
      </c>
      <c r="R162" s="158">
        <v>0.643</v>
      </c>
      <c r="S162" s="158">
        <v>0.011</v>
      </c>
      <c r="T162" s="157" t="s">
        <v>123</v>
      </c>
      <c r="U162" s="46" t="s">
        <v>651</v>
      </c>
      <c r="V162" s="46" t="b">
        <v>1</v>
      </c>
      <c r="W162" s="46">
        <v>0.95</v>
      </c>
      <c r="X162" s="46">
        <v>0.61085</v>
      </c>
      <c r="Y162" s="46" t="s">
        <v>640</v>
      </c>
      <c r="Z162" s="46" t="b">
        <v>0</v>
      </c>
      <c r="AA162" s="46" t="b">
        <v>0</v>
      </c>
    </row>
    <row r="163">
      <c r="A163" s="157" t="s">
        <v>555</v>
      </c>
      <c r="B163" s="158">
        <v>1.0</v>
      </c>
      <c r="C163" s="157" t="s">
        <v>642</v>
      </c>
      <c r="D163" s="157" t="s">
        <v>643</v>
      </c>
      <c r="E163" s="157" t="s">
        <v>644</v>
      </c>
      <c r="F163" s="162" t="s">
        <v>781</v>
      </c>
      <c r="G163" s="157" t="s">
        <v>782</v>
      </c>
      <c r="H163" s="157"/>
      <c r="I163" s="158">
        <v>22.05252</v>
      </c>
      <c r="J163" s="158">
        <v>60.45833</v>
      </c>
      <c r="K163" s="157" t="s">
        <v>783</v>
      </c>
      <c r="L163" s="157" t="s">
        <v>648</v>
      </c>
      <c r="M163" s="158">
        <v>2022.0</v>
      </c>
      <c r="N163" s="157" t="s">
        <v>649</v>
      </c>
      <c r="O163" s="157" t="s">
        <v>650</v>
      </c>
      <c r="P163" s="161" t="b">
        <v>0</v>
      </c>
      <c r="Q163" s="158">
        <v>1.01</v>
      </c>
      <c r="R163" s="158">
        <v>0.638</v>
      </c>
      <c r="S163" s="158">
        <v>0.372</v>
      </c>
      <c r="T163" s="157" t="s">
        <v>117</v>
      </c>
      <c r="U163" s="46" t="s">
        <v>651</v>
      </c>
      <c r="V163" s="46" t="b">
        <v>1</v>
      </c>
      <c r="W163" s="46">
        <v>0.95</v>
      </c>
      <c r="X163" s="46">
        <v>0.6061</v>
      </c>
      <c r="Y163" s="46" t="s">
        <v>640</v>
      </c>
      <c r="Z163" s="46" t="b">
        <v>0</v>
      </c>
      <c r="AA163" s="46" t="b">
        <v>0</v>
      </c>
    </row>
    <row r="164">
      <c r="A164" s="157" t="s">
        <v>555</v>
      </c>
      <c r="B164" s="158">
        <v>6.0</v>
      </c>
      <c r="C164" s="157" t="s">
        <v>659</v>
      </c>
      <c r="D164" s="157" t="s">
        <v>717</v>
      </c>
      <c r="E164" s="157" t="s">
        <v>718</v>
      </c>
      <c r="F164" s="162" t="s">
        <v>784</v>
      </c>
      <c r="G164" s="157" t="s">
        <v>785</v>
      </c>
      <c r="H164" s="157"/>
      <c r="I164" s="158">
        <v>27.89859</v>
      </c>
      <c r="J164" s="158">
        <v>62.3164</v>
      </c>
      <c r="K164" s="157" t="s">
        <v>786</v>
      </c>
      <c r="L164" s="157" t="s">
        <v>648</v>
      </c>
      <c r="M164" s="158">
        <v>2022.0</v>
      </c>
      <c r="N164" s="157" t="s">
        <v>123</v>
      </c>
      <c r="O164" s="157" t="s">
        <v>722</v>
      </c>
      <c r="P164" s="161" t="b">
        <v>1</v>
      </c>
      <c r="Q164" s="158">
        <v>0.668</v>
      </c>
      <c r="R164" s="158">
        <v>0.6255</v>
      </c>
      <c r="S164" s="158">
        <v>0.0425</v>
      </c>
      <c r="T164" s="157" t="s">
        <v>123</v>
      </c>
      <c r="U164" s="46" t="s">
        <v>651</v>
      </c>
      <c r="V164" s="46" t="b">
        <v>1</v>
      </c>
      <c r="W164" s="46">
        <v>0.95</v>
      </c>
      <c r="X164" s="46">
        <v>0.594224999999999</v>
      </c>
      <c r="Y164" s="46" t="s">
        <v>640</v>
      </c>
      <c r="Z164" s="46" t="b">
        <v>0</v>
      </c>
      <c r="AA164" s="46" t="b">
        <v>0</v>
      </c>
    </row>
    <row r="165">
      <c r="A165" s="157" t="s">
        <v>554</v>
      </c>
      <c r="B165" s="158">
        <v>6.0</v>
      </c>
      <c r="C165" s="157" t="s">
        <v>659</v>
      </c>
      <c r="D165" s="157" t="s">
        <v>660</v>
      </c>
      <c r="E165" s="157" t="s">
        <v>661</v>
      </c>
      <c r="F165" s="157" t="s">
        <v>787</v>
      </c>
      <c r="G165" s="157" t="s">
        <v>788</v>
      </c>
      <c r="H165" s="157"/>
      <c r="I165" s="158">
        <v>17.7151</v>
      </c>
      <c r="J165" s="158">
        <v>62.97543</v>
      </c>
      <c r="K165" s="157" t="s">
        <v>789</v>
      </c>
      <c r="L165" s="157" t="s">
        <v>648</v>
      </c>
      <c r="M165" s="158">
        <v>2022.0</v>
      </c>
      <c r="N165" s="157" t="s">
        <v>123</v>
      </c>
      <c r="O165" s="157" t="s">
        <v>665</v>
      </c>
      <c r="P165" s="161" t="b">
        <v>1</v>
      </c>
      <c r="Q165" s="158">
        <v>0.635</v>
      </c>
      <c r="R165" s="158">
        <v>0.6171</v>
      </c>
      <c r="S165" s="158">
        <v>0.0179</v>
      </c>
      <c r="T165" s="157" t="s">
        <v>123</v>
      </c>
      <c r="U165" s="46" t="s">
        <v>651</v>
      </c>
      <c r="V165" s="46" t="b">
        <v>1</v>
      </c>
      <c r="W165" s="46">
        <v>0.95</v>
      </c>
      <c r="X165" s="46">
        <v>0.586244999999999</v>
      </c>
      <c r="Y165" s="46" t="s">
        <v>640</v>
      </c>
      <c r="Z165" s="46" t="b">
        <v>0</v>
      </c>
      <c r="AA165" s="46" t="b">
        <v>0</v>
      </c>
    </row>
    <row r="166">
      <c r="A166" s="157" t="s">
        <v>556</v>
      </c>
      <c r="B166" s="158">
        <v>6.0</v>
      </c>
      <c r="C166" s="157" t="s">
        <v>659</v>
      </c>
      <c r="D166" s="157" t="s">
        <v>660</v>
      </c>
      <c r="E166" s="157" t="s">
        <v>661</v>
      </c>
      <c r="F166" s="157" t="s">
        <v>790</v>
      </c>
      <c r="G166" s="157" t="s">
        <v>791</v>
      </c>
      <c r="H166" s="157"/>
      <c r="I166" s="158">
        <v>0.71934</v>
      </c>
      <c r="J166" s="158">
        <v>43.09715</v>
      </c>
      <c r="K166" s="157" t="s">
        <v>792</v>
      </c>
      <c r="L166" s="157" t="s">
        <v>648</v>
      </c>
      <c r="M166" s="158">
        <v>2022.0</v>
      </c>
      <c r="N166" s="157" t="s">
        <v>123</v>
      </c>
      <c r="O166" s="157" t="s">
        <v>665</v>
      </c>
      <c r="P166" s="161" t="b">
        <v>1</v>
      </c>
      <c r="Q166" s="158">
        <v>0.654</v>
      </c>
      <c r="R166" s="158">
        <v>0.612662215</v>
      </c>
      <c r="S166" s="158">
        <v>0.041337785</v>
      </c>
      <c r="T166" s="157" t="s">
        <v>123</v>
      </c>
      <c r="U166" s="46" t="s">
        <v>651</v>
      </c>
      <c r="V166" s="46" t="b">
        <v>1</v>
      </c>
      <c r="W166" s="46">
        <v>0.95</v>
      </c>
      <c r="X166" s="46">
        <v>0.58202910425</v>
      </c>
      <c r="Y166" s="46">
        <v>5.84629468882869</v>
      </c>
      <c r="Z166" s="46" t="b">
        <v>1</v>
      </c>
      <c r="AA166" s="46" t="b">
        <v>1</v>
      </c>
    </row>
    <row r="167">
      <c r="A167" s="157" t="s">
        <v>554</v>
      </c>
      <c r="B167" s="158">
        <v>6.0</v>
      </c>
      <c r="C167" s="157" t="s">
        <v>659</v>
      </c>
      <c r="D167" s="157" t="s">
        <v>660</v>
      </c>
      <c r="E167" s="157" t="s">
        <v>661</v>
      </c>
      <c r="F167" s="157" t="s">
        <v>793</v>
      </c>
      <c r="G167" s="157" t="s">
        <v>794</v>
      </c>
      <c r="H167" s="157"/>
      <c r="I167" s="158">
        <v>17.18282</v>
      </c>
      <c r="J167" s="158">
        <v>61.18825</v>
      </c>
      <c r="K167" s="157" t="s">
        <v>795</v>
      </c>
      <c r="L167" s="157" t="s">
        <v>648</v>
      </c>
      <c r="M167" s="158">
        <v>2022.0</v>
      </c>
      <c r="N167" s="157" t="s">
        <v>123</v>
      </c>
      <c r="O167" s="157" t="s">
        <v>665</v>
      </c>
      <c r="P167" s="161" t="b">
        <v>1</v>
      </c>
      <c r="Q167" s="158">
        <v>0.561</v>
      </c>
      <c r="R167" s="158">
        <v>0.55717</v>
      </c>
      <c r="S167" s="158">
        <v>0.00383</v>
      </c>
      <c r="T167" s="157" t="s">
        <v>123</v>
      </c>
      <c r="U167" s="46" t="s">
        <v>651</v>
      </c>
      <c r="V167" s="46" t="b">
        <v>1</v>
      </c>
      <c r="W167" s="46">
        <v>0.95</v>
      </c>
      <c r="X167" s="46">
        <v>0.5293115</v>
      </c>
      <c r="Y167" s="46" t="s">
        <v>640</v>
      </c>
      <c r="Z167" s="46" t="b">
        <v>0</v>
      </c>
      <c r="AA167" s="46" t="b">
        <v>0</v>
      </c>
    </row>
    <row r="168">
      <c r="A168" s="157" t="s">
        <v>558</v>
      </c>
      <c r="B168" s="158">
        <v>6.0</v>
      </c>
      <c r="C168" s="157" t="s">
        <v>659</v>
      </c>
      <c r="D168" s="157" t="s">
        <v>717</v>
      </c>
      <c r="E168" s="157" t="s">
        <v>718</v>
      </c>
      <c r="F168" s="157" t="s">
        <v>796</v>
      </c>
      <c r="G168" s="157" t="s">
        <v>797</v>
      </c>
      <c r="H168" s="157"/>
      <c r="I168" s="158">
        <v>-8.856643</v>
      </c>
      <c r="J168" s="158">
        <v>40.058793</v>
      </c>
      <c r="K168" s="157" t="s">
        <v>798</v>
      </c>
      <c r="L168" s="157" t="s">
        <v>648</v>
      </c>
      <c r="M168" s="158">
        <v>2022.0</v>
      </c>
      <c r="N168" s="157" t="s">
        <v>123</v>
      </c>
      <c r="O168" s="157" t="s">
        <v>722</v>
      </c>
      <c r="P168" s="161" t="b">
        <v>1</v>
      </c>
      <c r="Q168" s="158">
        <v>1.28</v>
      </c>
      <c r="R168" s="158">
        <v>0.553850944</v>
      </c>
      <c r="S168" s="158">
        <v>0.726149056</v>
      </c>
      <c r="T168" s="157" t="s">
        <v>123</v>
      </c>
      <c r="U168" s="46" t="s">
        <v>651</v>
      </c>
      <c r="V168" s="46" t="b">
        <v>1</v>
      </c>
      <c r="W168" s="46">
        <v>0.95</v>
      </c>
      <c r="X168" s="46">
        <v>0.5261583968</v>
      </c>
      <c r="Y168" s="46" t="s">
        <v>640</v>
      </c>
      <c r="Z168" s="46" t="b">
        <v>0</v>
      </c>
      <c r="AA168" s="46" t="b">
        <v>0</v>
      </c>
    </row>
    <row r="169">
      <c r="A169" s="157" t="s">
        <v>558</v>
      </c>
      <c r="B169" s="158">
        <v>6.0</v>
      </c>
      <c r="C169" s="157" t="s">
        <v>659</v>
      </c>
      <c r="D169" s="157" t="s">
        <v>660</v>
      </c>
      <c r="E169" s="157" t="s">
        <v>661</v>
      </c>
      <c r="F169" s="157" t="s">
        <v>799</v>
      </c>
      <c r="G169" s="157" t="s">
        <v>800</v>
      </c>
      <c r="H169" s="157"/>
      <c r="I169" s="158">
        <v>-8.712395</v>
      </c>
      <c r="J169" s="158">
        <v>41.703661</v>
      </c>
      <c r="K169" s="157" t="s">
        <v>801</v>
      </c>
      <c r="L169" s="157" t="s">
        <v>648</v>
      </c>
      <c r="M169" s="158">
        <v>2022.0</v>
      </c>
      <c r="N169" s="157" t="s">
        <v>123</v>
      </c>
      <c r="O169" s="157" t="s">
        <v>665</v>
      </c>
      <c r="P169" s="161" t="b">
        <v>1</v>
      </c>
      <c r="Q169" s="158">
        <v>0.584</v>
      </c>
      <c r="R169" s="158">
        <v>0.547086749</v>
      </c>
      <c r="S169" s="158">
        <v>0.036913251</v>
      </c>
      <c r="T169" s="157" t="s">
        <v>123</v>
      </c>
      <c r="U169" s="46" t="s">
        <v>651</v>
      </c>
      <c r="V169" s="46" t="b">
        <v>1</v>
      </c>
      <c r="W169" s="46">
        <v>0.95</v>
      </c>
      <c r="X169" s="46">
        <v>0.519732411549999</v>
      </c>
      <c r="Y169" s="46" t="s">
        <v>640</v>
      </c>
      <c r="Z169" s="46" t="b">
        <v>0</v>
      </c>
      <c r="AA169" s="46" t="b">
        <v>0</v>
      </c>
    </row>
    <row r="170">
      <c r="A170" s="157" t="s">
        <v>555</v>
      </c>
      <c r="B170" s="158">
        <v>1.0</v>
      </c>
      <c r="C170" s="157" t="s">
        <v>642</v>
      </c>
      <c r="D170" s="157" t="s">
        <v>643</v>
      </c>
      <c r="E170" s="157" t="s">
        <v>644</v>
      </c>
      <c r="F170" s="162" t="s">
        <v>802</v>
      </c>
      <c r="G170" s="157" t="s">
        <v>803</v>
      </c>
      <c r="H170" s="157"/>
      <c r="I170" s="158">
        <v>28.25099</v>
      </c>
      <c r="J170" s="158">
        <v>61.06663</v>
      </c>
      <c r="K170" s="157" t="s">
        <v>701</v>
      </c>
      <c r="L170" s="157" t="s">
        <v>648</v>
      </c>
      <c r="M170" s="158">
        <v>2022.0</v>
      </c>
      <c r="N170" s="157" t="s">
        <v>649</v>
      </c>
      <c r="O170" s="157" t="s">
        <v>650</v>
      </c>
      <c r="P170" s="161" t="b">
        <v>0</v>
      </c>
      <c r="Q170" s="158">
        <v>0.631</v>
      </c>
      <c r="R170" s="158">
        <v>0.5425</v>
      </c>
      <c r="S170" s="158">
        <v>0.0885</v>
      </c>
      <c r="T170" s="157" t="s">
        <v>117</v>
      </c>
      <c r="U170" s="46" t="s">
        <v>651</v>
      </c>
      <c r="V170" s="46" t="b">
        <v>1</v>
      </c>
      <c r="W170" s="46">
        <v>0.95</v>
      </c>
      <c r="X170" s="46">
        <v>0.515374999999999</v>
      </c>
      <c r="Y170" s="46" t="s">
        <v>640</v>
      </c>
      <c r="Z170" s="46" t="b">
        <v>0</v>
      </c>
      <c r="AA170" s="46" t="b">
        <v>0</v>
      </c>
    </row>
    <row r="171">
      <c r="A171" s="157" t="s">
        <v>559</v>
      </c>
      <c r="B171" s="158">
        <v>1.0</v>
      </c>
      <c r="C171" s="157" t="s">
        <v>642</v>
      </c>
      <c r="D171" s="157" t="s">
        <v>643</v>
      </c>
      <c r="E171" s="157" t="s">
        <v>644</v>
      </c>
      <c r="F171" s="157" t="s">
        <v>804</v>
      </c>
      <c r="G171" s="157" t="s">
        <v>805</v>
      </c>
      <c r="H171" s="157"/>
      <c r="I171" s="158">
        <v>18.0321</v>
      </c>
      <c r="J171" s="158">
        <v>40.5638</v>
      </c>
      <c r="K171" s="157" t="s">
        <v>806</v>
      </c>
      <c r="L171" s="157" t="s">
        <v>648</v>
      </c>
      <c r="M171" s="158">
        <v>2022.0</v>
      </c>
      <c r="N171" s="157" t="s">
        <v>649</v>
      </c>
      <c r="O171" s="157" t="s">
        <v>650</v>
      </c>
      <c r="P171" s="161" t="b">
        <v>0</v>
      </c>
      <c r="Q171" s="158">
        <v>7.35272668</v>
      </c>
      <c r="R171" s="158">
        <v>0.533266775</v>
      </c>
      <c r="S171" s="158">
        <v>6.819459905</v>
      </c>
      <c r="T171" s="157" t="s">
        <v>594</v>
      </c>
      <c r="U171" s="46" t="s">
        <v>651</v>
      </c>
      <c r="V171" s="46" t="b">
        <v>1</v>
      </c>
      <c r="W171" s="46">
        <v>0.95</v>
      </c>
      <c r="X171" s="46">
        <v>0.506603436249999</v>
      </c>
      <c r="Y171" s="46" t="s">
        <v>640</v>
      </c>
      <c r="Z171" s="46" t="b">
        <v>0</v>
      </c>
      <c r="AA171" s="46" t="b">
        <v>0</v>
      </c>
    </row>
    <row r="172">
      <c r="A172" s="157" t="s">
        <v>554</v>
      </c>
      <c r="B172" s="158">
        <v>6.0</v>
      </c>
      <c r="C172" s="157" t="s">
        <v>659</v>
      </c>
      <c r="D172" s="157" t="s">
        <v>660</v>
      </c>
      <c r="E172" s="157" t="s">
        <v>661</v>
      </c>
      <c r="F172" s="157" t="s">
        <v>807</v>
      </c>
      <c r="G172" s="157" t="s">
        <v>808</v>
      </c>
      <c r="H172" s="157"/>
      <c r="I172" s="158">
        <v>14.18116</v>
      </c>
      <c r="J172" s="158">
        <v>59.16017</v>
      </c>
      <c r="K172" s="157" t="s">
        <v>809</v>
      </c>
      <c r="L172" s="157" t="s">
        <v>648</v>
      </c>
      <c r="M172" s="158">
        <v>2022.0</v>
      </c>
      <c r="N172" s="157" t="s">
        <v>123</v>
      </c>
      <c r="O172" s="157" t="s">
        <v>665</v>
      </c>
      <c r="P172" s="161" t="b">
        <v>1</v>
      </c>
      <c r="Q172" s="158">
        <v>0.537</v>
      </c>
      <c r="R172" s="158">
        <v>0.52978</v>
      </c>
      <c r="S172" s="158">
        <v>0.00722</v>
      </c>
      <c r="T172" s="157" t="s">
        <v>123</v>
      </c>
      <c r="U172" s="46" t="s">
        <v>651</v>
      </c>
      <c r="V172" s="46" t="b">
        <v>1</v>
      </c>
      <c r="W172" s="46">
        <v>0.95</v>
      </c>
      <c r="X172" s="46">
        <v>0.503291</v>
      </c>
      <c r="Y172" s="46" t="s">
        <v>640</v>
      </c>
      <c r="Z172" s="46" t="b">
        <v>0</v>
      </c>
      <c r="AA172" s="46" t="b">
        <v>0</v>
      </c>
    </row>
    <row r="173">
      <c r="A173" s="157" t="s">
        <v>566</v>
      </c>
      <c r="B173" s="158">
        <v>1.0</v>
      </c>
      <c r="C173" s="157" t="s">
        <v>642</v>
      </c>
      <c r="D173" s="157" t="s">
        <v>643</v>
      </c>
      <c r="E173" s="157" t="s">
        <v>644</v>
      </c>
      <c r="F173" s="157" t="s">
        <v>810</v>
      </c>
      <c r="G173" s="157" t="s">
        <v>811</v>
      </c>
      <c r="H173" s="157"/>
      <c r="I173" s="158">
        <v>21.33680344</v>
      </c>
      <c r="J173" s="158">
        <v>50.43808746</v>
      </c>
      <c r="K173" s="157" t="s">
        <v>812</v>
      </c>
      <c r="L173" s="157" t="s">
        <v>648</v>
      </c>
      <c r="M173" s="158">
        <v>2022.0</v>
      </c>
      <c r="N173" s="157" t="s">
        <v>649</v>
      </c>
      <c r="O173" s="157" t="s">
        <v>650</v>
      </c>
      <c r="P173" s="161" t="b">
        <v>0</v>
      </c>
      <c r="Q173" s="158">
        <v>7.09</v>
      </c>
      <c r="R173" s="158">
        <v>0.514212155</v>
      </c>
      <c r="S173" s="158">
        <v>6.575787845</v>
      </c>
      <c r="T173" s="157" t="s">
        <v>594</v>
      </c>
      <c r="U173" s="46" t="s">
        <v>651</v>
      </c>
      <c r="V173" s="46" t="b">
        <v>1</v>
      </c>
      <c r="W173" s="46">
        <v>0.95</v>
      </c>
      <c r="X173" s="46">
        <v>0.488501547249999</v>
      </c>
      <c r="Y173" s="46" t="s">
        <v>640</v>
      </c>
      <c r="Z173" s="46" t="b">
        <v>0</v>
      </c>
      <c r="AA173" s="46" t="b">
        <v>0</v>
      </c>
    </row>
    <row r="174">
      <c r="A174" s="157" t="s">
        <v>554</v>
      </c>
      <c r="B174" s="158">
        <v>1.0</v>
      </c>
      <c r="C174" s="157" t="s">
        <v>642</v>
      </c>
      <c r="D174" s="157" t="s">
        <v>643</v>
      </c>
      <c r="E174" s="157" t="s">
        <v>644</v>
      </c>
      <c r="F174" s="157" t="s">
        <v>813</v>
      </c>
      <c r="G174" s="157" t="s">
        <v>814</v>
      </c>
      <c r="H174" s="157"/>
      <c r="I174" s="158">
        <v>17.66847</v>
      </c>
      <c r="J174" s="158">
        <v>59.17495</v>
      </c>
      <c r="K174" s="157" t="s">
        <v>815</v>
      </c>
      <c r="L174" s="157" t="s">
        <v>648</v>
      </c>
      <c r="M174" s="158">
        <v>2022.0</v>
      </c>
      <c r="N174" s="157" t="s">
        <v>649</v>
      </c>
      <c r="O174" s="157" t="s">
        <v>650</v>
      </c>
      <c r="P174" s="161" t="b">
        <v>0</v>
      </c>
      <c r="Q174" s="158">
        <v>0.521</v>
      </c>
      <c r="R174" s="158">
        <v>0.5052</v>
      </c>
      <c r="S174" s="158">
        <v>0.0158</v>
      </c>
      <c r="T174" s="157" t="s">
        <v>117</v>
      </c>
      <c r="U174" s="46" t="s">
        <v>651</v>
      </c>
      <c r="V174" s="46" t="b">
        <v>1</v>
      </c>
      <c r="W174" s="46">
        <v>0.95</v>
      </c>
      <c r="X174" s="46">
        <v>0.47994</v>
      </c>
      <c r="Y174" s="46" t="s">
        <v>640</v>
      </c>
      <c r="Z174" s="46" t="b">
        <v>0</v>
      </c>
      <c r="AA174" s="46" t="b">
        <v>0</v>
      </c>
    </row>
    <row r="175">
      <c r="A175" s="157" t="s">
        <v>554</v>
      </c>
      <c r="B175" s="158">
        <v>6.0</v>
      </c>
      <c r="C175" s="157" t="s">
        <v>659</v>
      </c>
      <c r="D175" s="157" t="s">
        <v>660</v>
      </c>
      <c r="E175" s="157" t="s">
        <v>661</v>
      </c>
      <c r="F175" s="157" t="s">
        <v>816</v>
      </c>
      <c r="G175" s="157" t="s">
        <v>817</v>
      </c>
      <c r="H175" s="157"/>
      <c r="I175" s="158">
        <v>20.32111</v>
      </c>
      <c r="J175" s="158">
        <v>63.70116</v>
      </c>
      <c r="K175" s="157" t="s">
        <v>818</v>
      </c>
      <c r="L175" s="157" t="s">
        <v>648</v>
      </c>
      <c r="M175" s="158">
        <v>2022.0</v>
      </c>
      <c r="N175" s="157" t="s">
        <v>123</v>
      </c>
      <c r="O175" s="157" t="s">
        <v>665</v>
      </c>
      <c r="P175" s="161" t="b">
        <v>1</v>
      </c>
      <c r="Q175" s="158">
        <v>0.527</v>
      </c>
      <c r="R175" s="158">
        <v>0.5013</v>
      </c>
      <c r="S175" s="158">
        <v>0.0257</v>
      </c>
      <c r="T175" s="157" t="s">
        <v>123</v>
      </c>
      <c r="U175" s="46" t="s">
        <v>651</v>
      </c>
      <c r="V175" s="46" t="b">
        <v>1</v>
      </c>
      <c r="W175" s="46">
        <v>0.95</v>
      </c>
      <c r="X175" s="46">
        <v>0.476234999999999</v>
      </c>
      <c r="Y175" s="46" t="s">
        <v>640</v>
      </c>
      <c r="Z175" s="46" t="b">
        <v>0</v>
      </c>
      <c r="AA175" s="46" t="b">
        <v>0</v>
      </c>
    </row>
    <row r="176">
      <c r="A176" s="157" t="s">
        <v>563</v>
      </c>
      <c r="B176" s="158">
        <v>5.0</v>
      </c>
      <c r="C176" s="157" t="s">
        <v>652</v>
      </c>
      <c r="D176" s="157" t="s">
        <v>653</v>
      </c>
      <c r="E176" s="157" t="s">
        <v>654</v>
      </c>
      <c r="F176" s="157" t="s">
        <v>819</v>
      </c>
      <c r="G176" s="157" t="s">
        <v>820</v>
      </c>
      <c r="H176" s="157"/>
      <c r="I176" s="158">
        <v>-2.754611</v>
      </c>
      <c r="J176" s="158">
        <v>53.329105</v>
      </c>
      <c r="K176" s="157" t="s">
        <v>821</v>
      </c>
      <c r="L176" s="157" t="s">
        <v>648</v>
      </c>
      <c r="M176" s="158">
        <v>2019.0</v>
      </c>
      <c r="N176" s="157" t="s">
        <v>116</v>
      </c>
      <c r="O176" s="157" t="s">
        <v>658</v>
      </c>
      <c r="P176" s="161" t="b">
        <v>1</v>
      </c>
      <c r="Q176" s="158">
        <v>0.99</v>
      </c>
      <c r="R176" s="158">
        <v>0.477</v>
      </c>
      <c r="S176" s="158">
        <v>0.513</v>
      </c>
      <c r="T176" s="157" t="s">
        <v>116</v>
      </c>
      <c r="U176" s="46" t="s">
        <v>651</v>
      </c>
      <c r="V176" s="46" t="b">
        <v>1</v>
      </c>
      <c r="W176" s="46">
        <v>0.95</v>
      </c>
      <c r="X176" s="46">
        <v>0.453149999999999</v>
      </c>
      <c r="Y176" s="46">
        <v>9.16665985549794</v>
      </c>
      <c r="Z176" s="46" t="b">
        <v>1</v>
      </c>
      <c r="AA176" s="46" t="b">
        <v>1</v>
      </c>
    </row>
    <row r="177">
      <c r="A177" s="157" t="s">
        <v>554</v>
      </c>
      <c r="B177" s="158">
        <v>5.0</v>
      </c>
      <c r="C177" s="157" t="s">
        <v>652</v>
      </c>
      <c r="D177" s="157" t="s">
        <v>653</v>
      </c>
      <c r="E177" s="157" t="s">
        <v>654</v>
      </c>
      <c r="F177" s="157" t="s">
        <v>822</v>
      </c>
      <c r="G177" s="157" t="s">
        <v>823</v>
      </c>
      <c r="H177" s="157"/>
      <c r="I177" s="158">
        <v>18.06066</v>
      </c>
      <c r="J177" s="158">
        <v>59.25761</v>
      </c>
      <c r="K177" s="157" t="s">
        <v>740</v>
      </c>
      <c r="L177" s="157" t="s">
        <v>648</v>
      </c>
      <c r="M177" s="158">
        <v>2022.0</v>
      </c>
      <c r="N177" s="157" t="s">
        <v>116</v>
      </c>
      <c r="O177" s="157" t="s">
        <v>658</v>
      </c>
      <c r="P177" s="161" t="b">
        <v>1</v>
      </c>
      <c r="Q177" s="158">
        <v>0.795</v>
      </c>
      <c r="R177" s="158">
        <v>0.47</v>
      </c>
      <c r="S177" s="158">
        <v>0.325</v>
      </c>
      <c r="T177" s="157" t="s">
        <v>116</v>
      </c>
      <c r="U177" s="46" t="s">
        <v>651</v>
      </c>
      <c r="V177" s="46" t="b">
        <v>1</v>
      </c>
      <c r="W177" s="46">
        <v>0.95</v>
      </c>
      <c r="X177" s="46">
        <v>0.446499999999999</v>
      </c>
      <c r="Y177" s="46" t="s">
        <v>640</v>
      </c>
      <c r="Z177" s="46" t="b">
        <v>0</v>
      </c>
      <c r="AA177" s="46" t="b">
        <v>0</v>
      </c>
    </row>
    <row r="178">
      <c r="A178" s="157" t="s">
        <v>556</v>
      </c>
      <c r="B178" s="158">
        <v>6.0</v>
      </c>
      <c r="C178" s="157" t="s">
        <v>659</v>
      </c>
      <c r="D178" s="157" t="s">
        <v>660</v>
      </c>
      <c r="E178" s="157" t="s">
        <v>661</v>
      </c>
      <c r="F178" s="157" t="s">
        <v>824</v>
      </c>
      <c r="G178" s="157" t="s">
        <v>825</v>
      </c>
      <c r="H178" s="157"/>
      <c r="I178" s="158">
        <v>-0.82634</v>
      </c>
      <c r="J178" s="158">
        <v>43.8314</v>
      </c>
      <c r="K178" s="157" t="s">
        <v>826</v>
      </c>
      <c r="L178" s="157" t="s">
        <v>648</v>
      </c>
      <c r="M178" s="158">
        <v>2022.0</v>
      </c>
      <c r="N178" s="157" t="s">
        <v>123</v>
      </c>
      <c r="O178" s="157" t="s">
        <v>665</v>
      </c>
      <c r="P178" s="161" t="b">
        <v>1</v>
      </c>
      <c r="Q178" s="158">
        <v>0.489</v>
      </c>
      <c r="R178" s="158">
        <v>0.458091473</v>
      </c>
      <c r="S178" s="158">
        <v>0.030908527</v>
      </c>
      <c r="T178" s="157" t="s">
        <v>123</v>
      </c>
      <c r="U178" s="46" t="s">
        <v>651</v>
      </c>
      <c r="V178" s="46" t="b">
        <v>1</v>
      </c>
      <c r="W178" s="46">
        <v>0.95</v>
      </c>
      <c r="X178" s="46">
        <v>0.43518689935</v>
      </c>
      <c r="Y178" s="46">
        <v>4.82657712354335</v>
      </c>
      <c r="Z178" s="46" t="b">
        <v>1</v>
      </c>
      <c r="AA178" s="46" t="b">
        <v>1</v>
      </c>
    </row>
    <row r="179">
      <c r="A179" s="157" t="s">
        <v>555</v>
      </c>
      <c r="B179" s="158">
        <v>1.0</v>
      </c>
      <c r="C179" s="157" t="s">
        <v>642</v>
      </c>
      <c r="D179" s="157" t="s">
        <v>643</v>
      </c>
      <c r="E179" s="157" t="s">
        <v>644</v>
      </c>
      <c r="F179" s="162" t="s">
        <v>827</v>
      </c>
      <c r="G179" s="157" t="s">
        <v>828</v>
      </c>
      <c r="H179" s="157"/>
      <c r="I179" s="158">
        <v>25.51528</v>
      </c>
      <c r="J179" s="158">
        <v>65.03573</v>
      </c>
      <c r="K179" s="157" t="s">
        <v>721</v>
      </c>
      <c r="L179" s="157" t="s">
        <v>648</v>
      </c>
      <c r="M179" s="158">
        <v>2022.0</v>
      </c>
      <c r="N179" s="157" t="s">
        <v>649</v>
      </c>
      <c r="O179" s="157" t="s">
        <v>650</v>
      </c>
      <c r="P179" s="161" t="b">
        <v>0</v>
      </c>
      <c r="Q179" s="158">
        <v>0.515</v>
      </c>
      <c r="R179" s="158">
        <v>0.4407</v>
      </c>
      <c r="S179" s="158">
        <v>0.0743</v>
      </c>
      <c r="T179" s="157" t="s">
        <v>117</v>
      </c>
      <c r="U179" s="46" t="s">
        <v>651</v>
      </c>
      <c r="V179" s="46" t="b">
        <v>1</v>
      </c>
      <c r="W179" s="46">
        <v>0.95</v>
      </c>
      <c r="X179" s="46">
        <v>0.418664999999999</v>
      </c>
      <c r="Y179" s="46" t="s">
        <v>640</v>
      </c>
      <c r="Z179" s="46" t="b">
        <v>0</v>
      </c>
      <c r="AA179" s="46" t="b">
        <v>0</v>
      </c>
    </row>
    <row r="180">
      <c r="A180" s="157" t="s">
        <v>565</v>
      </c>
      <c r="B180" s="158">
        <v>1.0</v>
      </c>
      <c r="C180" s="157" t="s">
        <v>642</v>
      </c>
      <c r="D180" s="157" t="s">
        <v>643</v>
      </c>
      <c r="E180" s="157" t="s">
        <v>644</v>
      </c>
      <c r="F180" s="157" t="s">
        <v>829</v>
      </c>
      <c r="G180" s="157" t="s">
        <v>830</v>
      </c>
      <c r="H180" s="157"/>
      <c r="I180" s="158">
        <v>17.11971389</v>
      </c>
      <c r="J180" s="158">
        <v>48.84695833</v>
      </c>
      <c r="K180" s="157" t="s">
        <v>831</v>
      </c>
      <c r="L180" s="157" t="s">
        <v>648</v>
      </c>
      <c r="M180" s="158">
        <v>2020.0</v>
      </c>
      <c r="N180" s="157" t="s">
        <v>649</v>
      </c>
      <c r="O180" s="157" t="s">
        <v>650</v>
      </c>
      <c r="P180" s="161" t="b">
        <v>0</v>
      </c>
      <c r="Q180" s="158">
        <v>0.47224608</v>
      </c>
      <c r="R180" s="158">
        <v>0.435378314</v>
      </c>
      <c r="S180" s="158">
        <v>0.036867766</v>
      </c>
      <c r="T180" s="157" t="s">
        <v>117</v>
      </c>
      <c r="U180" s="46" t="s">
        <v>651</v>
      </c>
      <c r="V180" s="46" t="b">
        <v>1</v>
      </c>
      <c r="W180" s="46">
        <v>0.95</v>
      </c>
      <c r="X180" s="46">
        <v>0.4136093983</v>
      </c>
      <c r="Y180" s="46" t="s">
        <v>640</v>
      </c>
      <c r="Z180" s="46" t="b">
        <v>0</v>
      </c>
      <c r="AA180" s="46" t="b">
        <v>0</v>
      </c>
    </row>
    <row r="181">
      <c r="A181" s="157" t="s">
        <v>554</v>
      </c>
      <c r="B181" s="158">
        <v>6.0</v>
      </c>
      <c r="C181" s="157" t="s">
        <v>659</v>
      </c>
      <c r="D181" s="157" t="s">
        <v>660</v>
      </c>
      <c r="E181" s="157" t="s">
        <v>661</v>
      </c>
      <c r="F181" s="157" t="s">
        <v>832</v>
      </c>
      <c r="G181" s="157" t="s">
        <v>833</v>
      </c>
      <c r="H181" s="157"/>
      <c r="I181" s="158">
        <v>18.69583</v>
      </c>
      <c r="J181" s="158">
        <v>63.26929</v>
      </c>
      <c r="K181" s="157" t="s">
        <v>834</v>
      </c>
      <c r="L181" s="157" t="s">
        <v>648</v>
      </c>
      <c r="M181" s="158">
        <v>2022.0</v>
      </c>
      <c r="N181" s="157" t="s">
        <v>123</v>
      </c>
      <c r="O181" s="157" t="s">
        <v>665</v>
      </c>
      <c r="P181" s="161" t="b">
        <v>1</v>
      </c>
      <c r="Q181" s="158">
        <v>0.433</v>
      </c>
      <c r="R181" s="158">
        <v>0.43047</v>
      </c>
      <c r="S181" s="158">
        <v>0.00253</v>
      </c>
      <c r="T181" s="157" t="s">
        <v>123</v>
      </c>
      <c r="U181" s="46" t="s">
        <v>651</v>
      </c>
      <c r="V181" s="46" t="b">
        <v>1</v>
      </c>
      <c r="W181" s="46">
        <v>0.95</v>
      </c>
      <c r="X181" s="46">
        <v>0.4089465</v>
      </c>
      <c r="Y181" s="46" t="s">
        <v>640</v>
      </c>
      <c r="Z181" s="46" t="b">
        <v>0</v>
      </c>
      <c r="AA181" s="46" t="b">
        <v>0</v>
      </c>
    </row>
    <row r="182">
      <c r="A182" s="157" t="s">
        <v>556</v>
      </c>
      <c r="B182" s="158">
        <v>6.0</v>
      </c>
      <c r="C182" s="157" t="s">
        <v>659</v>
      </c>
      <c r="D182" s="157" t="s">
        <v>660</v>
      </c>
      <c r="E182" s="157" t="s">
        <v>661</v>
      </c>
      <c r="F182" s="157" t="s">
        <v>835</v>
      </c>
      <c r="G182" s="157" t="s">
        <v>836</v>
      </c>
      <c r="H182" s="157"/>
      <c r="I182" s="158">
        <v>4.66201</v>
      </c>
      <c r="J182" s="158">
        <v>43.7932</v>
      </c>
      <c r="K182" s="157" t="s">
        <v>837</v>
      </c>
      <c r="L182" s="157" t="s">
        <v>648</v>
      </c>
      <c r="M182" s="158">
        <v>2022.0</v>
      </c>
      <c r="N182" s="157" t="s">
        <v>123</v>
      </c>
      <c r="O182" s="157" t="s">
        <v>665</v>
      </c>
      <c r="P182" s="161" t="b">
        <v>1</v>
      </c>
      <c r="Q182" s="158">
        <v>0.457</v>
      </c>
      <c r="R182" s="158">
        <v>0.428114117</v>
      </c>
      <c r="S182" s="158">
        <v>0.028885883</v>
      </c>
      <c r="T182" s="157" t="s">
        <v>123</v>
      </c>
      <c r="U182" s="46" t="s">
        <v>651</v>
      </c>
      <c r="V182" s="46" t="b">
        <v>1</v>
      </c>
      <c r="W182" s="46">
        <v>0.95</v>
      </c>
      <c r="X182" s="46">
        <v>0.40670841115</v>
      </c>
      <c r="Y182" s="46">
        <v>6.20150740237226</v>
      </c>
      <c r="Z182" s="46" t="b">
        <v>1</v>
      </c>
      <c r="AA182" s="46" t="b">
        <v>1</v>
      </c>
    </row>
    <row r="183">
      <c r="A183" s="157" t="s">
        <v>572</v>
      </c>
      <c r="B183" s="158">
        <v>1.0</v>
      </c>
      <c r="C183" s="157" t="s">
        <v>642</v>
      </c>
      <c r="D183" s="157" t="s">
        <v>643</v>
      </c>
      <c r="E183" s="157" t="s">
        <v>644</v>
      </c>
      <c r="F183" s="157" t="s">
        <v>838</v>
      </c>
      <c r="G183" s="157" t="s">
        <v>839</v>
      </c>
      <c r="H183" s="157"/>
      <c r="I183" s="158">
        <v>21.92941</v>
      </c>
      <c r="J183" s="158">
        <v>40.3921</v>
      </c>
      <c r="K183" s="157" t="s">
        <v>840</v>
      </c>
      <c r="L183" s="157" t="s">
        <v>648</v>
      </c>
      <c r="M183" s="158">
        <v>2022.0</v>
      </c>
      <c r="N183" s="157" t="s">
        <v>649</v>
      </c>
      <c r="O183" s="157" t="s">
        <v>650</v>
      </c>
      <c r="P183" s="161" t="b">
        <v>0</v>
      </c>
      <c r="Q183" s="158">
        <v>5.87</v>
      </c>
      <c r="R183" s="158">
        <v>0.425729951</v>
      </c>
      <c r="S183" s="158">
        <v>5.444270049</v>
      </c>
      <c r="T183" s="157" t="s">
        <v>594</v>
      </c>
      <c r="U183" s="46" t="s">
        <v>651</v>
      </c>
      <c r="V183" s="46" t="b">
        <v>1</v>
      </c>
      <c r="W183" s="46">
        <v>0.95</v>
      </c>
      <c r="X183" s="46">
        <v>0.40444345345</v>
      </c>
      <c r="Y183" s="46" t="s">
        <v>640</v>
      </c>
      <c r="Z183" s="46" t="b">
        <v>0</v>
      </c>
      <c r="AA183" s="46" t="b">
        <v>0</v>
      </c>
    </row>
    <row r="184">
      <c r="A184" s="157" t="s">
        <v>554</v>
      </c>
      <c r="B184" s="158">
        <v>6.0</v>
      </c>
      <c r="C184" s="157" t="s">
        <v>659</v>
      </c>
      <c r="D184" s="157" t="s">
        <v>660</v>
      </c>
      <c r="E184" s="157" t="s">
        <v>661</v>
      </c>
      <c r="F184" s="157" t="s">
        <v>841</v>
      </c>
      <c r="G184" s="157" t="s">
        <v>842</v>
      </c>
      <c r="H184" s="157"/>
      <c r="I184" s="158">
        <v>14.80669</v>
      </c>
      <c r="J184" s="158">
        <v>58.75529</v>
      </c>
      <c r="K184" s="157" t="s">
        <v>843</v>
      </c>
      <c r="L184" s="157" t="s">
        <v>648</v>
      </c>
      <c r="M184" s="158">
        <v>2022.0</v>
      </c>
      <c r="N184" s="157" t="s">
        <v>123</v>
      </c>
      <c r="O184" s="157" t="s">
        <v>665</v>
      </c>
      <c r="P184" s="161" t="b">
        <v>1</v>
      </c>
      <c r="Q184" s="158">
        <v>0.406</v>
      </c>
      <c r="R184" s="158">
        <v>0.394</v>
      </c>
      <c r="S184" s="158">
        <v>0.012</v>
      </c>
      <c r="T184" s="157" t="s">
        <v>123</v>
      </c>
      <c r="U184" s="46" t="s">
        <v>651</v>
      </c>
      <c r="V184" s="46" t="b">
        <v>1</v>
      </c>
      <c r="W184" s="46">
        <v>0.95</v>
      </c>
      <c r="X184" s="46">
        <v>0.3743</v>
      </c>
      <c r="Y184" s="46" t="s">
        <v>640</v>
      </c>
      <c r="Z184" s="46" t="b">
        <v>0</v>
      </c>
      <c r="AA184" s="46" t="b">
        <v>0</v>
      </c>
    </row>
    <row r="185">
      <c r="A185" s="157" t="s">
        <v>559</v>
      </c>
      <c r="B185" s="158">
        <v>1.0</v>
      </c>
      <c r="C185" s="157" t="s">
        <v>642</v>
      </c>
      <c r="D185" s="157" t="s">
        <v>643</v>
      </c>
      <c r="E185" s="157" t="s">
        <v>644</v>
      </c>
      <c r="F185" s="157" t="s">
        <v>844</v>
      </c>
      <c r="G185" s="157" t="s">
        <v>845</v>
      </c>
      <c r="H185" s="157"/>
      <c r="I185" s="158">
        <v>11.7586</v>
      </c>
      <c r="J185" s="158">
        <v>42.1275</v>
      </c>
      <c r="K185" s="157" t="s">
        <v>846</v>
      </c>
      <c r="L185" s="157" t="s">
        <v>648</v>
      </c>
      <c r="M185" s="158">
        <v>2022.0</v>
      </c>
      <c r="N185" s="157" t="s">
        <v>649</v>
      </c>
      <c r="O185" s="157" t="s">
        <v>650</v>
      </c>
      <c r="P185" s="161" t="b">
        <v>0</v>
      </c>
      <c r="Q185" s="158">
        <v>5.379086</v>
      </c>
      <c r="R185" s="158">
        <v>0.390125727</v>
      </c>
      <c r="S185" s="158">
        <v>4.988960273</v>
      </c>
      <c r="T185" s="157" t="s">
        <v>594</v>
      </c>
      <c r="U185" s="46" t="s">
        <v>651</v>
      </c>
      <c r="V185" s="46" t="b">
        <v>1</v>
      </c>
      <c r="W185" s="46">
        <v>0.95</v>
      </c>
      <c r="X185" s="46">
        <v>0.370619440649999</v>
      </c>
      <c r="Y185" s="46" t="s">
        <v>640</v>
      </c>
      <c r="Z185" s="46" t="b">
        <v>0</v>
      </c>
      <c r="AA185" s="46" t="b">
        <v>0</v>
      </c>
    </row>
    <row r="186">
      <c r="A186" s="157" t="s">
        <v>560</v>
      </c>
      <c r="B186" s="158">
        <v>6.0</v>
      </c>
      <c r="C186" s="157" t="s">
        <v>659</v>
      </c>
      <c r="D186" s="157" t="s">
        <v>717</v>
      </c>
      <c r="E186" s="157" t="s">
        <v>718</v>
      </c>
      <c r="F186" s="157" t="s">
        <v>847</v>
      </c>
      <c r="G186" s="157" t="s">
        <v>848</v>
      </c>
      <c r="H186" s="157"/>
      <c r="I186" s="158">
        <v>14.86525</v>
      </c>
      <c r="J186" s="158">
        <v>46.862222</v>
      </c>
      <c r="K186" s="157" t="s">
        <v>849</v>
      </c>
      <c r="L186" s="157" t="s">
        <v>648</v>
      </c>
      <c r="M186" s="158">
        <v>2022.0</v>
      </c>
      <c r="N186" s="157" t="s">
        <v>123</v>
      </c>
      <c r="O186" s="157" t="s">
        <v>722</v>
      </c>
      <c r="P186" s="161" t="b">
        <v>1</v>
      </c>
      <c r="Q186" s="158">
        <v>0.895</v>
      </c>
      <c r="R186" s="158">
        <v>0.387262965</v>
      </c>
      <c r="S186" s="158">
        <v>0.507737035</v>
      </c>
      <c r="T186" s="157" t="s">
        <v>123</v>
      </c>
      <c r="U186" s="46" t="s">
        <v>651</v>
      </c>
      <c r="V186" s="46" t="b">
        <v>1</v>
      </c>
      <c r="W186" s="46">
        <v>0.95</v>
      </c>
      <c r="X186" s="46">
        <v>0.36789981675</v>
      </c>
      <c r="Y186" s="46" t="s">
        <v>640</v>
      </c>
      <c r="Z186" s="46" t="b">
        <v>0</v>
      </c>
      <c r="AA186" s="46" t="b">
        <v>0</v>
      </c>
    </row>
    <row r="187">
      <c r="A187" s="157" t="s">
        <v>554</v>
      </c>
      <c r="B187" s="158">
        <v>1.0</v>
      </c>
      <c r="C187" s="157" t="s">
        <v>642</v>
      </c>
      <c r="D187" s="157" t="s">
        <v>643</v>
      </c>
      <c r="E187" s="157" t="s">
        <v>644</v>
      </c>
      <c r="F187" s="157" t="s">
        <v>850</v>
      </c>
      <c r="G187" s="157" t="s">
        <v>851</v>
      </c>
      <c r="H187" s="157"/>
      <c r="I187" s="158">
        <v>15.1783</v>
      </c>
      <c r="J187" s="158">
        <v>59.26523</v>
      </c>
      <c r="K187" s="157" t="s">
        <v>852</v>
      </c>
      <c r="L187" s="157" t="s">
        <v>648</v>
      </c>
      <c r="M187" s="158">
        <v>2022.0</v>
      </c>
      <c r="N187" s="157" t="s">
        <v>649</v>
      </c>
      <c r="O187" s="157" t="s">
        <v>650</v>
      </c>
      <c r="P187" s="161" t="b">
        <v>0</v>
      </c>
      <c r="Q187" s="158">
        <v>0.433</v>
      </c>
      <c r="R187" s="158">
        <v>0.3868</v>
      </c>
      <c r="S187" s="158">
        <v>0.0462</v>
      </c>
      <c r="T187" s="157" t="s">
        <v>117</v>
      </c>
      <c r="U187" s="46" t="s">
        <v>651</v>
      </c>
      <c r="V187" s="46" t="b">
        <v>1</v>
      </c>
      <c r="W187" s="46">
        <v>0.95</v>
      </c>
      <c r="X187" s="46">
        <v>0.367459999999999</v>
      </c>
      <c r="Y187" s="46" t="s">
        <v>640</v>
      </c>
      <c r="Z187" s="46" t="b">
        <v>0</v>
      </c>
      <c r="AA187" s="46" t="b">
        <v>0</v>
      </c>
    </row>
    <row r="188">
      <c r="A188" s="157" t="s">
        <v>562</v>
      </c>
      <c r="B188" s="158">
        <v>1.0</v>
      </c>
      <c r="C188" s="157" t="s">
        <v>642</v>
      </c>
      <c r="D188" s="157" t="s">
        <v>643</v>
      </c>
      <c r="E188" s="157" t="s">
        <v>644</v>
      </c>
      <c r="F188" s="162" t="s">
        <v>853</v>
      </c>
      <c r="G188" s="157" t="s">
        <v>854</v>
      </c>
      <c r="H188" s="157"/>
      <c r="I188" s="158">
        <v>3.81295</v>
      </c>
      <c r="J188" s="158">
        <v>51.15711</v>
      </c>
      <c r="K188" s="157" t="s">
        <v>855</v>
      </c>
      <c r="L188" s="157" t="s">
        <v>648</v>
      </c>
      <c r="M188" s="158">
        <v>2022.0</v>
      </c>
      <c r="N188" s="157" t="s">
        <v>649</v>
      </c>
      <c r="O188" s="157" t="s">
        <v>650</v>
      </c>
      <c r="P188" s="161" t="b">
        <v>0</v>
      </c>
      <c r="Q188" s="158">
        <v>4.96</v>
      </c>
      <c r="R188" s="158">
        <v>0.35973093</v>
      </c>
      <c r="S188" s="158">
        <v>4.60026907</v>
      </c>
      <c r="T188" s="157" t="s">
        <v>594</v>
      </c>
      <c r="U188" s="46" t="s">
        <v>651</v>
      </c>
      <c r="V188" s="46" t="b">
        <v>1</v>
      </c>
      <c r="W188" s="46">
        <v>0.95</v>
      </c>
      <c r="X188" s="46">
        <v>0.341744383499999</v>
      </c>
      <c r="Y188" s="46">
        <v>5.51373005387472</v>
      </c>
      <c r="Z188" s="46" t="b">
        <v>1</v>
      </c>
      <c r="AA188" s="46" t="b">
        <v>1</v>
      </c>
    </row>
    <row r="189">
      <c r="A189" s="157" t="s">
        <v>565</v>
      </c>
      <c r="B189" s="158">
        <v>1.0</v>
      </c>
      <c r="C189" s="157" t="s">
        <v>642</v>
      </c>
      <c r="D189" s="157" t="s">
        <v>643</v>
      </c>
      <c r="E189" s="157" t="s">
        <v>644</v>
      </c>
      <c r="F189" s="157" t="s">
        <v>856</v>
      </c>
      <c r="G189" s="157" t="s">
        <v>857</v>
      </c>
      <c r="H189" s="157"/>
      <c r="I189" s="158">
        <v>15.96342778</v>
      </c>
      <c r="J189" s="158">
        <v>50.57239722</v>
      </c>
      <c r="K189" s="157" t="s">
        <v>858</v>
      </c>
      <c r="L189" s="157" t="s">
        <v>648</v>
      </c>
      <c r="M189" s="158">
        <v>2020.0</v>
      </c>
      <c r="N189" s="157" t="s">
        <v>649</v>
      </c>
      <c r="O189" s="157" t="s">
        <v>650</v>
      </c>
      <c r="P189" s="161" t="b">
        <v>0</v>
      </c>
      <c r="Q189" s="158">
        <v>0.695100772</v>
      </c>
      <c r="R189" s="158">
        <v>0.356969588</v>
      </c>
      <c r="S189" s="158">
        <v>0.338131184</v>
      </c>
      <c r="T189" s="157" t="s">
        <v>117</v>
      </c>
      <c r="U189" s="46" t="s">
        <v>651</v>
      </c>
      <c r="V189" s="46" t="b">
        <v>1</v>
      </c>
      <c r="W189" s="46">
        <v>0.95</v>
      </c>
      <c r="X189" s="46">
        <v>0.3391211086</v>
      </c>
      <c r="Y189" s="46">
        <v>155.564158044555</v>
      </c>
      <c r="Z189" s="46" t="b">
        <v>0</v>
      </c>
      <c r="AA189" s="46" t="b">
        <v>0</v>
      </c>
    </row>
    <row r="190">
      <c r="A190" s="157" t="s">
        <v>560</v>
      </c>
      <c r="B190" s="158">
        <v>6.0</v>
      </c>
      <c r="C190" s="157" t="s">
        <v>659</v>
      </c>
      <c r="D190" s="157" t="s">
        <v>660</v>
      </c>
      <c r="E190" s="157" t="s">
        <v>661</v>
      </c>
      <c r="F190" s="157" t="s">
        <v>859</v>
      </c>
      <c r="G190" s="157" t="s">
        <v>860</v>
      </c>
      <c r="H190" s="157"/>
      <c r="I190" s="158">
        <v>13.108722</v>
      </c>
      <c r="J190" s="158">
        <v>47.67575</v>
      </c>
      <c r="K190" s="157" t="s">
        <v>861</v>
      </c>
      <c r="L190" s="157" t="s">
        <v>648</v>
      </c>
      <c r="M190" s="158">
        <v>2022.0</v>
      </c>
      <c r="N190" s="157" t="s">
        <v>123</v>
      </c>
      <c r="O190" s="157" t="s">
        <v>665</v>
      </c>
      <c r="P190" s="161" t="b">
        <v>1</v>
      </c>
      <c r="Q190" s="158">
        <v>0.381</v>
      </c>
      <c r="R190" s="158">
        <v>0.356917896</v>
      </c>
      <c r="S190" s="158">
        <v>0.024082104</v>
      </c>
      <c r="T190" s="157" t="s">
        <v>123</v>
      </c>
      <c r="U190" s="46" t="s">
        <v>651</v>
      </c>
      <c r="V190" s="46" t="b">
        <v>1</v>
      </c>
      <c r="W190" s="46">
        <v>0.95</v>
      </c>
      <c r="X190" s="46">
        <v>0.3390720012</v>
      </c>
      <c r="Y190" s="46">
        <v>47.0164119883652</v>
      </c>
      <c r="Z190" s="46" t="b">
        <v>1</v>
      </c>
      <c r="AA190" s="46" t="b">
        <v>1</v>
      </c>
    </row>
    <row r="191">
      <c r="A191" s="157" t="s">
        <v>556</v>
      </c>
      <c r="B191" s="158">
        <v>6.0</v>
      </c>
      <c r="C191" s="157" t="s">
        <v>659</v>
      </c>
      <c r="D191" s="157" t="s">
        <v>717</v>
      </c>
      <c r="E191" s="157" t="s">
        <v>718</v>
      </c>
      <c r="F191" s="157" t="s">
        <v>862</v>
      </c>
      <c r="G191" s="157" t="s">
        <v>863</v>
      </c>
      <c r="H191" s="157"/>
      <c r="I191" s="158">
        <v>0.81611</v>
      </c>
      <c r="J191" s="158">
        <v>45.87558</v>
      </c>
      <c r="K191" s="157" t="s">
        <v>864</v>
      </c>
      <c r="L191" s="157" t="s">
        <v>648</v>
      </c>
      <c r="M191" s="158">
        <v>2022.0</v>
      </c>
      <c r="N191" s="157" t="s">
        <v>123</v>
      </c>
      <c r="O191" s="157" t="s">
        <v>722</v>
      </c>
      <c r="P191" s="161" t="b">
        <v>1</v>
      </c>
      <c r="Q191" s="158">
        <v>0.821</v>
      </c>
      <c r="R191" s="158">
        <v>0.355243457</v>
      </c>
      <c r="S191" s="158">
        <v>0.465756543</v>
      </c>
      <c r="T191" s="157" t="s">
        <v>123</v>
      </c>
      <c r="U191" s="46" t="s">
        <v>651</v>
      </c>
      <c r="V191" s="46" t="b">
        <v>1</v>
      </c>
      <c r="W191" s="46">
        <v>0.95</v>
      </c>
      <c r="X191" s="46">
        <v>0.337481284149999</v>
      </c>
      <c r="Y191" s="46">
        <v>127.250923719444</v>
      </c>
      <c r="Z191" s="46" t="b">
        <v>0</v>
      </c>
      <c r="AA191" s="46" t="b">
        <v>0</v>
      </c>
    </row>
    <row r="192">
      <c r="A192" s="157" t="s">
        <v>554</v>
      </c>
      <c r="B192" s="158">
        <v>5.0</v>
      </c>
      <c r="C192" s="157" t="s">
        <v>652</v>
      </c>
      <c r="D192" s="157" t="s">
        <v>653</v>
      </c>
      <c r="E192" s="157" t="s">
        <v>654</v>
      </c>
      <c r="F192" s="157" t="s">
        <v>865</v>
      </c>
      <c r="G192" s="157" t="s">
        <v>866</v>
      </c>
      <c r="H192" s="157"/>
      <c r="I192" s="158">
        <v>16.23333</v>
      </c>
      <c r="J192" s="158">
        <v>58.61956</v>
      </c>
      <c r="K192" s="157" t="s">
        <v>867</v>
      </c>
      <c r="L192" s="157" t="s">
        <v>648</v>
      </c>
      <c r="M192" s="158">
        <v>2022.0</v>
      </c>
      <c r="N192" s="157" t="s">
        <v>116</v>
      </c>
      <c r="O192" s="157" t="s">
        <v>658</v>
      </c>
      <c r="P192" s="161" t="b">
        <v>1</v>
      </c>
      <c r="Q192" s="158">
        <v>0.611</v>
      </c>
      <c r="R192" s="158">
        <v>0.355</v>
      </c>
      <c r="S192" s="158">
        <v>0.256</v>
      </c>
      <c r="T192" s="157" t="s">
        <v>116</v>
      </c>
      <c r="U192" s="46" t="s">
        <v>651</v>
      </c>
      <c r="V192" s="46" t="b">
        <v>1</v>
      </c>
      <c r="W192" s="46">
        <v>0.95</v>
      </c>
      <c r="X192" s="46">
        <v>0.33725</v>
      </c>
      <c r="Y192" s="46" t="s">
        <v>640</v>
      </c>
      <c r="Z192" s="46" t="b">
        <v>0</v>
      </c>
      <c r="AA192" s="46" t="b">
        <v>0</v>
      </c>
    </row>
    <row r="193">
      <c r="A193" s="157" t="s">
        <v>559</v>
      </c>
      <c r="B193" s="158">
        <v>5.0</v>
      </c>
      <c r="C193" s="157" t="s">
        <v>652</v>
      </c>
      <c r="D193" s="157" t="s">
        <v>653</v>
      </c>
      <c r="E193" s="157" t="s">
        <v>654</v>
      </c>
      <c r="F193" s="157" t="s">
        <v>868</v>
      </c>
      <c r="G193" s="157" t="s">
        <v>869</v>
      </c>
      <c r="H193" s="157"/>
      <c r="I193" s="158">
        <v>7.5856</v>
      </c>
      <c r="J193" s="158">
        <v>45.0381</v>
      </c>
      <c r="K193" s="157" t="s">
        <v>870</v>
      </c>
      <c r="L193" s="157" t="s">
        <v>648</v>
      </c>
      <c r="M193" s="158">
        <v>2022.0</v>
      </c>
      <c r="N193" s="157" t="s">
        <v>116</v>
      </c>
      <c r="O193" s="157" t="s">
        <v>658</v>
      </c>
      <c r="P193" s="161" t="b">
        <v>1</v>
      </c>
      <c r="Q193" s="158">
        <v>0.641075236</v>
      </c>
      <c r="R193" s="158">
        <v>0.35259138</v>
      </c>
      <c r="S193" s="158">
        <v>0.288483856</v>
      </c>
      <c r="T193" s="157" t="s">
        <v>116</v>
      </c>
      <c r="U193" s="46" t="s">
        <v>651</v>
      </c>
      <c r="V193" s="46" t="b">
        <v>1</v>
      </c>
      <c r="W193" s="46">
        <v>0.95</v>
      </c>
      <c r="X193" s="46">
        <v>0.334961811</v>
      </c>
      <c r="Y193" s="46">
        <v>101.784489639214</v>
      </c>
      <c r="Z193" s="46" t="b">
        <v>0</v>
      </c>
      <c r="AA193" s="46" t="b">
        <v>0</v>
      </c>
    </row>
    <row r="194">
      <c r="A194" s="157" t="s">
        <v>554</v>
      </c>
      <c r="B194" s="158">
        <v>1.0</v>
      </c>
      <c r="C194" s="157" t="s">
        <v>642</v>
      </c>
      <c r="D194" s="157" t="s">
        <v>643</v>
      </c>
      <c r="E194" s="157" t="s">
        <v>644</v>
      </c>
      <c r="F194" s="157" t="s">
        <v>871</v>
      </c>
      <c r="G194" s="157" t="s">
        <v>872</v>
      </c>
      <c r="H194" s="157"/>
      <c r="I194" s="158">
        <v>17.86174</v>
      </c>
      <c r="J194" s="158">
        <v>59.60967</v>
      </c>
      <c r="K194" s="157" t="s">
        <v>873</v>
      </c>
      <c r="L194" s="157" t="s">
        <v>648</v>
      </c>
      <c r="M194" s="158">
        <v>2022.0</v>
      </c>
      <c r="N194" s="157" t="s">
        <v>649</v>
      </c>
      <c r="O194" s="157" t="s">
        <v>650</v>
      </c>
      <c r="P194" s="161" t="b">
        <v>0</v>
      </c>
      <c r="Q194" s="158">
        <v>0.418</v>
      </c>
      <c r="R194" s="158">
        <v>0.3253</v>
      </c>
      <c r="S194" s="158">
        <v>0.0927</v>
      </c>
      <c r="T194" s="157" t="s">
        <v>117</v>
      </c>
      <c r="U194" s="46" t="s">
        <v>651</v>
      </c>
      <c r="V194" s="46" t="b">
        <v>1</v>
      </c>
      <c r="W194" s="46">
        <v>0.95</v>
      </c>
      <c r="X194" s="46">
        <v>0.309034999999999</v>
      </c>
      <c r="Y194" s="46" t="s">
        <v>640</v>
      </c>
      <c r="Z194" s="46" t="b">
        <v>0</v>
      </c>
      <c r="AA194" s="46" t="b">
        <v>0</v>
      </c>
    </row>
    <row r="195">
      <c r="A195" s="157" t="s">
        <v>554</v>
      </c>
      <c r="B195" s="158">
        <v>5.0</v>
      </c>
      <c r="C195" s="157" t="s">
        <v>652</v>
      </c>
      <c r="D195" s="157" t="s">
        <v>653</v>
      </c>
      <c r="E195" s="157" t="s">
        <v>654</v>
      </c>
      <c r="F195" s="157" t="s">
        <v>874</v>
      </c>
      <c r="G195" s="157" t="s">
        <v>875</v>
      </c>
      <c r="H195" s="157"/>
      <c r="I195" s="158">
        <v>15.65453</v>
      </c>
      <c r="J195" s="158">
        <v>58.43668</v>
      </c>
      <c r="K195" s="157" t="s">
        <v>876</v>
      </c>
      <c r="L195" s="157" t="s">
        <v>648</v>
      </c>
      <c r="M195" s="158">
        <v>2022.0</v>
      </c>
      <c r="N195" s="157" t="s">
        <v>116</v>
      </c>
      <c r="O195" s="157" t="s">
        <v>658</v>
      </c>
      <c r="P195" s="161" t="b">
        <v>1</v>
      </c>
      <c r="Q195" s="158">
        <v>0.599</v>
      </c>
      <c r="R195" s="158">
        <v>0.321</v>
      </c>
      <c r="S195" s="158">
        <v>0.278</v>
      </c>
      <c r="T195" s="157" t="s">
        <v>116</v>
      </c>
      <c r="U195" s="46" t="s">
        <v>651</v>
      </c>
      <c r="V195" s="46" t="b">
        <v>1</v>
      </c>
      <c r="W195" s="46">
        <v>0.95</v>
      </c>
      <c r="X195" s="46">
        <v>0.30495</v>
      </c>
      <c r="Y195" s="46" t="s">
        <v>640</v>
      </c>
      <c r="Z195" s="46" t="b">
        <v>0</v>
      </c>
      <c r="AA195" s="46" t="b">
        <v>0</v>
      </c>
    </row>
    <row r="196">
      <c r="A196" s="157" t="s">
        <v>554</v>
      </c>
      <c r="B196" s="158">
        <v>5.0</v>
      </c>
      <c r="C196" s="157" t="s">
        <v>652</v>
      </c>
      <c r="D196" s="157" t="s">
        <v>653</v>
      </c>
      <c r="E196" s="157" t="s">
        <v>654</v>
      </c>
      <c r="F196" s="157" t="s">
        <v>877</v>
      </c>
      <c r="G196" s="157" t="s">
        <v>878</v>
      </c>
      <c r="H196" s="157"/>
      <c r="I196" s="158">
        <v>12.05243</v>
      </c>
      <c r="J196" s="158">
        <v>57.73201</v>
      </c>
      <c r="K196" s="157" t="s">
        <v>879</v>
      </c>
      <c r="L196" s="157" t="s">
        <v>648</v>
      </c>
      <c r="M196" s="158">
        <v>2022.0</v>
      </c>
      <c r="N196" s="157" t="s">
        <v>116</v>
      </c>
      <c r="O196" s="157" t="s">
        <v>658</v>
      </c>
      <c r="P196" s="161" t="b">
        <v>1</v>
      </c>
      <c r="Q196" s="158">
        <v>0.544</v>
      </c>
      <c r="R196" s="158">
        <v>0.321</v>
      </c>
      <c r="S196" s="158">
        <v>0.223</v>
      </c>
      <c r="T196" s="157" t="s">
        <v>116</v>
      </c>
      <c r="U196" s="46" t="s">
        <v>651</v>
      </c>
      <c r="V196" s="46" t="b">
        <v>1</v>
      </c>
      <c r="W196" s="46">
        <v>0.95</v>
      </c>
      <c r="X196" s="46">
        <v>0.30495</v>
      </c>
      <c r="Y196" s="46">
        <v>141.42542459343</v>
      </c>
      <c r="Z196" s="46" t="b">
        <v>0</v>
      </c>
      <c r="AA196" s="46" t="b">
        <v>0</v>
      </c>
    </row>
    <row r="197">
      <c r="A197" s="157" t="s">
        <v>556</v>
      </c>
      <c r="B197" s="158">
        <v>5.0</v>
      </c>
      <c r="C197" s="157" t="s">
        <v>652</v>
      </c>
      <c r="D197" s="157" t="s">
        <v>653</v>
      </c>
      <c r="E197" s="157" t="s">
        <v>654</v>
      </c>
      <c r="F197" s="157" t="s">
        <v>880</v>
      </c>
      <c r="G197" s="157" t="s">
        <v>881</v>
      </c>
      <c r="H197" s="157"/>
      <c r="I197" s="158">
        <v>2.38593</v>
      </c>
      <c r="J197" s="158">
        <v>48.82345</v>
      </c>
      <c r="K197" s="157" t="s">
        <v>882</v>
      </c>
      <c r="L197" s="157" t="s">
        <v>648</v>
      </c>
      <c r="M197" s="158">
        <v>2022.0</v>
      </c>
      <c r="N197" s="157" t="s">
        <v>116</v>
      </c>
      <c r="O197" s="157" t="s">
        <v>658</v>
      </c>
      <c r="P197" s="161" t="b">
        <v>1</v>
      </c>
      <c r="Q197" s="158">
        <v>0.579</v>
      </c>
      <c r="R197" s="158">
        <v>0.31845</v>
      </c>
      <c r="S197" s="158">
        <v>0.26055</v>
      </c>
      <c r="T197" s="157" t="s">
        <v>116</v>
      </c>
      <c r="U197" s="46" t="s">
        <v>651</v>
      </c>
      <c r="V197" s="46" t="b">
        <v>1</v>
      </c>
      <c r="W197" s="46">
        <v>0.95</v>
      </c>
      <c r="X197" s="46">
        <v>0.3025275</v>
      </c>
      <c r="Y197" s="46">
        <v>5.19246687880572</v>
      </c>
      <c r="Z197" s="46" t="b">
        <v>1</v>
      </c>
      <c r="AA197" s="46" t="b">
        <v>1</v>
      </c>
    </row>
    <row r="198">
      <c r="A198" s="157" t="s">
        <v>555</v>
      </c>
      <c r="B198" s="158">
        <v>1.0</v>
      </c>
      <c r="C198" s="157" t="s">
        <v>642</v>
      </c>
      <c r="D198" s="157" t="s">
        <v>643</v>
      </c>
      <c r="E198" s="157" t="s">
        <v>644</v>
      </c>
      <c r="F198" s="162" t="s">
        <v>883</v>
      </c>
      <c r="G198" s="157" t="s">
        <v>884</v>
      </c>
      <c r="H198" s="157"/>
      <c r="I198" s="158">
        <v>21.55255</v>
      </c>
      <c r="J198" s="158">
        <v>61.57752</v>
      </c>
      <c r="K198" s="157" t="s">
        <v>885</v>
      </c>
      <c r="L198" s="157" t="s">
        <v>648</v>
      </c>
      <c r="M198" s="158">
        <v>2022.0</v>
      </c>
      <c r="N198" s="157" t="s">
        <v>649</v>
      </c>
      <c r="O198" s="157" t="s">
        <v>650</v>
      </c>
      <c r="P198" s="161" t="b">
        <v>0</v>
      </c>
      <c r="Q198" s="158">
        <v>0.38</v>
      </c>
      <c r="R198" s="158">
        <v>0.3183</v>
      </c>
      <c r="S198" s="158">
        <v>0.0617</v>
      </c>
      <c r="T198" s="157" t="s">
        <v>117</v>
      </c>
      <c r="U198" s="46" t="s">
        <v>651</v>
      </c>
      <c r="V198" s="46" t="b">
        <v>1</v>
      </c>
      <c r="W198" s="46">
        <v>0.95</v>
      </c>
      <c r="X198" s="46">
        <v>0.302385</v>
      </c>
      <c r="Y198" s="46" t="s">
        <v>640</v>
      </c>
      <c r="Z198" s="46" t="b">
        <v>0</v>
      </c>
      <c r="AA198" s="46" t="b">
        <v>0</v>
      </c>
    </row>
    <row r="199">
      <c r="A199" s="157" t="s">
        <v>557</v>
      </c>
      <c r="B199" s="158">
        <v>5.0</v>
      </c>
      <c r="C199" s="157" t="s">
        <v>652</v>
      </c>
      <c r="D199" s="157" t="s">
        <v>653</v>
      </c>
      <c r="E199" s="157" t="s">
        <v>654</v>
      </c>
      <c r="F199" s="162" t="s">
        <v>886</v>
      </c>
      <c r="G199" s="157" t="s">
        <v>887</v>
      </c>
      <c r="H199" s="157"/>
      <c r="I199" s="158">
        <v>7.00026324822555</v>
      </c>
      <c r="J199" s="158">
        <v>51.5154305113767</v>
      </c>
      <c r="K199" s="157" t="s">
        <v>888</v>
      </c>
      <c r="L199" s="157" t="s">
        <v>648</v>
      </c>
      <c r="M199" s="158">
        <v>2022.0</v>
      </c>
      <c r="N199" s="157" t="s">
        <v>116</v>
      </c>
      <c r="O199" s="157" t="s">
        <v>658</v>
      </c>
      <c r="P199" s="161" t="b">
        <v>1</v>
      </c>
      <c r="Q199" s="158">
        <v>0.646</v>
      </c>
      <c r="R199" s="158">
        <v>0.312</v>
      </c>
      <c r="S199" s="158">
        <v>0.334</v>
      </c>
      <c r="T199" s="157" t="s">
        <v>116</v>
      </c>
      <c r="U199" s="46" t="s">
        <v>651</v>
      </c>
      <c r="V199" s="46" t="b">
        <v>1</v>
      </c>
      <c r="W199" s="46">
        <v>0.95</v>
      </c>
      <c r="X199" s="46">
        <v>0.2964</v>
      </c>
      <c r="Y199" s="46">
        <v>11.2119080860588</v>
      </c>
      <c r="Z199" s="46" t="b">
        <v>1</v>
      </c>
      <c r="AA199" s="46" t="b">
        <v>1</v>
      </c>
    </row>
    <row r="200">
      <c r="A200" s="157" t="s">
        <v>554</v>
      </c>
      <c r="B200" s="158">
        <v>1.0</v>
      </c>
      <c r="C200" s="157" t="s">
        <v>642</v>
      </c>
      <c r="D200" s="157" t="s">
        <v>643</v>
      </c>
      <c r="E200" s="157" t="s">
        <v>644</v>
      </c>
      <c r="F200" s="157" t="s">
        <v>889</v>
      </c>
      <c r="G200" s="157" t="s">
        <v>890</v>
      </c>
      <c r="H200" s="157"/>
      <c r="I200" s="158">
        <v>16.49657</v>
      </c>
      <c r="J200" s="158">
        <v>59.38069</v>
      </c>
      <c r="K200" s="157" t="s">
        <v>891</v>
      </c>
      <c r="L200" s="157" t="s">
        <v>648</v>
      </c>
      <c r="M200" s="158">
        <v>2022.0</v>
      </c>
      <c r="N200" s="157" t="s">
        <v>649</v>
      </c>
      <c r="O200" s="157" t="s">
        <v>650</v>
      </c>
      <c r="P200" s="161" t="b">
        <v>0</v>
      </c>
      <c r="Q200" s="158">
        <v>0.312</v>
      </c>
      <c r="R200" s="158">
        <v>0.3085</v>
      </c>
      <c r="S200" s="158">
        <v>0.0035</v>
      </c>
      <c r="T200" s="157" t="s">
        <v>117</v>
      </c>
      <c r="U200" s="46" t="s">
        <v>651</v>
      </c>
      <c r="V200" s="46" t="b">
        <v>1</v>
      </c>
      <c r="W200" s="46">
        <v>0.95</v>
      </c>
      <c r="X200" s="46">
        <v>0.293075</v>
      </c>
      <c r="Y200" s="46" t="s">
        <v>640</v>
      </c>
      <c r="Z200" s="46" t="b">
        <v>0</v>
      </c>
      <c r="AA200" s="46" t="b">
        <v>0</v>
      </c>
    </row>
    <row r="201">
      <c r="A201" s="157" t="s">
        <v>554</v>
      </c>
      <c r="B201" s="158">
        <v>5.0</v>
      </c>
      <c r="C201" s="157" t="s">
        <v>652</v>
      </c>
      <c r="D201" s="157" t="s">
        <v>653</v>
      </c>
      <c r="E201" s="157" t="s">
        <v>654</v>
      </c>
      <c r="F201" s="157" t="s">
        <v>892</v>
      </c>
      <c r="G201" s="157" t="s">
        <v>893</v>
      </c>
      <c r="H201" s="157"/>
      <c r="I201" s="158">
        <v>13.04528</v>
      </c>
      <c r="J201" s="158">
        <v>55.63196</v>
      </c>
      <c r="K201" s="157" t="s">
        <v>894</v>
      </c>
      <c r="L201" s="157" t="s">
        <v>648</v>
      </c>
      <c r="M201" s="158">
        <v>2022.0</v>
      </c>
      <c r="N201" s="157" t="s">
        <v>116</v>
      </c>
      <c r="O201" s="157" t="s">
        <v>658</v>
      </c>
      <c r="P201" s="161" t="b">
        <v>1</v>
      </c>
      <c r="Q201" s="158">
        <v>0.586</v>
      </c>
      <c r="R201" s="158">
        <v>0.303</v>
      </c>
      <c r="S201" s="158">
        <v>0.283</v>
      </c>
      <c r="T201" s="157" t="s">
        <v>116</v>
      </c>
      <c r="U201" s="46" t="s">
        <v>651</v>
      </c>
      <c r="V201" s="46" t="b">
        <v>1</v>
      </c>
      <c r="W201" s="46">
        <v>0.95</v>
      </c>
      <c r="X201" s="46">
        <v>0.28785</v>
      </c>
      <c r="Y201" s="46">
        <v>30.156780527186</v>
      </c>
      <c r="Z201" s="46" t="b">
        <v>1</v>
      </c>
      <c r="AA201" s="46" t="b">
        <v>1</v>
      </c>
    </row>
    <row r="202">
      <c r="A202" s="157" t="s">
        <v>557</v>
      </c>
      <c r="B202" s="158">
        <v>5.0</v>
      </c>
      <c r="C202" s="157" t="s">
        <v>652</v>
      </c>
      <c r="D202" s="157" t="s">
        <v>895</v>
      </c>
      <c r="E202" s="157" t="s">
        <v>896</v>
      </c>
      <c r="F202" s="162" t="s">
        <v>897</v>
      </c>
      <c r="G202" s="157" t="s">
        <v>898</v>
      </c>
      <c r="H202" s="157"/>
      <c r="I202" s="158">
        <v>8.817039523</v>
      </c>
      <c r="J202" s="158">
        <v>53.1146126302392</v>
      </c>
      <c r="K202" s="157" t="s">
        <v>899</v>
      </c>
      <c r="L202" s="157" t="s">
        <v>648</v>
      </c>
      <c r="M202" s="158">
        <v>2022.0</v>
      </c>
      <c r="N202" s="157" t="s">
        <v>116</v>
      </c>
      <c r="O202" s="157" t="s">
        <v>900</v>
      </c>
      <c r="P202" s="161" t="b">
        <v>1</v>
      </c>
      <c r="Q202" s="158">
        <v>0.505</v>
      </c>
      <c r="R202" s="158">
        <v>0.3</v>
      </c>
      <c r="S202" s="158">
        <v>0.205</v>
      </c>
      <c r="T202" s="157" t="s">
        <v>116</v>
      </c>
      <c r="U202" s="46" t="s">
        <v>651</v>
      </c>
      <c r="V202" s="46" t="b">
        <v>1</v>
      </c>
      <c r="W202" s="46">
        <v>0.95</v>
      </c>
      <c r="X202" s="46">
        <v>0.285</v>
      </c>
      <c r="Y202" s="46">
        <v>5.93954764789357</v>
      </c>
      <c r="Z202" s="46" t="b">
        <v>1</v>
      </c>
      <c r="AA202" s="46" t="b">
        <v>1</v>
      </c>
    </row>
    <row r="203">
      <c r="A203" s="157" t="s">
        <v>557</v>
      </c>
      <c r="B203" s="158">
        <v>5.0</v>
      </c>
      <c r="C203" s="157" t="s">
        <v>652</v>
      </c>
      <c r="D203" s="157" t="s">
        <v>653</v>
      </c>
      <c r="E203" s="157" t="s">
        <v>654</v>
      </c>
      <c r="F203" s="162" t="s">
        <v>901</v>
      </c>
      <c r="G203" s="157" t="s">
        <v>902</v>
      </c>
      <c r="H203" s="157"/>
      <c r="I203" s="158">
        <v>10.0739970315481</v>
      </c>
      <c r="J203" s="158">
        <v>53.53143037</v>
      </c>
      <c r="K203" s="157" t="s">
        <v>903</v>
      </c>
      <c r="L203" s="157" t="s">
        <v>648</v>
      </c>
      <c r="M203" s="158">
        <v>2022.0</v>
      </c>
      <c r="N203" s="157" t="s">
        <v>116</v>
      </c>
      <c r="O203" s="157" t="s">
        <v>658</v>
      </c>
      <c r="P203" s="161" t="b">
        <v>1</v>
      </c>
      <c r="Q203" s="158">
        <v>0.41</v>
      </c>
      <c r="R203" s="158">
        <v>0.295</v>
      </c>
      <c r="S203" s="158">
        <v>0.115</v>
      </c>
      <c r="T203" s="157" t="s">
        <v>116</v>
      </c>
      <c r="U203" s="46" t="s">
        <v>651</v>
      </c>
      <c r="V203" s="46" t="b">
        <v>1</v>
      </c>
      <c r="W203" s="46">
        <v>0.95</v>
      </c>
      <c r="X203" s="46">
        <v>0.28025</v>
      </c>
      <c r="Y203" s="46">
        <v>6.10813465711093</v>
      </c>
      <c r="Z203" s="46" t="b">
        <v>1</v>
      </c>
      <c r="AA203" s="46" t="b">
        <v>1</v>
      </c>
    </row>
    <row r="204">
      <c r="A204" s="157" t="s">
        <v>554</v>
      </c>
      <c r="B204" s="158">
        <v>1.0</v>
      </c>
      <c r="C204" s="157" t="s">
        <v>642</v>
      </c>
      <c r="D204" s="157" t="s">
        <v>643</v>
      </c>
      <c r="E204" s="157" t="s">
        <v>644</v>
      </c>
      <c r="F204" s="157" t="s">
        <v>904</v>
      </c>
      <c r="G204" s="157" t="s">
        <v>905</v>
      </c>
      <c r="H204" s="157"/>
      <c r="I204" s="158">
        <v>13.57206</v>
      </c>
      <c r="J204" s="158">
        <v>59.38647</v>
      </c>
      <c r="K204" s="157" t="s">
        <v>906</v>
      </c>
      <c r="L204" s="157" t="s">
        <v>648</v>
      </c>
      <c r="M204" s="158">
        <v>2022.0</v>
      </c>
      <c r="N204" s="157" t="s">
        <v>649</v>
      </c>
      <c r="O204" s="157" t="s">
        <v>650</v>
      </c>
      <c r="P204" s="161" t="b">
        <v>0</v>
      </c>
      <c r="Q204" s="158">
        <v>0.311</v>
      </c>
      <c r="R204" s="158">
        <v>0.2902</v>
      </c>
      <c r="S204" s="158">
        <v>0.0208</v>
      </c>
      <c r="T204" s="157" t="s">
        <v>117</v>
      </c>
      <c r="U204" s="46" t="s">
        <v>651</v>
      </c>
      <c r="V204" s="46" t="b">
        <v>1</v>
      </c>
      <c r="W204" s="46">
        <v>0.95</v>
      </c>
      <c r="X204" s="46">
        <v>0.27569</v>
      </c>
      <c r="Y204" s="46" t="s">
        <v>640</v>
      </c>
      <c r="Z204" s="46" t="b">
        <v>0</v>
      </c>
      <c r="AA204" s="46" t="b">
        <v>0</v>
      </c>
    </row>
    <row r="205">
      <c r="A205" s="157" t="s">
        <v>569</v>
      </c>
      <c r="B205" s="158">
        <v>1.0</v>
      </c>
      <c r="C205" s="157" t="s">
        <v>642</v>
      </c>
      <c r="D205" s="157" t="s">
        <v>643</v>
      </c>
      <c r="E205" s="157" t="s">
        <v>644</v>
      </c>
      <c r="F205" s="157" t="s">
        <v>907</v>
      </c>
      <c r="G205" s="157" t="s">
        <v>908</v>
      </c>
      <c r="H205" s="157"/>
      <c r="I205" s="158">
        <v>20.067043</v>
      </c>
      <c r="J205" s="158">
        <v>47.788452</v>
      </c>
      <c r="K205" s="157" t="s">
        <v>909</v>
      </c>
      <c r="L205" s="157" t="s">
        <v>648</v>
      </c>
      <c r="M205" s="158">
        <v>2022.0</v>
      </c>
      <c r="N205" s="157" t="s">
        <v>649</v>
      </c>
      <c r="O205" s="157" t="s">
        <v>650</v>
      </c>
      <c r="P205" s="161" t="b">
        <v>0</v>
      </c>
      <c r="Q205" s="158">
        <v>3.988101</v>
      </c>
      <c r="R205" s="158">
        <v>0.289242597</v>
      </c>
      <c r="S205" s="158">
        <v>3.698858403</v>
      </c>
      <c r="T205" s="157" t="s">
        <v>594</v>
      </c>
      <c r="U205" s="46" t="s">
        <v>651</v>
      </c>
      <c r="V205" s="46" t="b">
        <v>1</v>
      </c>
      <c r="W205" s="46">
        <v>0.95</v>
      </c>
      <c r="X205" s="46">
        <v>0.27478046715</v>
      </c>
      <c r="Y205" s="46" t="s">
        <v>640</v>
      </c>
      <c r="Z205" s="46" t="b">
        <v>0</v>
      </c>
      <c r="AA205" s="46" t="b">
        <v>0</v>
      </c>
    </row>
    <row r="206">
      <c r="A206" s="157" t="s">
        <v>556</v>
      </c>
      <c r="B206" s="158">
        <v>1.0</v>
      </c>
      <c r="C206" s="157" t="s">
        <v>642</v>
      </c>
      <c r="D206" s="157" t="s">
        <v>643</v>
      </c>
      <c r="E206" s="157" t="s">
        <v>644</v>
      </c>
      <c r="F206" s="157" t="s">
        <v>910</v>
      </c>
      <c r="G206" s="157" t="s">
        <v>911</v>
      </c>
      <c r="H206" s="157"/>
      <c r="I206" s="158">
        <v>2.31966</v>
      </c>
      <c r="J206" s="158">
        <v>51.0321</v>
      </c>
      <c r="K206" s="157" t="s">
        <v>912</v>
      </c>
      <c r="L206" s="157" t="s">
        <v>648</v>
      </c>
      <c r="M206" s="158">
        <v>2022.0</v>
      </c>
      <c r="N206" s="157" t="s">
        <v>649</v>
      </c>
      <c r="O206" s="157" t="s">
        <v>650</v>
      </c>
      <c r="P206" s="161" t="b">
        <v>0</v>
      </c>
      <c r="Q206" s="158">
        <v>3.955000064</v>
      </c>
      <c r="R206" s="158">
        <v>0.286841905</v>
      </c>
      <c r="S206" s="158">
        <v>3.668158159</v>
      </c>
      <c r="T206" s="157" t="s">
        <v>594</v>
      </c>
      <c r="U206" s="46" t="s">
        <v>651</v>
      </c>
      <c r="V206" s="46" t="b">
        <v>1</v>
      </c>
      <c r="W206" s="46">
        <v>0.95</v>
      </c>
      <c r="X206" s="46">
        <v>0.27249980975</v>
      </c>
      <c r="Y206" s="46">
        <v>0.976967638658125</v>
      </c>
      <c r="Z206" s="46" t="b">
        <v>1</v>
      </c>
      <c r="AA206" s="46" t="b">
        <v>1</v>
      </c>
    </row>
    <row r="207">
      <c r="A207" s="157" t="s">
        <v>556</v>
      </c>
      <c r="B207" s="158">
        <v>5.0</v>
      </c>
      <c r="C207" s="157" t="s">
        <v>652</v>
      </c>
      <c r="D207" s="157" t="s">
        <v>653</v>
      </c>
      <c r="E207" s="157" t="s">
        <v>654</v>
      </c>
      <c r="F207" s="157" t="s">
        <v>913</v>
      </c>
      <c r="G207" s="157" t="s">
        <v>914</v>
      </c>
      <c r="H207" s="157"/>
      <c r="I207" s="158">
        <v>3.15874</v>
      </c>
      <c r="J207" s="158">
        <v>45.76569</v>
      </c>
      <c r="K207" s="157" t="s">
        <v>915</v>
      </c>
      <c r="L207" s="157" t="s">
        <v>648</v>
      </c>
      <c r="M207" s="158">
        <v>2022.0</v>
      </c>
      <c r="N207" s="157" t="s">
        <v>116</v>
      </c>
      <c r="O207" s="157" t="s">
        <v>658</v>
      </c>
      <c r="P207" s="161" t="b">
        <v>1</v>
      </c>
      <c r="Q207" s="158">
        <v>0.521</v>
      </c>
      <c r="R207" s="158">
        <v>0.28655</v>
      </c>
      <c r="S207" s="158">
        <v>0.23445</v>
      </c>
      <c r="T207" s="157" t="s">
        <v>116</v>
      </c>
      <c r="U207" s="46" t="s">
        <v>651</v>
      </c>
      <c r="V207" s="46" t="b">
        <v>1</v>
      </c>
      <c r="W207" s="46">
        <v>0.95</v>
      </c>
      <c r="X207" s="46">
        <v>0.2722225</v>
      </c>
      <c r="Y207" s="46" t="s">
        <v>640</v>
      </c>
      <c r="Z207" s="46" t="b">
        <v>0</v>
      </c>
      <c r="AA207" s="46" t="b">
        <v>0</v>
      </c>
    </row>
    <row r="208">
      <c r="A208" s="157" t="s">
        <v>566</v>
      </c>
      <c r="B208" s="158">
        <v>2.0</v>
      </c>
      <c r="C208" s="157" t="s">
        <v>916</v>
      </c>
      <c r="D208" s="157" t="s">
        <v>917</v>
      </c>
      <c r="E208" s="157" t="s">
        <v>918</v>
      </c>
      <c r="F208" s="157" t="s">
        <v>919</v>
      </c>
      <c r="G208" s="157" t="s">
        <v>920</v>
      </c>
      <c r="H208" s="157"/>
      <c r="I208" s="158">
        <v>19.28444481</v>
      </c>
      <c r="J208" s="158">
        <v>50.3461113</v>
      </c>
      <c r="K208" s="157" t="s">
        <v>921</v>
      </c>
      <c r="L208" s="157" t="s">
        <v>648</v>
      </c>
      <c r="M208" s="158">
        <v>2022.0</v>
      </c>
      <c r="N208" s="157" t="s">
        <v>549</v>
      </c>
      <c r="O208" s="157" t="s">
        <v>922</v>
      </c>
      <c r="P208" s="161" t="b">
        <v>1</v>
      </c>
      <c r="Q208" s="158">
        <v>3.57</v>
      </c>
      <c r="R208" s="158">
        <v>0.285389381</v>
      </c>
      <c r="S208" s="158">
        <v>3.284610619</v>
      </c>
      <c r="T208" s="157" t="s">
        <v>549</v>
      </c>
      <c r="U208" s="46" t="s">
        <v>651</v>
      </c>
      <c r="V208" s="46" t="b">
        <v>1</v>
      </c>
      <c r="W208" s="46">
        <v>0.95</v>
      </c>
      <c r="X208" s="46">
        <v>0.271119911949999</v>
      </c>
      <c r="Y208" s="46" t="s">
        <v>640</v>
      </c>
      <c r="Z208" s="46" t="b">
        <v>0</v>
      </c>
      <c r="AA208" s="46" t="b">
        <v>0</v>
      </c>
    </row>
    <row r="209">
      <c r="A209" s="157" t="s">
        <v>557</v>
      </c>
      <c r="B209" s="158">
        <v>6.0</v>
      </c>
      <c r="C209" s="157" t="s">
        <v>659</v>
      </c>
      <c r="D209" s="157" t="s">
        <v>717</v>
      </c>
      <c r="E209" s="157" t="s">
        <v>718</v>
      </c>
      <c r="F209" s="162" t="s">
        <v>923</v>
      </c>
      <c r="G209" s="157" t="s">
        <v>924</v>
      </c>
      <c r="H209" s="157"/>
      <c r="I209" s="158">
        <v>8.31326879458985</v>
      </c>
      <c r="J209" s="158">
        <v>49.0425646011251</v>
      </c>
      <c r="K209" s="157" t="s">
        <v>925</v>
      </c>
      <c r="L209" s="157" t="s">
        <v>648</v>
      </c>
      <c r="M209" s="158">
        <v>2022.0</v>
      </c>
      <c r="N209" s="157" t="s">
        <v>123</v>
      </c>
      <c r="O209" s="157" t="s">
        <v>722</v>
      </c>
      <c r="P209" s="161" t="b">
        <v>1</v>
      </c>
      <c r="Q209" s="158">
        <v>0.424</v>
      </c>
      <c r="R209" s="158">
        <v>0.285</v>
      </c>
      <c r="S209" s="158">
        <v>0.139</v>
      </c>
      <c r="T209" s="157" t="s">
        <v>123</v>
      </c>
      <c r="U209" s="46" t="s">
        <v>651</v>
      </c>
      <c r="V209" s="46" t="b">
        <v>1</v>
      </c>
      <c r="W209" s="46">
        <v>0.95</v>
      </c>
      <c r="X209" s="46">
        <v>0.27075</v>
      </c>
      <c r="Y209" s="46">
        <v>2.25661313086714</v>
      </c>
      <c r="Z209" s="46" t="b">
        <v>1</v>
      </c>
      <c r="AA209" s="46" t="b">
        <v>1</v>
      </c>
    </row>
    <row r="210">
      <c r="A210" s="157" t="s">
        <v>554</v>
      </c>
      <c r="B210" s="158">
        <v>5.0</v>
      </c>
      <c r="C210" s="157" t="s">
        <v>652</v>
      </c>
      <c r="D210" s="157" t="s">
        <v>653</v>
      </c>
      <c r="E210" s="157" t="s">
        <v>654</v>
      </c>
      <c r="F210" s="157" t="s">
        <v>926</v>
      </c>
      <c r="G210" s="157" t="s">
        <v>927</v>
      </c>
      <c r="H210" s="157"/>
      <c r="I210" s="158">
        <v>14.15166</v>
      </c>
      <c r="J210" s="158">
        <v>57.69603</v>
      </c>
      <c r="K210" s="157" t="s">
        <v>928</v>
      </c>
      <c r="L210" s="157" t="s">
        <v>648</v>
      </c>
      <c r="M210" s="158">
        <v>2022.0</v>
      </c>
      <c r="N210" s="157" t="s">
        <v>116</v>
      </c>
      <c r="O210" s="157" t="s">
        <v>658</v>
      </c>
      <c r="P210" s="161" t="b">
        <v>1</v>
      </c>
      <c r="Q210" s="158">
        <v>0.356</v>
      </c>
      <c r="R210" s="158">
        <v>0.2843</v>
      </c>
      <c r="S210" s="158">
        <v>0.0717</v>
      </c>
      <c r="T210" s="157" t="s">
        <v>116</v>
      </c>
      <c r="U210" s="46" t="s">
        <v>651</v>
      </c>
      <c r="V210" s="46" t="b">
        <v>1</v>
      </c>
      <c r="W210" s="46">
        <v>0.95</v>
      </c>
      <c r="X210" s="46">
        <v>0.270084999999999</v>
      </c>
      <c r="Y210" s="46" t="s">
        <v>640</v>
      </c>
      <c r="Z210" s="46" t="b">
        <v>0</v>
      </c>
      <c r="AA210" s="46" t="b">
        <v>0</v>
      </c>
    </row>
    <row r="211">
      <c r="A211" s="157" t="s">
        <v>554</v>
      </c>
      <c r="B211" s="158">
        <v>6.0</v>
      </c>
      <c r="C211" s="157" t="s">
        <v>659</v>
      </c>
      <c r="D211" s="157" t="s">
        <v>660</v>
      </c>
      <c r="E211" s="157" t="s">
        <v>661</v>
      </c>
      <c r="F211" s="157" t="s">
        <v>929</v>
      </c>
      <c r="G211" s="157" t="s">
        <v>930</v>
      </c>
      <c r="H211" s="157"/>
      <c r="I211" s="158">
        <v>13.23512</v>
      </c>
      <c r="J211" s="158">
        <v>56.99926</v>
      </c>
      <c r="K211" s="157" t="s">
        <v>931</v>
      </c>
      <c r="L211" s="157" t="s">
        <v>648</v>
      </c>
      <c r="M211" s="158">
        <v>2022.0</v>
      </c>
      <c r="N211" s="157" t="s">
        <v>123</v>
      </c>
      <c r="O211" s="157" t="s">
        <v>665</v>
      </c>
      <c r="P211" s="161" t="b">
        <v>1</v>
      </c>
      <c r="Q211" s="158">
        <v>0.286</v>
      </c>
      <c r="R211" s="158">
        <v>0.28257</v>
      </c>
      <c r="S211" s="158">
        <v>0.00343</v>
      </c>
      <c r="T211" s="157" t="s">
        <v>123</v>
      </c>
      <c r="U211" s="46" t="s">
        <v>651</v>
      </c>
      <c r="V211" s="46" t="b">
        <v>1</v>
      </c>
      <c r="W211" s="46">
        <v>0.95</v>
      </c>
      <c r="X211" s="46">
        <v>0.2684415</v>
      </c>
      <c r="Y211" s="46" t="s">
        <v>640</v>
      </c>
      <c r="Z211" s="46" t="b">
        <v>0</v>
      </c>
      <c r="AA211" s="46" t="b">
        <v>0</v>
      </c>
    </row>
    <row r="212">
      <c r="A212" s="157" t="s">
        <v>562</v>
      </c>
      <c r="B212" s="158">
        <v>5.0</v>
      </c>
      <c r="C212" s="157" t="s">
        <v>652</v>
      </c>
      <c r="D212" s="157" t="s">
        <v>653</v>
      </c>
      <c r="E212" s="157" t="s">
        <v>654</v>
      </c>
      <c r="F212" s="157" t="s">
        <v>932</v>
      </c>
      <c r="G212" s="157" t="s">
        <v>933</v>
      </c>
      <c r="H212" s="157"/>
      <c r="I212" s="158">
        <v>4.38037</v>
      </c>
      <c r="J212" s="158">
        <v>50.8831</v>
      </c>
      <c r="K212" s="157" t="s">
        <v>934</v>
      </c>
      <c r="L212" s="157" t="s">
        <v>648</v>
      </c>
      <c r="M212" s="158">
        <v>2022.0</v>
      </c>
      <c r="N212" s="157" t="s">
        <v>116</v>
      </c>
      <c r="O212" s="157" t="s">
        <v>658</v>
      </c>
      <c r="P212" s="161" t="b">
        <v>1</v>
      </c>
      <c r="Q212" s="158">
        <v>0.504</v>
      </c>
      <c r="R212" s="158">
        <v>0.2772</v>
      </c>
      <c r="S212" s="158">
        <v>0.2268</v>
      </c>
      <c r="T212" s="157" t="s">
        <v>116</v>
      </c>
      <c r="U212" s="46" t="s">
        <v>651</v>
      </c>
      <c r="V212" s="46" t="b">
        <v>1</v>
      </c>
      <c r="W212" s="46">
        <v>0.95</v>
      </c>
      <c r="X212" s="46">
        <v>0.263339999999999</v>
      </c>
      <c r="Y212" s="46">
        <v>9.19958503968101</v>
      </c>
      <c r="Z212" s="46" t="b">
        <v>1</v>
      </c>
      <c r="AA212" s="46" t="b">
        <v>1</v>
      </c>
    </row>
    <row r="213">
      <c r="A213" s="157" t="s">
        <v>561</v>
      </c>
      <c r="B213" s="158">
        <v>5.0</v>
      </c>
      <c r="C213" s="157" t="s">
        <v>652</v>
      </c>
      <c r="D213" s="157" t="s">
        <v>653</v>
      </c>
      <c r="E213" s="157" t="s">
        <v>654</v>
      </c>
      <c r="F213" s="157" t="s">
        <v>935</v>
      </c>
      <c r="G213" s="157" t="s">
        <v>936</v>
      </c>
      <c r="H213" s="157"/>
      <c r="I213" s="158">
        <v>2.681217</v>
      </c>
      <c r="J213" s="158">
        <v>39.644351</v>
      </c>
      <c r="K213" s="157" t="s">
        <v>937</v>
      </c>
      <c r="L213" s="157" t="s">
        <v>648</v>
      </c>
      <c r="M213" s="158">
        <v>2022.0</v>
      </c>
      <c r="N213" s="157" t="s">
        <v>116</v>
      </c>
      <c r="O213" s="157" t="s">
        <v>658</v>
      </c>
      <c r="P213" s="161" t="b">
        <v>1</v>
      </c>
      <c r="Q213" s="158">
        <v>0.496</v>
      </c>
      <c r="R213" s="158">
        <v>0.2728</v>
      </c>
      <c r="S213" s="158">
        <v>0.2232</v>
      </c>
      <c r="T213" s="157" t="s">
        <v>116</v>
      </c>
      <c r="U213" s="46" t="s">
        <v>651</v>
      </c>
      <c r="V213" s="46" t="b">
        <v>1</v>
      </c>
      <c r="W213" s="46">
        <v>0.95</v>
      </c>
      <c r="X213" s="46">
        <v>0.25916</v>
      </c>
      <c r="Y213" s="46" t="s">
        <v>640</v>
      </c>
      <c r="Z213" s="46" t="b">
        <v>0</v>
      </c>
      <c r="AA213" s="46" t="b">
        <v>0</v>
      </c>
    </row>
    <row r="214">
      <c r="A214" s="157" t="s">
        <v>559</v>
      </c>
      <c r="B214" s="158">
        <v>1.0</v>
      </c>
      <c r="C214" s="157" t="s">
        <v>642</v>
      </c>
      <c r="D214" s="157" t="s">
        <v>643</v>
      </c>
      <c r="E214" s="157" t="s">
        <v>644</v>
      </c>
      <c r="F214" s="157" t="s">
        <v>938</v>
      </c>
      <c r="G214" s="157" t="s">
        <v>939</v>
      </c>
      <c r="H214" s="157"/>
      <c r="I214" s="158">
        <v>17.2152</v>
      </c>
      <c r="J214" s="158">
        <v>40.5108</v>
      </c>
      <c r="K214" s="157" t="s">
        <v>940</v>
      </c>
      <c r="L214" s="157" t="s">
        <v>648</v>
      </c>
      <c r="M214" s="158">
        <v>2022.0</v>
      </c>
      <c r="N214" s="157" t="s">
        <v>649</v>
      </c>
      <c r="O214" s="157" t="s">
        <v>650</v>
      </c>
      <c r="P214" s="161" t="b">
        <v>0</v>
      </c>
      <c r="Q214" s="158">
        <v>3.745729</v>
      </c>
      <c r="R214" s="158">
        <v>0.271664229</v>
      </c>
      <c r="S214" s="158">
        <v>3.474064771</v>
      </c>
      <c r="T214" s="157" t="s">
        <v>594</v>
      </c>
      <c r="U214" s="46" t="s">
        <v>651</v>
      </c>
      <c r="V214" s="46" t="b">
        <v>1</v>
      </c>
      <c r="W214" s="46">
        <v>0.95</v>
      </c>
      <c r="X214" s="46">
        <v>0.258081017549999</v>
      </c>
      <c r="Y214" s="46" t="s">
        <v>640</v>
      </c>
      <c r="Z214" s="46" t="b">
        <v>0</v>
      </c>
      <c r="AA214" s="46" t="b">
        <v>0</v>
      </c>
    </row>
    <row r="215">
      <c r="A215" s="157" t="s">
        <v>558</v>
      </c>
      <c r="B215" s="158">
        <v>5.0</v>
      </c>
      <c r="C215" s="157" t="s">
        <v>652</v>
      </c>
      <c r="D215" s="157" t="s">
        <v>653</v>
      </c>
      <c r="E215" s="157" t="s">
        <v>654</v>
      </c>
      <c r="F215" s="157" t="s">
        <v>941</v>
      </c>
      <c r="G215" s="157" t="s">
        <v>942</v>
      </c>
      <c r="H215" s="157"/>
      <c r="I215" s="158">
        <v>-9.082436</v>
      </c>
      <c r="J215" s="158">
        <v>38.827578</v>
      </c>
      <c r="K215" s="157" t="s">
        <v>943</v>
      </c>
      <c r="L215" s="157" t="s">
        <v>648</v>
      </c>
      <c r="M215" s="158">
        <v>2022.0</v>
      </c>
      <c r="N215" s="157" t="s">
        <v>116</v>
      </c>
      <c r="O215" s="157" t="s">
        <v>658</v>
      </c>
      <c r="P215" s="161" t="b">
        <v>1</v>
      </c>
      <c r="Q215" s="158">
        <v>0.49</v>
      </c>
      <c r="R215" s="158">
        <v>0.2695</v>
      </c>
      <c r="S215" s="158">
        <v>0.2205</v>
      </c>
      <c r="T215" s="157" t="s">
        <v>116</v>
      </c>
      <c r="U215" s="46" t="s">
        <v>651</v>
      </c>
      <c r="V215" s="46" t="b">
        <v>1</v>
      </c>
      <c r="W215" s="46">
        <v>0.95</v>
      </c>
      <c r="X215" s="46">
        <v>0.256025</v>
      </c>
      <c r="Y215" s="46" t="s">
        <v>640</v>
      </c>
      <c r="Z215" s="46" t="b">
        <v>0</v>
      </c>
      <c r="AA215" s="46" t="b">
        <v>0</v>
      </c>
    </row>
    <row r="216">
      <c r="A216" s="157" t="s">
        <v>561</v>
      </c>
      <c r="B216" s="158">
        <v>6.0</v>
      </c>
      <c r="C216" s="157" t="s">
        <v>659</v>
      </c>
      <c r="D216" s="157" t="s">
        <v>717</v>
      </c>
      <c r="E216" s="157" t="s">
        <v>718</v>
      </c>
      <c r="F216" s="157" t="s">
        <v>944</v>
      </c>
      <c r="G216" s="157" t="s">
        <v>945</v>
      </c>
      <c r="H216" s="157"/>
      <c r="I216" s="158">
        <v>-0.678377</v>
      </c>
      <c r="J216" s="158">
        <v>41.546601</v>
      </c>
      <c r="K216" s="157" t="s">
        <v>946</v>
      </c>
      <c r="L216" s="157" t="s">
        <v>648</v>
      </c>
      <c r="M216" s="158">
        <v>2022.0</v>
      </c>
      <c r="N216" s="157" t="s">
        <v>123</v>
      </c>
      <c r="O216" s="157" t="s">
        <v>722</v>
      </c>
      <c r="P216" s="161" t="b">
        <v>1</v>
      </c>
      <c r="Q216" s="158">
        <v>0.619</v>
      </c>
      <c r="R216" s="158">
        <v>0.267838855</v>
      </c>
      <c r="S216" s="158">
        <v>0.351161145</v>
      </c>
      <c r="T216" s="157" t="s">
        <v>123</v>
      </c>
      <c r="U216" s="46" t="s">
        <v>651</v>
      </c>
      <c r="V216" s="46" t="b">
        <v>1</v>
      </c>
      <c r="W216" s="46">
        <v>0.95</v>
      </c>
      <c r="X216" s="46">
        <v>0.25444691225</v>
      </c>
      <c r="Y216" s="46" t="s">
        <v>640</v>
      </c>
      <c r="Z216" s="46" t="b">
        <v>0</v>
      </c>
      <c r="AA216" s="46" t="b">
        <v>0</v>
      </c>
    </row>
    <row r="217">
      <c r="A217" s="157" t="s">
        <v>566</v>
      </c>
      <c r="B217" s="158">
        <v>1.0</v>
      </c>
      <c r="C217" s="157" t="s">
        <v>642</v>
      </c>
      <c r="D217" s="157" t="s">
        <v>643</v>
      </c>
      <c r="E217" s="157" t="s">
        <v>644</v>
      </c>
      <c r="F217" s="157" t="s">
        <v>947</v>
      </c>
      <c r="G217" s="157" t="s">
        <v>948</v>
      </c>
      <c r="H217" s="157"/>
      <c r="I217" s="158">
        <v>19.21055603</v>
      </c>
      <c r="J217" s="158">
        <v>50.20388794</v>
      </c>
      <c r="K217" s="157" t="s">
        <v>949</v>
      </c>
      <c r="L217" s="157" t="s">
        <v>648</v>
      </c>
      <c r="M217" s="158">
        <v>2022.0</v>
      </c>
      <c r="N217" s="157" t="s">
        <v>649</v>
      </c>
      <c r="O217" s="157" t="s">
        <v>650</v>
      </c>
      <c r="P217" s="161" t="b">
        <v>0</v>
      </c>
      <c r="Q217" s="158">
        <v>3.68</v>
      </c>
      <c r="R217" s="158">
        <v>0.266897141</v>
      </c>
      <c r="S217" s="158">
        <v>3.413102859</v>
      </c>
      <c r="T217" s="157" t="s">
        <v>594</v>
      </c>
      <c r="U217" s="46" t="s">
        <v>651</v>
      </c>
      <c r="V217" s="46" t="b">
        <v>1</v>
      </c>
      <c r="W217" s="46">
        <v>0.95</v>
      </c>
      <c r="X217" s="46">
        <v>0.25355228395</v>
      </c>
      <c r="Y217" s="46" t="s">
        <v>640</v>
      </c>
      <c r="Z217" s="46" t="b">
        <v>0</v>
      </c>
      <c r="AA217" s="46" t="b">
        <v>0</v>
      </c>
    </row>
    <row r="218">
      <c r="A218" s="157" t="s">
        <v>556</v>
      </c>
      <c r="B218" s="158">
        <v>5.0</v>
      </c>
      <c r="C218" s="157" t="s">
        <v>652</v>
      </c>
      <c r="D218" s="157" t="s">
        <v>653</v>
      </c>
      <c r="E218" s="157" t="s">
        <v>654</v>
      </c>
      <c r="F218" s="157" t="s">
        <v>950</v>
      </c>
      <c r="G218" s="157" t="s">
        <v>951</v>
      </c>
      <c r="H218" s="157"/>
      <c r="I218" s="158">
        <v>2.26278</v>
      </c>
      <c r="J218" s="158">
        <v>48.83214</v>
      </c>
      <c r="K218" s="157" t="s">
        <v>952</v>
      </c>
      <c r="L218" s="157" t="s">
        <v>648</v>
      </c>
      <c r="M218" s="158">
        <v>2022.0</v>
      </c>
      <c r="N218" s="157" t="s">
        <v>116</v>
      </c>
      <c r="O218" s="157" t="s">
        <v>658</v>
      </c>
      <c r="P218" s="161" t="b">
        <v>1</v>
      </c>
      <c r="Q218" s="158">
        <v>0.482</v>
      </c>
      <c r="R218" s="158">
        <v>0.2651</v>
      </c>
      <c r="S218" s="158">
        <v>0.2169</v>
      </c>
      <c r="T218" s="157" t="s">
        <v>116</v>
      </c>
      <c r="U218" s="46" t="s">
        <v>651</v>
      </c>
      <c r="V218" s="46" t="b">
        <v>1</v>
      </c>
      <c r="W218" s="46">
        <v>0.95</v>
      </c>
      <c r="X218" s="46">
        <v>0.251845</v>
      </c>
      <c r="Y218" s="46">
        <v>9.59742396175925</v>
      </c>
      <c r="Z218" s="46" t="b">
        <v>1</v>
      </c>
      <c r="AA218" s="46" t="b">
        <v>1</v>
      </c>
    </row>
    <row r="219">
      <c r="A219" s="157" t="s">
        <v>562</v>
      </c>
      <c r="B219" s="158">
        <v>6.0</v>
      </c>
      <c r="C219" s="157" t="s">
        <v>659</v>
      </c>
      <c r="D219" s="157" t="s">
        <v>717</v>
      </c>
      <c r="E219" s="157" t="s">
        <v>718</v>
      </c>
      <c r="F219" s="162" t="s">
        <v>953</v>
      </c>
      <c r="G219" s="157" t="s">
        <v>954</v>
      </c>
      <c r="H219" s="157"/>
      <c r="I219" s="158">
        <v>3.73374</v>
      </c>
      <c r="J219" s="158">
        <v>51.10665</v>
      </c>
      <c r="K219" s="157" t="s">
        <v>855</v>
      </c>
      <c r="L219" s="157" t="s">
        <v>648</v>
      </c>
      <c r="M219" s="158">
        <v>2022.0</v>
      </c>
      <c r="N219" s="157" t="s">
        <v>123</v>
      </c>
      <c r="O219" s="157" t="s">
        <v>722</v>
      </c>
      <c r="P219" s="161" t="b">
        <v>1</v>
      </c>
      <c r="Q219" s="158">
        <v>0.604</v>
      </c>
      <c r="R219" s="158">
        <v>0.261348414</v>
      </c>
      <c r="S219" s="158">
        <v>0.342651586</v>
      </c>
      <c r="T219" s="157" t="s">
        <v>123</v>
      </c>
      <c r="U219" s="46" t="s">
        <v>651</v>
      </c>
      <c r="V219" s="46" t="b">
        <v>1</v>
      </c>
      <c r="W219" s="46">
        <v>0.95</v>
      </c>
      <c r="X219" s="46">
        <v>0.248280993299999</v>
      </c>
      <c r="Y219" s="46">
        <v>4.02464801572107</v>
      </c>
      <c r="Z219" s="46" t="b">
        <v>1</v>
      </c>
      <c r="AA219" s="46" t="b">
        <v>1</v>
      </c>
    </row>
    <row r="220">
      <c r="A220" s="157" t="s">
        <v>566</v>
      </c>
      <c r="B220" s="158">
        <v>1.0</v>
      </c>
      <c r="C220" s="157" t="s">
        <v>642</v>
      </c>
      <c r="D220" s="157" t="s">
        <v>643</v>
      </c>
      <c r="E220" s="157" t="s">
        <v>644</v>
      </c>
      <c r="F220" s="157" t="s">
        <v>955</v>
      </c>
      <c r="G220" s="157" t="s">
        <v>956</v>
      </c>
      <c r="H220" s="157"/>
      <c r="I220" s="158">
        <v>18.52330208</v>
      </c>
      <c r="J220" s="158">
        <v>50.13459396</v>
      </c>
      <c r="K220" s="157" t="s">
        <v>957</v>
      </c>
      <c r="L220" s="157" t="s">
        <v>648</v>
      </c>
      <c r="M220" s="158">
        <v>2022.0</v>
      </c>
      <c r="N220" s="157" t="s">
        <v>649</v>
      </c>
      <c r="O220" s="157" t="s">
        <v>650</v>
      </c>
      <c r="P220" s="161" t="b">
        <v>0</v>
      </c>
      <c r="Q220" s="158">
        <v>3.6</v>
      </c>
      <c r="R220" s="158">
        <v>0.26109503</v>
      </c>
      <c r="S220" s="158">
        <v>3.33890497</v>
      </c>
      <c r="T220" s="157" t="s">
        <v>594</v>
      </c>
      <c r="U220" s="46" t="s">
        <v>651</v>
      </c>
      <c r="V220" s="46" t="b">
        <v>1</v>
      </c>
      <c r="W220" s="46">
        <v>0.95</v>
      </c>
      <c r="X220" s="46">
        <v>0.2480402785</v>
      </c>
      <c r="Y220" s="46" t="s">
        <v>640</v>
      </c>
      <c r="Z220" s="46" t="b">
        <v>0</v>
      </c>
      <c r="AA220" s="46" t="b">
        <v>0</v>
      </c>
    </row>
    <row r="221">
      <c r="A221" s="157" t="s">
        <v>554</v>
      </c>
      <c r="B221" s="158">
        <v>6.0</v>
      </c>
      <c r="C221" s="157" t="s">
        <v>659</v>
      </c>
      <c r="D221" s="157" t="s">
        <v>660</v>
      </c>
      <c r="E221" s="157" t="s">
        <v>661</v>
      </c>
      <c r="F221" s="157" t="s">
        <v>958</v>
      </c>
      <c r="G221" s="157" t="s">
        <v>959</v>
      </c>
      <c r="H221" s="157"/>
      <c r="I221" s="158">
        <v>16.31202</v>
      </c>
      <c r="J221" s="158">
        <v>60.20553</v>
      </c>
      <c r="K221" s="157" t="s">
        <v>960</v>
      </c>
      <c r="L221" s="157" t="s">
        <v>648</v>
      </c>
      <c r="M221" s="158">
        <v>2022.0</v>
      </c>
      <c r="N221" s="157" t="s">
        <v>123</v>
      </c>
      <c r="O221" s="157" t="s">
        <v>665</v>
      </c>
      <c r="P221" s="161" t="b">
        <v>1</v>
      </c>
      <c r="Q221" s="158">
        <v>0.26</v>
      </c>
      <c r="R221" s="158">
        <v>0.259868</v>
      </c>
      <c r="S221" s="158">
        <v>1.32E-4</v>
      </c>
      <c r="T221" s="157" t="s">
        <v>123</v>
      </c>
      <c r="U221" s="46" t="s">
        <v>651</v>
      </c>
      <c r="V221" s="46" t="b">
        <v>1</v>
      </c>
      <c r="W221" s="46">
        <v>0.95</v>
      </c>
      <c r="X221" s="46">
        <v>0.246874599999999</v>
      </c>
      <c r="Y221" s="46" t="s">
        <v>640</v>
      </c>
      <c r="Z221" s="46" t="b">
        <v>0</v>
      </c>
      <c r="AA221" s="46" t="b">
        <v>0</v>
      </c>
    </row>
    <row r="222">
      <c r="A222" s="157" t="s">
        <v>573</v>
      </c>
      <c r="B222" s="158">
        <v>1.0</v>
      </c>
      <c r="C222" s="157" t="s">
        <v>642</v>
      </c>
      <c r="D222" s="157" t="s">
        <v>643</v>
      </c>
      <c r="E222" s="157" t="s">
        <v>644</v>
      </c>
      <c r="F222" s="157" t="s">
        <v>961</v>
      </c>
      <c r="G222" s="157" t="s">
        <v>962</v>
      </c>
      <c r="H222" s="157"/>
      <c r="I222" s="158">
        <v>24.90539508</v>
      </c>
      <c r="J222" s="158">
        <v>59.43737888</v>
      </c>
      <c r="K222" s="157" t="s">
        <v>963</v>
      </c>
      <c r="L222" s="157" t="s">
        <v>648</v>
      </c>
      <c r="M222" s="158">
        <v>2022.0</v>
      </c>
      <c r="N222" s="157" t="s">
        <v>649</v>
      </c>
      <c r="O222" s="157" t="s">
        <v>650</v>
      </c>
      <c r="P222" s="161" t="b">
        <v>0</v>
      </c>
      <c r="Q222" s="158">
        <v>0.265</v>
      </c>
      <c r="R222" s="158">
        <v>0.25792</v>
      </c>
      <c r="S222" s="158">
        <v>0.00708</v>
      </c>
      <c r="T222" s="157" t="s">
        <v>117</v>
      </c>
      <c r="U222" s="46" t="s">
        <v>651</v>
      </c>
      <c r="V222" s="46" t="b">
        <v>1</v>
      </c>
      <c r="W222" s="46">
        <v>0.95</v>
      </c>
      <c r="X222" s="46">
        <v>0.245023999999999</v>
      </c>
      <c r="Y222" s="46" t="s">
        <v>640</v>
      </c>
      <c r="Z222" s="46" t="b">
        <v>0</v>
      </c>
      <c r="AA222" s="46" t="b">
        <v>0</v>
      </c>
    </row>
    <row r="223">
      <c r="A223" s="157" t="s">
        <v>556</v>
      </c>
      <c r="B223" s="158">
        <v>5.0</v>
      </c>
      <c r="C223" s="157" t="s">
        <v>652</v>
      </c>
      <c r="D223" s="157" t="s">
        <v>653</v>
      </c>
      <c r="E223" s="157" t="s">
        <v>654</v>
      </c>
      <c r="F223" s="157" t="s">
        <v>964</v>
      </c>
      <c r="G223" s="157" t="s">
        <v>965</v>
      </c>
      <c r="H223" s="157"/>
      <c r="I223" s="158">
        <v>2.32326</v>
      </c>
      <c r="J223" s="158">
        <v>48.91456</v>
      </c>
      <c r="K223" s="157" t="s">
        <v>966</v>
      </c>
      <c r="L223" s="157" t="s">
        <v>648</v>
      </c>
      <c r="M223" s="158">
        <v>2022.0</v>
      </c>
      <c r="N223" s="157" t="s">
        <v>116</v>
      </c>
      <c r="O223" s="157" t="s">
        <v>658</v>
      </c>
      <c r="P223" s="161" t="b">
        <v>1</v>
      </c>
      <c r="Q223" s="158">
        <v>0.466</v>
      </c>
      <c r="R223" s="158">
        <v>0.2563</v>
      </c>
      <c r="S223" s="158">
        <v>0.2097</v>
      </c>
      <c r="T223" s="157" t="s">
        <v>116</v>
      </c>
      <c r="U223" s="46" t="s">
        <v>651</v>
      </c>
      <c r="V223" s="46" t="b">
        <v>1</v>
      </c>
      <c r="W223" s="46">
        <v>0.95</v>
      </c>
      <c r="X223" s="46">
        <v>0.243484999999999</v>
      </c>
      <c r="Y223" s="46">
        <v>0.450000540999109</v>
      </c>
      <c r="Z223" s="46" t="b">
        <v>1</v>
      </c>
      <c r="AA223" s="46" t="b">
        <v>1</v>
      </c>
    </row>
    <row r="224">
      <c r="A224" s="157" t="s">
        <v>573</v>
      </c>
      <c r="B224" s="158">
        <v>1.0</v>
      </c>
      <c r="C224" s="157" t="s">
        <v>642</v>
      </c>
      <c r="D224" s="157" t="s">
        <v>643</v>
      </c>
      <c r="E224" s="157" t="s">
        <v>644</v>
      </c>
      <c r="F224" s="157" t="s">
        <v>967</v>
      </c>
      <c r="G224" s="157" t="s">
        <v>968</v>
      </c>
      <c r="H224" s="157"/>
      <c r="I224" s="158">
        <v>24.54406193</v>
      </c>
      <c r="J224" s="158">
        <v>58.39915675</v>
      </c>
      <c r="K224" s="157" t="s">
        <v>969</v>
      </c>
      <c r="L224" s="157" t="s">
        <v>648</v>
      </c>
      <c r="M224" s="158">
        <v>2022.0</v>
      </c>
      <c r="N224" s="157" t="s">
        <v>649</v>
      </c>
      <c r="O224" s="157" t="s">
        <v>650</v>
      </c>
      <c r="P224" s="161" t="b">
        <v>0</v>
      </c>
      <c r="Q224" s="158">
        <v>0.253</v>
      </c>
      <c r="R224" s="158">
        <v>0.252007</v>
      </c>
      <c r="S224" s="158">
        <v>9.93E-4</v>
      </c>
      <c r="T224" s="157" t="s">
        <v>117</v>
      </c>
      <c r="U224" s="46" t="s">
        <v>651</v>
      </c>
      <c r="V224" s="46" t="b">
        <v>1</v>
      </c>
      <c r="W224" s="46">
        <v>0.95</v>
      </c>
      <c r="X224" s="46">
        <v>0.239406649999999</v>
      </c>
      <c r="Y224" s="46" t="s">
        <v>640</v>
      </c>
      <c r="Z224" s="46" t="b">
        <v>0</v>
      </c>
      <c r="AA224" s="46" t="b">
        <v>0</v>
      </c>
    </row>
    <row r="225">
      <c r="A225" s="157" t="s">
        <v>555</v>
      </c>
      <c r="B225" s="158">
        <v>1.0</v>
      </c>
      <c r="C225" s="157" t="s">
        <v>642</v>
      </c>
      <c r="D225" s="157" t="s">
        <v>643</v>
      </c>
      <c r="E225" s="157" t="s">
        <v>644</v>
      </c>
      <c r="F225" s="162" t="s">
        <v>970</v>
      </c>
      <c r="G225" s="157" t="s">
        <v>971</v>
      </c>
      <c r="H225" s="157"/>
      <c r="I225" s="158">
        <v>21.47863</v>
      </c>
      <c r="J225" s="158">
        <v>61.11848</v>
      </c>
      <c r="K225" s="157" t="s">
        <v>704</v>
      </c>
      <c r="L225" s="157" t="s">
        <v>648</v>
      </c>
      <c r="M225" s="158">
        <v>2022.0</v>
      </c>
      <c r="N225" s="157" t="s">
        <v>649</v>
      </c>
      <c r="O225" s="157" t="s">
        <v>650</v>
      </c>
      <c r="P225" s="161" t="b">
        <v>0</v>
      </c>
      <c r="Q225" s="158">
        <v>0.287</v>
      </c>
      <c r="R225" s="158">
        <v>0.2461</v>
      </c>
      <c r="S225" s="158">
        <v>0.0409</v>
      </c>
      <c r="T225" s="157" t="s">
        <v>117</v>
      </c>
      <c r="U225" s="46" t="s">
        <v>651</v>
      </c>
      <c r="V225" s="46" t="b">
        <v>1</v>
      </c>
      <c r="W225" s="46">
        <v>0.95</v>
      </c>
      <c r="X225" s="46">
        <v>0.233795</v>
      </c>
      <c r="Y225" s="46" t="s">
        <v>640</v>
      </c>
      <c r="Z225" s="46" t="b">
        <v>0</v>
      </c>
      <c r="AA225" s="46" t="b">
        <v>0</v>
      </c>
    </row>
    <row r="226">
      <c r="A226" s="157" t="s">
        <v>573</v>
      </c>
      <c r="B226" s="158">
        <v>1.0</v>
      </c>
      <c r="C226" s="157" t="s">
        <v>642</v>
      </c>
      <c r="D226" s="157" t="s">
        <v>643</v>
      </c>
      <c r="E226" s="157" t="s">
        <v>644</v>
      </c>
      <c r="F226" s="157" t="s">
        <v>972</v>
      </c>
      <c r="G226" s="157" t="s">
        <v>973</v>
      </c>
      <c r="H226" s="157"/>
      <c r="I226" s="158">
        <v>26.79032474</v>
      </c>
      <c r="J226" s="158">
        <v>58.36946708</v>
      </c>
      <c r="K226" s="157" t="s">
        <v>974</v>
      </c>
      <c r="L226" s="157" t="s">
        <v>648</v>
      </c>
      <c r="M226" s="158">
        <v>2022.0</v>
      </c>
      <c r="N226" s="157" t="s">
        <v>649</v>
      </c>
      <c r="O226" s="157" t="s">
        <v>650</v>
      </c>
      <c r="P226" s="161" t="b">
        <v>0</v>
      </c>
      <c r="Q226" s="158">
        <v>0.246</v>
      </c>
      <c r="R226" s="158">
        <v>0.2459393</v>
      </c>
      <c r="S226" s="163">
        <v>6.07E-5</v>
      </c>
      <c r="T226" s="157" t="s">
        <v>117</v>
      </c>
      <c r="U226" s="46" t="s">
        <v>651</v>
      </c>
      <c r="V226" s="46" t="b">
        <v>1</v>
      </c>
      <c r="W226" s="46">
        <v>0.95</v>
      </c>
      <c r="X226" s="46">
        <v>0.233642334999999</v>
      </c>
      <c r="Y226" s="46" t="s">
        <v>640</v>
      </c>
      <c r="Z226" s="46" t="b">
        <v>0</v>
      </c>
      <c r="AA226" s="46" t="b">
        <v>0</v>
      </c>
    </row>
    <row r="227">
      <c r="A227" s="157" t="s">
        <v>555</v>
      </c>
      <c r="B227" s="158">
        <v>1.0</v>
      </c>
      <c r="C227" s="157" t="s">
        <v>642</v>
      </c>
      <c r="D227" s="157" t="s">
        <v>643</v>
      </c>
      <c r="E227" s="157" t="s">
        <v>644</v>
      </c>
      <c r="F227" s="162" t="s">
        <v>975</v>
      </c>
      <c r="G227" s="157" t="s">
        <v>976</v>
      </c>
      <c r="H227" s="157"/>
      <c r="I227" s="158">
        <v>24.83669</v>
      </c>
      <c r="J227" s="158">
        <v>60.28212</v>
      </c>
      <c r="K227" s="157" t="s">
        <v>977</v>
      </c>
      <c r="L227" s="157" t="s">
        <v>648</v>
      </c>
      <c r="M227" s="158">
        <v>2022.0</v>
      </c>
      <c r="N227" s="157" t="s">
        <v>649</v>
      </c>
      <c r="O227" s="157" t="s">
        <v>650</v>
      </c>
      <c r="P227" s="161" t="b">
        <v>0</v>
      </c>
      <c r="Q227" s="158">
        <v>0.47</v>
      </c>
      <c r="R227" s="158">
        <v>0.243</v>
      </c>
      <c r="S227" s="158">
        <v>0.227</v>
      </c>
      <c r="T227" s="157" t="s">
        <v>117</v>
      </c>
      <c r="U227" s="46" t="s">
        <v>651</v>
      </c>
      <c r="V227" s="46" t="b">
        <v>1</v>
      </c>
      <c r="W227" s="46">
        <v>0.95</v>
      </c>
      <c r="X227" s="46">
        <v>0.230849999999999</v>
      </c>
      <c r="Y227" s="46" t="s">
        <v>640</v>
      </c>
      <c r="Z227" s="46" t="b">
        <v>0</v>
      </c>
      <c r="AA227" s="46" t="b">
        <v>0</v>
      </c>
    </row>
    <row r="228">
      <c r="A228" s="157" t="s">
        <v>555</v>
      </c>
      <c r="B228" s="158">
        <v>1.0</v>
      </c>
      <c r="C228" s="157" t="s">
        <v>642</v>
      </c>
      <c r="D228" s="157" t="s">
        <v>643</v>
      </c>
      <c r="E228" s="157" t="s">
        <v>644</v>
      </c>
      <c r="F228" s="162" t="s">
        <v>978</v>
      </c>
      <c r="G228" s="157" t="s">
        <v>979</v>
      </c>
      <c r="H228" s="157"/>
      <c r="I228" s="158">
        <v>24.62883</v>
      </c>
      <c r="J228" s="158">
        <v>60.16132</v>
      </c>
      <c r="K228" s="157" t="s">
        <v>980</v>
      </c>
      <c r="L228" s="157" t="s">
        <v>648</v>
      </c>
      <c r="M228" s="158">
        <v>2022.0</v>
      </c>
      <c r="N228" s="157" t="s">
        <v>649</v>
      </c>
      <c r="O228" s="157" t="s">
        <v>650</v>
      </c>
      <c r="P228" s="161" t="b">
        <v>0</v>
      </c>
      <c r="Q228" s="158">
        <v>0.243</v>
      </c>
      <c r="R228" s="158">
        <v>0.242458</v>
      </c>
      <c r="S228" s="158">
        <v>5.42E-4</v>
      </c>
      <c r="T228" s="157" t="s">
        <v>117</v>
      </c>
      <c r="U228" s="46" t="s">
        <v>651</v>
      </c>
      <c r="V228" s="46" t="b">
        <v>1</v>
      </c>
      <c r="W228" s="46">
        <v>0.95</v>
      </c>
      <c r="X228" s="46">
        <v>0.2303351</v>
      </c>
      <c r="Y228" s="46" t="s">
        <v>640</v>
      </c>
      <c r="Z228" s="46" t="b">
        <v>0</v>
      </c>
      <c r="AA228" s="46" t="b">
        <v>0</v>
      </c>
    </row>
    <row r="229">
      <c r="A229" s="157" t="s">
        <v>573</v>
      </c>
      <c r="B229" s="158">
        <v>1.0</v>
      </c>
      <c r="C229" s="157" t="s">
        <v>642</v>
      </c>
      <c r="D229" s="157" t="s">
        <v>643</v>
      </c>
      <c r="E229" s="157" t="s">
        <v>644</v>
      </c>
      <c r="F229" s="157" t="s">
        <v>981</v>
      </c>
      <c r="G229" s="157" t="s">
        <v>982</v>
      </c>
      <c r="H229" s="157"/>
      <c r="I229" s="158">
        <v>27.8935659</v>
      </c>
      <c r="J229" s="158">
        <v>59.27046728</v>
      </c>
      <c r="K229" s="157" t="s">
        <v>983</v>
      </c>
      <c r="L229" s="157" t="s">
        <v>648</v>
      </c>
      <c r="M229" s="158">
        <v>2022.0</v>
      </c>
      <c r="N229" s="157" t="s">
        <v>649</v>
      </c>
      <c r="O229" s="157" t="s">
        <v>650</v>
      </c>
      <c r="P229" s="161" t="b">
        <v>0</v>
      </c>
      <c r="Q229" s="158">
        <v>1.15</v>
      </c>
      <c r="R229" s="158">
        <v>0.24</v>
      </c>
      <c r="S229" s="158">
        <v>0.91</v>
      </c>
      <c r="T229" s="157" t="s">
        <v>117</v>
      </c>
      <c r="U229" s="46" t="s">
        <v>651</v>
      </c>
      <c r="V229" s="46" t="b">
        <v>1</v>
      </c>
      <c r="W229" s="46">
        <v>0.95</v>
      </c>
      <c r="X229" s="46">
        <v>0.227999999999999</v>
      </c>
      <c r="Y229" s="46" t="s">
        <v>640</v>
      </c>
      <c r="Z229" s="46" t="b">
        <v>0</v>
      </c>
      <c r="AA229" s="46" t="b">
        <v>0</v>
      </c>
    </row>
    <row r="230">
      <c r="A230" s="157" t="s">
        <v>555</v>
      </c>
      <c r="B230" s="158">
        <v>1.0</v>
      </c>
      <c r="C230" s="157" t="s">
        <v>642</v>
      </c>
      <c r="D230" s="157" t="s">
        <v>643</v>
      </c>
      <c r="E230" s="157" t="s">
        <v>644</v>
      </c>
      <c r="F230" s="162" t="s">
        <v>984</v>
      </c>
      <c r="G230" s="157" t="s">
        <v>985</v>
      </c>
      <c r="H230" s="157"/>
      <c r="I230" s="158">
        <v>24.90581</v>
      </c>
      <c r="J230" s="158">
        <v>60.1604</v>
      </c>
      <c r="K230" s="157" t="s">
        <v>986</v>
      </c>
      <c r="L230" s="157" t="s">
        <v>648</v>
      </c>
      <c r="M230" s="158">
        <v>2022.0</v>
      </c>
      <c r="N230" s="157" t="s">
        <v>649</v>
      </c>
      <c r="O230" s="157" t="s">
        <v>650</v>
      </c>
      <c r="P230" s="161" t="b">
        <v>0</v>
      </c>
      <c r="Q230" s="158">
        <v>1.27</v>
      </c>
      <c r="R230" s="158">
        <v>0.24</v>
      </c>
      <c r="S230" s="158">
        <v>1.03</v>
      </c>
      <c r="T230" s="157" t="s">
        <v>117</v>
      </c>
      <c r="U230" s="46" t="s">
        <v>651</v>
      </c>
      <c r="V230" s="46" t="b">
        <v>1</v>
      </c>
      <c r="W230" s="46">
        <v>0.95</v>
      </c>
      <c r="X230" s="46">
        <v>0.227999999999999</v>
      </c>
      <c r="Y230" s="46" t="s">
        <v>640</v>
      </c>
      <c r="Z230" s="46" t="b">
        <v>0</v>
      </c>
      <c r="AA230" s="46" t="b">
        <v>0</v>
      </c>
    </row>
    <row r="231">
      <c r="A231" s="157" t="s">
        <v>555</v>
      </c>
      <c r="B231" s="158">
        <v>1.0</v>
      </c>
      <c r="C231" s="157" t="s">
        <v>642</v>
      </c>
      <c r="D231" s="157" t="s">
        <v>643</v>
      </c>
      <c r="E231" s="157" t="s">
        <v>644</v>
      </c>
      <c r="F231" s="162" t="s">
        <v>987</v>
      </c>
      <c r="G231" s="157" t="s">
        <v>988</v>
      </c>
      <c r="H231" s="157"/>
      <c r="I231" s="158">
        <v>27.28942</v>
      </c>
      <c r="J231" s="158">
        <v>61.66892</v>
      </c>
      <c r="K231" s="157" t="s">
        <v>989</v>
      </c>
      <c r="L231" s="157" t="s">
        <v>648</v>
      </c>
      <c r="M231" s="158">
        <v>2022.0</v>
      </c>
      <c r="N231" s="157" t="s">
        <v>649</v>
      </c>
      <c r="O231" s="157" t="s">
        <v>650</v>
      </c>
      <c r="P231" s="161" t="b">
        <v>0</v>
      </c>
      <c r="Q231" s="158">
        <v>0.303</v>
      </c>
      <c r="R231" s="158">
        <v>0.2396</v>
      </c>
      <c r="S231" s="158">
        <v>0.0634</v>
      </c>
      <c r="T231" s="157" t="s">
        <v>117</v>
      </c>
      <c r="U231" s="46" t="s">
        <v>651</v>
      </c>
      <c r="V231" s="46" t="b">
        <v>1</v>
      </c>
      <c r="W231" s="46">
        <v>0.95</v>
      </c>
      <c r="X231" s="46">
        <v>0.22762</v>
      </c>
      <c r="Y231" s="46" t="s">
        <v>640</v>
      </c>
      <c r="Z231" s="46" t="b">
        <v>0</v>
      </c>
      <c r="AA231" s="46" t="b">
        <v>0</v>
      </c>
    </row>
    <row r="232">
      <c r="A232" s="157" t="s">
        <v>555</v>
      </c>
      <c r="B232" s="158">
        <v>1.0</v>
      </c>
      <c r="C232" s="157" t="s">
        <v>642</v>
      </c>
      <c r="D232" s="157" t="s">
        <v>643</v>
      </c>
      <c r="E232" s="157" t="s">
        <v>644</v>
      </c>
      <c r="F232" s="162" t="s">
        <v>990</v>
      </c>
      <c r="G232" s="157" t="s">
        <v>991</v>
      </c>
      <c r="H232" s="157"/>
      <c r="I232" s="158">
        <v>29.83795</v>
      </c>
      <c r="J232" s="158">
        <v>62.59351</v>
      </c>
      <c r="K232" s="157" t="s">
        <v>698</v>
      </c>
      <c r="L232" s="157" t="s">
        <v>648</v>
      </c>
      <c r="M232" s="158">
        <v>2022.0</v>
      </c>
      <c r="N232" s="157" t="s">
        <v>649</v>
      </c>
      <c r="O232" s="157" t="s">
        <v>650</v>
      </c>
      <c r="P232" s="161" t="b">
        <v>0</v>
      </c>
      <c r="Q232" s="158">
        <v>0.339</v>
      </c>
      <c r="R232" s="158">
        <v>0.234</v>
      </c>
      <c r="S232" s="158">
        <v>0.105</v>
      </c>
      <c r="T232" s="157" t="s">
        <v>117</v>
      </c>
      <c r="U232" s="46" t="s">
        <v>651</v>
      </c>
      <c r="V232" s="46" t="b">
        <v>1</v>
      </c>
      <c r="W232" s="46">
        <v>0.95</v>
      </c>
      <c r="X232" s="46">
        <v>0.2223</v>
      </c>
      <c r="Y232" s="46" t="s">
        <v>640</v>
      </c>
      <c r="Z232" s="46" t="b">
        <v>0</v>
      </c>
      <c r="AA232" s="46" t="b">
        <v>0</v>
      </c>
    </row>
    <row r="233">
      <c r="A233" s="157" t="s">
        <v>574</v>
      </c>
      <c r="B233" s="158">
        <v>1.0</v>
      </c>
      <c r="C233" s="157" t="s">
        <v>642</v>
      </c>
      <c r="D233" s="157" t="s">
        <v>643</v>
      </c>
      <c r="E233" s="157" t="s">
        <v>644</v>
      </c>
      <c r="F233" s="162" t="s">
        <v>992</v>
      </c>
      <c r="G233" s="157" t="s">
        <v>993</v>
      </c>
      <c r="H233" s="157"/>
      <c r="I233" s="158">
        <v>21.198325</v>
      </c>
      <c r="J233" s="158">
        <v>48.617783</v>
      </c>
      <c r="K233" s="157" t="s">
        <v>994</v>
      </c>
      <c r="L233" s="157" t="s">
        <v>648</v>
      </c>
      <c r="M233" s="158">
        <v>2017.0</v>
      </c>
      <c r="N233" s="157" t="s">
        <v>649</v>
      </c>
      <c r="O233" s="157" t="s">
        <v>650</v>
      </c>
      <c r="P233" s="161" t="b">
        <v>0</v>
      </c>
      <c r="Q233" s="158">
        <v>3.21</v>
      </c>
      <c r="R233" s="158">
        <v>0.232809735</v>
      </c>
      <c r="S233" s="158">
        <v>2.977190265</v>
      </c>
      <c r="T233" s="157" t="s">
        <v>594</v>
      </c>
      <c r="U233" s="46" t="s">
        <v>651</v>
      </c>
      <c r="V233" s="46" t="b">
        <v>1</v>
      </c>
      <c r="W233" s="46">
        <v>0.95</v>
      </c>
      <c r="X233" s="46">
        <v>0.221169248249999</v>
      </c>
      <c r="Y233" s="46" t="s">
        <v>640</v>
      </c>
      <c r="Z233" s="46" t="b">
        <v>0</v>
      </c>
      <c r="AA233" s="46" t="b">
        <v>0</v>
      </c>
    </row>
    <row r="234">
      <c r="A234" s="157" t="s">
        <v>562</v>
      </c>
      <c r="B234" s="158">
        <v>5.0</v>
      </c>
      <c r="C234" s="157" t="s">
        <v>652</v>
      </c>
      <c r="D234" s="157" t="s">
        <v>653</v>
      </c>
      <c r="E234" s="157" t="s">
        <v>654</v>
      </c>
      <c r="F234" s="157" t="s">
        <v>995</v>
      </c>
      <c r="G234" s="157" t="s">
        <v>996</v>
      </c>
      <c r="H234" s="157"/>
      <c r="I234" s="158">
        <v>3.626551</v>
      </c>
      <c r="J234" s="158">
        <v>50.54903</v>
      </c>
      <c r="K234" s="157" t="s">
        <v>997</v>
      </c>
      <c r="L234" s="157" t="s">
        <v>648</v>
      </c>
      <c r="M234" s="158">
        <v>2022.0</v>
      </c>
      <c r="N234" s="157" t="s">
        <v>116</v>
      </c>
      <c r="O234" s="157" t="s">
        <v>658</v>
      </c>
      <c r="P234" s="161" t="b">
        <v>1</v>
      </c>
      <c r="Q234" s="158">
        <v>0.42</v>
      </c>
      <c r="R234" s="158">
        <v>0.231</v>
      </c>
      <c r="S234" s="158">
        <v>0.189</v>
      </c>
      <c r="T234" s="157" t="s">
        <v>116</v>
      </c>
      <c r="U234" s="46" t="s">
        <v>651</v>
      </c>
      <c r="V234" s="46" t="b">
        <v>1</v>
      </c>
      <c r="W234" s="46">
        <v>0.95</v>
      </c>
      <c r="X234" s="46">
        <v>0.21945</v>
      </c>
      <c r="Y234" s="46">
        <v>29.1215484508055</v>
      </c>
      <c r="Z234" s="46" t="b">
        <v>1</v>
      </c>
      <c r="AA234" s="46" t="b">
        <v>1</v>
      </c>
    </row>
    <row r="235">
      <c r="A235" s="157" t="s">
        <v>556</v>
      </c>
      <c r="B235" s="158">
        <v>5.0</v>
      </c>
      <c r="C235" s="157" t="s">
        <v>652</v>
      </c>
      <c r="D235" s="157" t="s">
        <v>653</v>
      </c>
      <c r="E235" s="157" t="s">
        <v>654</v>
      </c>
      <c r="F235" s="157" t="s">
        <v>998</v>
      </c>
      <c r="G235" s="157" t="s">
        <v>999</v>
      </c>
      <c r="H235" s="157"/>
      <c r="I235" s="158">
        <v>4.86021</v>
      </c>
      <c r="J235" s="158">
        <v>43.4201</v>
      </c>
      <c r="K235" s="157" t="s">
        <v>1000</v>
      </c>
      <c r="L235" s="157" t="s">
        <v>648</v>
      </c>
      <c r="M235" s="158">
        <v>2022.0</v>
      </c>
      <c r="N235" s="157" t="s">
        <v>116</v>
      </c>
      <c r="O235" s="157" t="s">
        <v>658</v>
      </c>
      <c r="P235" s="161" t="b">
        <v>1</v>
      </c>
      <c r="Q235" s="158">
        <v>0.42</v>
      </c>
      <c r="R235" s="158">
        <v>0.231</v>
      </c>
      <c r="S235" s="158">
        <v>0.189</v>
      </c>
      <c r="T235" s="157" t="s">
        <v>116</v>
      </c>
      <c r="U235" s="46" t="s">
        <v>651</v>
      </c>
      <c r="V235" s="46" t="b">
        <v>1</v>
      </c>
      <c r="W235" s="46">
        <v>0.95</v>
      </c>
      <c r="X235" s="46">
        <v>0.21945</v>
      </c>
      <c r="Y235" s="46">
        <v>16.0147410904209</v>
      </c>
      <c r="Z235" s="46" t="b">
        <v>1</v>
      </c>
      <c r="AA235" s="46" t="b">
        <v>1</v>
      </c>
    </row>
    <row r="236">
      <c r="A236" s="157" t="s">
        <v>554</v>
      </c>
      <c r="B236" s="158">
        <v>1.0</v>
      </c>
      <c r="C236" s="157" t="s">
        <v>642</v>
      </c>
      <c r="D236" s="157" t="s">
        <v>643</v>
      </c>
      <c r="E236" s="157" t="s">
        <v>644</v>
      </c>
      <c r="F236" s="157" t="s">
        <v>1001</v>
      </c>
      <c r="G236" s="157" t="s">
        <v>1002</v>
      </c>
      <c r="H236" s="157"/>
      <c r="I236" s="158">
        <v>18.7116</v>
      </c>
      <c r="J236" s="158">
        <v>63.2767</v>
      </c>
      <c r="K236" s="157" t="s">
        <v>834</v>
      </c>
      <c r="L236" s="157" t="s">
        <v>648</v>
      </c>
      <c r="M236" s="158">
        <v>2022.0</v>
      </c>
      <c r="N236" s="157" t="s">
        <v>649</v>
      </c>
      <c r="O236" s="157" t="s">
        <v>650</v>
      </c>
      <c r="P236" s="161" t="b">
        <v>0</v>
      </c>
      <c r="Q236" s="158">
        <v>0.272</v>
      </c>
      <c r="R236" s="158">
        <v>0.2309</v>
      </c>
      <c r="S236" s="158">
        <v>0.0411</v>
      </c>
      <c r="T236" s="157" t="s">
        <v>117</v>
      </c>
      <c r="U236" s="46" t="s">
        <v>651</v>
      </c>
      <c r="V236" s="46" t="b">
        <v>1</v>
      </c>
      <c r="W236" s="46">
        <v>0.95</v>
      </c>
      <c r="X236" s="46">
        <v>0.219355</v>
      </c>
      <c r="Y236" s="46" t="s">
        <v>640</v>
      </c>
      <c r="Z236" s="46" t="b">
        <v>0</v>
      </c>
      <c r="AA236" s="46" t="b">
        <v>0</v>
      </c>
    </row>
    <row r="237">
      <c r="A237" s="157" t="s">
        <v>573</v>
      </c>
      <c r="B237" s="158">
        <v>1.0</v>
      </c>
      <c r="C237" s="157" t="s">
        <v>642</v>
      </c>
      <c r="D237" s="157" t="s">
        <v>643</v>
      </c>
      <c r="E237" s="157" t="s">
        <v>644</v>
      </c>
      <c r="F237" s="157" t="s">
        <v>1003</v>
      </c>
      <c r="G237" s="157" t="s">
        <v>1004</v>
      </c>
      <c r="H237" s="157"/>
      <c r="I237" s="158">
        <v>28.12581478</v>
      </c>
      <c r="J237" s="158">
        <v>59.35296444</v>
      </c>
      <c r="K237" s="157" t="s">
        <v>1005</v>
      </c>
      <c r="L237" s="157" t="s">
        <v>648</v>
      </c>
      <c r="M237" s="158">
        <v>2022.0</v>
      </c>
      <c r="N237" s="157" t="s">
        <v>649</v>
      </c>
      <c r="O237" s="157" t="s">
        <v>650</v>
      </c>
      <c r="P237" s="161" t="b">
        <v>0</v>
      </c>
      <c r="Q237" s="158">
        <v>1.27</v>
      </c>
      <c r="R237" s="158">
        <v>0.23</v>
      </c>
      <c r="S237" s="158">
        <v>1.04</v>
      </c>
      <c r="T237" s="157" t="s">
        <v>117</v>
      </c>
      <c r="U237" s="46" t="s">
        <v>651</v>
      </c>
      <c r="V237" s="46" t="b">
        <v>1</v>
      </c>
      <c r="W237" s="46">
        <v>0.95</v>
      </c>
      <c r="X237" s="46">
        <v>0.2185</v>
      </c>
      <c r="Y237" s="46" t="s">
        <v>640</v>
      </c>
      <c r="Z237" s="46" t="b">
        <v>0</v>
      </c>
      <c r="AA237" s="46" t="b">
        <v>0</v>
      </c>
    </row>
    <row r="238">
      <c r="A238" s="157" t="s">
        <v>566</v>
      </c>
      <c r="B238" s="158">
        <v>1.0</v>
      </c>
      <c r="C238" s="157" t="s">
        <v>642</v>
      </c>
      <c r="D238" s="157" t="s">
        <v>643</v>
      </c>
      <c r="E238" s="157" t="s">
        <v>644</v>
      </c>
      <c r="F238" s="157" t="s">
        <v>1006</v>
      </c>
      <c r="G238" s="157" t="s">
        <v>1007</v>
      </c>
      <c r="H238" s="157"/>
      <c r="I238" s="158">
        <v>19.27672195</v>
      </c>
      <c r="J238" s="158">
        <v>50.34780502</v>
      </c>
      <c r="K238" s="157" t="s">
        <v>921</v>
      </c>
      <c r="L238" s="157" t="s">
        <v>648</v>
      </c>
      <c r="M238" s="158">
        <v>2022.0</v>
      </c>
      <c r="N238" s="157" t="s">
        <v>649</v>
      </c>
      <c r="O238" s="157" t="s">
        <v>650</v>
      </c>
      <c r="P238" s="161" t="b">
        <v>0</v>
      </c>
      <c r="Q238" s="158">
        <v>3.17</v>
      </c>
      <c r="R238" s="158">
        <v>0.229908679</v>
      </c>
      <c r="S238" s="158">
        <v>2.940091321</v>
      </c>
      <c r="T238" s="157" t="s">
        <v>594</v>
      </c>
      <c r="U238" s="46" t="s">
        <v>651</v>
      </c>
      <c r="V238" s="46" t="b">
        <v>1</v>
      </c>
      <c r="W238" s="46">
        <v>0.95</v>
      </c>
      <c r="X238" s="46">
        <v>0.218413245049999</v>
      </c>
      <c r="Y238" s="46" t="s">
        <v>640</v>
      </c>
      <c r="Z238" s="46" t="b">
        <v>0</v>
      </c>
      <c r="AA238" s="46" t="b">
        <v>0</v>
      </c>
    </row>
    <row r="239">
      <c r="A239" s="157" t="s">
        <v>555</v>
      </c>
      <c r="B239" s="158">
        <v>6.0</v>
      </c>
      <c r="C239" s="157" t="s">
        <v>659</v>
      </c>
      <c r="D239" s="157" t="s">
        <v>660</v>
      </c>
      <c r="E239" s="157" t="s">
        <v>661</v>
      </c>
      <c r="F239" s="162" t="s">
        <v>1008</v>
      </c>
      <c r="G239" s="157" t="s">
        <v>1009</v>
      </c>
      <c r="H239" s="157"/>
      <c r="I239" s="158">
        <v>26.95694</v>
      </c>
      <c r="J239" s="158">
        <v>60.46577</v>
      </c>
      <c r="K239" s="157" t="s">
        <v>772</v>
      </c>
      <c r="L239" s="157" t="s">
        <v>648</v>
      </c>
      <c r="M239" s="158">
        <v>2022.0</v>
      </c>
      <c r="N239" s="157" t="s">
        <v>123</v>
      </c>
      <c r="O239" s="157" t="s">
        <v>665</v>
      </c>
      <c r="P239" s="161" t="b">
        <v>1</v>
      </c>
      <c r="Q239" s="158">
        <v>0.417</v>
      </c>
      <c r="R239" s="158">
        <v>0.229</v>
      </c>
      <c r="S239" s="158">
        <v>0.188</v>
      </c>
      <c r="T239" s="157" t="s">
        <v>123</v>
      </c>
      <c r="U239" s="46" t="s">
        <v>651</v>
      </c>
      <c r="V239" s="46" t="b">
        <v>1</v>
      </c>
      <c r="W239" s="46">
        <v>0.95</v>
      </c>
      <c r="X239" s="46">
        <v>0.21755</v>
      </c>
      <c r="Y239" s="46" t="s">
        <v>640</v>
      </c>
      <c r="Z239" s="46" t="b">
        <v>0</v>
      </c>
      <c r="AA239" s="46" t="b">
        <v>0</v>
      </c>
    </row>
    <row r="240">
      <c r="A240" s="157" t="s">
        <v>555</v>
      </c>
      <c r="B240" s="158">
        <v>1.0</v>
      </c>
      <c r="C240" s="157" t="s">
        <v>642</v>
      </c>
      <c r="D240" s="157" t="s">
        <v>643</v>
      </c>
      <c r="E240" s="157" t="s">
        <v>644</v>
      </c>
      <c r="F240" s="162" t="s">
        <v>1010</v>
      </c>
      <c r="G240" s="157" t="s">
        <v>1011</v>
      </c>
      <c r="H240" s="157"/>
      <c r="I240" s="158">
        <v>25.74089</v>
      </c>
      <c r="J240" s="158">
        <v>62.59464</v>
      </c>
      <c r="K240" s="157" t="s">
        <v>664</v>
      </c>
      <c r="L240" s="157" t="s">
        <v>648</v>
      </c>
      <c r="M240" s="158">
        <v>2022.0</v>
      </c>
      <c r="N240" s="157" t="s">
        <v>649</v>
      </c>
      <c r="O240" s="157" t="s">
        <v>650</v>
      </c>
      <c r="P240" s="161" t="b">
        <v>0</v>
      </c>
      <c r="Q240" s="158">
        <v>0.254</v>
      </c>
      <c r="R240" s="158">
        <v>0.2251</v>
      </c>
      <c r="S240" s="158">
        <v>0.0289</v>
      </c>
      <c r="T240" s="157" t="s">
        <v>117</v>
      </c>
      <c r="U240" s="46" t="s">
        <v>651</v>
      </c>
      <c r="V240" s="46" t="b">
        <v>1</v>
      </c>
      <c r="W240" s="46">
        <v>0.95</v>
      </c>
      <c r="X240" s="46">
        <v>0.213844999999999</v>
      </c>
      <c r="Y240" s="46" t="s">
        <v>640</v>
      </c>
      <c r="Z240" s="46" t="b">
        <v>0</v>
      </c>
      <c r="AA240" s="46" t="b">
        <v>0</v>
      </c>
    </row>
    <row r="241">
      <c r="A241" s="157" t="s">
        <v>555</v>
      </c>
      <c r="B241" s="158">
        <v>1.0</v>
      </c>
      <c r="C241" s="157" t="s">
        <v>642</v>
      </c>
      <c r="D241" s="157" t="s">
        <v>643</v>
      </c>
      <c r="E241" s="157" t="s">
        <v>644</v>
      </c>
      <c r="F241" s="162" t="s">
        <v>1012</v>
      </c>
      <c r="G241" s="157" t="s">
        <v>1013</v>
      </c>
      <c r="H241" s="157"/>
      <c r="I241" s="158">
        <v>21.81623</v>
      </c>
      <c r="J241" s="158">
        <v>61.48722</v>
      </c>
      <c r="K241" s="157" t="s">
        <v>885</v>
      </c>
      <c r="L241" s="157" t="s">
        <v>648</v>
      </c>
      <c r="M241" s="158">
        <v>2022.0</v>
      </c>
      <c r="N241" s="157" t="s">
        <v>649</v>
      </c>
      <c r="O241" s="157" t="s">
        <v>650</v>
      </c>
      <c r="P241" s="161" t="b">
        <v>0</v>
      </c>
      <c r="Q241" s="158">
        <v>0.227</v>
      </c>
      <c r="R241" s="158">
        <v>0.22329</v>
      </c>
      <c r="S241" s="158">
        <v>0.00371</v>
      </c>
      <c r="T241" s="157" t="s">
        <v>117</v>
      </c>
      <c r="U241" s="46" t="s">
        <v>651</v>
      </c>
      <c r="V241" s="46" t="b">
        <v>1</v>
      </c>
      <c r="W241" s="46">
        <v>0.95</v>
      </c>
      <c r="X241" s="46">
        <v>0.212125499999999</v>
      </c>
      <c r="Y241" s="46" t="s">
        <v>640</v>
      </c>
      <c r="Z241" s="46" t="b">
        <v>0</v>
      </c>
      <c r="AA241" s="46" t="b">
        <v>0</v>
      </c>
    </row>
    <row r="242">
      <c r="A242" s="157" t="s">
        <v>555</v>
      </c>
      <c r="B242" s="158">
        <v>1.0</v>
      </c>
      <c r="C242" s="157" t="s">
        <v>642</v>
      </c>
      <c r="D242" s="157" t="s">
        <v>643</v>
      </c>
      <c r="E242" s="157" t="s">
        <v>644</v>
      </c>
      <c r="F242" s="162" t="s">
        <v>1014</v>
      </c>
      <c r="G242" s="157" t="s">
        <v>1015</v>
      </c>
      <c r="H242" s="157"/>
      <c r="I242" s="158">
        <v>25.43516</v>
      </c>
      <c r="J242" s="158">
        <v>65.03762</v>
      </c>
      <c r="K242" s="157" t="s">
        <v>721</v>
      </c>
      <c r="L242" s="157" t="s">
        <v>648</v>
      </c>
      <c r="M242" s="158">
        <v>2022.0</v>
      </c>
      <c r="N242" s="157" t="s">
        <v>649</v>
      </c>
      <c r="O242" s="157" t="s">
        <v>650</v>
      </c>
      <c r="P242" s="161" t="b">
        <v>0</v>
      </c>
      <c r="Q242" s="158">
        <v>0.455</v>
      </c>
      <c r="R242" s="158">
        <v>0.221</v>
      </c>
      <c r="S242" s="158">
        <v>0.234</v>
      </c>
      <c r="T242" s="157" t="s">
        <v>117</v>
      </c>
      <c r="U242" s="46" t="s">
        <v>651</v>
      </c>
      <c r="V242" s="46" t="b">
        <v>1</v>
      </c>
      <c r="W242" s="46">
        <v>0.95</v>
      </c>
      <c r="X242" s="46">
        <v>0.20995</v>
      </c>
      <c r="Y242" s="46" t="s">
        <v>640</v>
      </c>
      <c r="Z242" s="46" t="b">
        <v>0</v>
      </c>
      <c r="AA242" s="46" t="b">
        <v>0</v>
      </c>
    </row>
    <row r="243">
      <c r="A243" s="157" t="s">
        <v>563</v>
      </c>
      <c r="B243" s="158">
        <v>5.0</v>
      </c>
      <c r="C243" s="157" t="s">
        <v>652</v>
      </c>
      <c r="D243" s="157" t="s">
        <v>653</v>
      </c>
      <c r="E243" s="157" t="s">
        <v>654</v>
      </c>
      <c r="F243" s="157" t="s">
        <v>1016</v>
      </c>
      <c r="G243" s="157" t="s">
        <v>1017</v>
      </c>
      <c r="H243" s="157"/>
      <c r="I243" s="158">
        <v>-3.14958</v>
      </c>
      <c r="J243" s="158">
        <v>51.47094</v>
      </c>
      <c r="K243" s="157" t="s">
        <v>1018</v>
      </c>
      <c r="L243" s="157" t="s">
        <v>648</v>
      </c>
      <c r="M243" s="158">
        <v>2019.0</v>
      </c>
      <c r="N243" s="157" t="s">
        <v>116</v>
      </c>
      <c r="O243" s="157" t="s">
        <v>658</v>
      </c>
      <c r="P243" s="161" t="b">
        <v>1</v>
      </c>
      <c r="Q243" s="158">
        <v>0.364</v>
      </c>
      <c r="R243" s="158">
        <v>0.219</v>
      </c>
      <c r="S243" s="158">
        <v>0.145</v>
      </c>
      <c r="T243" s="157" t="s">
        <v>116</v>
      </c>
      <c r="U243" s="46" t="s">
        <v>651</v>
      </c>
      <c r="V243" s="46" t="b">
        <v>1</v>
      </c>
      <c r="W243" s="46">
        <v>0.95</v>
      </c>
      <c r="X243" s="46">
        <v>0.208049999999999</v>
      </c>
      <c r="Y243" s="46" t="s">
        <v>640</v>
      </c>
      <c r="Z243" s="46" t="b">
        <v>0</v>
      </c>
      <c r="AA243" s="46" t="b">
        <v>0</v>
      </c>
    </row>
    <row r="244">
      <c r="A244" s="157" t="s">
        <v>557</v>
      </c>
      <c r="B244" s="158">
        <v>5.0</v>
      </c>
      <c r="C244" s="157" t="s">
        <v>652</v>
      </c>
      <c r="D244" s="157" t="s">
        <v>653</v>
      </c>
      <c r="E244" s="157" t="s">
        <v>654</v>
      </c>
      <c r="F244" s="162" t="s">
        <v>1019</v>
      </c>
      <c r="G244" s="157" t="s">
        <v>1020</v>
      </c>
      <c r="H244" s="157"/>
      <c r="I244" s="158">
        <v>7.14281346815411</v>
      </c>
      <c r="J244" s="158">
        <v>51.2253054844507</v>
      </c>
      <c r="K244" s="157" t="s">
        <v>1021</v>
      </c>
      <c r="L244" s="157" t="s">
        <v>648</v>
      </c>
      <c r="M244" s="158">
        <v>2022.0</v>
      </c>
      <c r="N244" s="157" t="s">
        <v>116</v>
      </c>
      <c r="O244" s="157" t="s">
        <v>658</v>
      </c>
      <c r="P244" s="161" t="b">
        <v>1</v>
      </c>
      <c r="Q244" s="158">
        <v>0.371</v>
      </c>
      <c r="R244" s="158">
        <v>0.216</v>
      </c>
      <c r="S244" s="158">
        <v>0.155</v>
      </c>
      <c r="T244" s="157" t="s">
        <v>116</v>
      </c>
      <c r="U244" s="46" t="s">
        <v>651</v>
      </c>
      <c r="V244" s="46" t="b">
        <v>1</v>
      </c>
      <c r="W244" s="46">
        <v>0.95</v>
      </c>
      <c r="X244" s="46">
        <v>0.2052</v>
      </c>
      <c r="Y244" s="46">
        <v>20.5143967119037</v>
      </c>
      <c r="Z244" s="46" t="b">
        <v>1</v>
      </c>
      <c r="AA244" s="46" t="b">
        <v>1</v>
      </c>
    </row>
    <row r="245">
      <c r="A245" s="157" t="s">
        <v>569</v>
      </c>
      <c r="B245" s="158">
        <v>6.0</v>
      </c>
      <c r="C245" s="157" t="s">
        <v>659</v>
      </c>
      <c r="D245" s="157" t="s">
        <v>717</v>
      </c>
      <c r="E245" s="157" t="s">
        <v>718</v>
      </c>
      <c r="F245" s="157" t="s">
        <v>1022</v>
      </c>
      <c r="G245" s="157" t="s">
        <v>1023</v>
      </c>
      <c r="H245" s="157"/>
      <c r="I245" s="158">
        <v>22.29935</v>
      </c>
      <c r="J245" s="158">
        <v>48.130874</v>
      </c>
      <c r="K245" s="157" t="s">
        <v>1024</v>
      </c>
      <c r="L245" s="157" t="s">
        <v>648</v>
      </c>
      <c r="M245" s="158">
        <v>2017.0</v>
      </c>
      <c r="N245" s="157" t="s">
        <v>123</v>
      </c>
      <c r="O245" s="157" t="s">
        <v>722</v>
      </c>
      <c r="P245" s="161" t="b">
        <v>1</v>
      </c>
      <c r="Q245" s="158">
        <v>0.498</v>
      </c>
      <c r="R245" s="158">
        <v>0.215482633</v>
      </c>
      <c r="S245" s="158">
        <v>0.282517367</v>
      </c>
      <c r="T245" s="157" t="s">
        <v>123</v>
      </c>
      <c r="U245" s="46" t="s">
        <v>651</v>
      </c>
      <c r="V245" s="46" t="b">
        <v>1</v>
      </c>
      <c r="W245" s="46">
        <v>0.95</v>
      </c>
      <c r="X245" s="46">
        <v>0.20470850135</v>
      </c>
      <c r="Y245" s="46" t="s">
        <v>640</v>
      </c>
      <c r="Z245" s="46" t="b">
        <v>0</v>
      </c>
      <c r="AA245" s="46" t="b">
        <v>0</v>
      </c>
    </row>
    <row r="246">
      <c r="A246" s="157" t="s">
        <v>559</v>
      </c>
      <c r="B246" s="158">
        <v>5.0</v>
      </c>
      <c r="C246" s="157" t="s">
        <v>652</v>
      </c>
      <c r="D246" s="157" t="s">
        <v>653</v>
      </c>
      <c r="E246" s="157" t="s">
        <v>654</v>
      </c>
      <c r="F246" s="157" t="s">
        <v>1025</v>
      </c>
      <c r="G246" s="157" t="s">
        <v>1026</v>
      </c>
      <c r="H246" s="157"/>
      <c r="I246" s="158">
        <v>13.8971</v>
      </c>
      <c r="J246" s="158">
        <v>41.4375</v>
      </c>
      <c r="K246" s="157" t="s">
        <v>1027</v>
      </c>
      <c r="L246" s="157" t="s">
        <v>648</v>
      </c>
      <c r="M246" s="158">
        <v>2022.0</v>
      </c>
      <c r="N246" s="157" t="s">
        <v>116</v>
      </c>
      <c r="O246" s="157" t="s">
        <v>658</v>
      </c>
      <c r="P246" s="161" t="b">
        <v>1</v>
      </c>
      <c r="Q246" s="158">
        <v>0.389136819</v>
      </c>
      <c r="R246" s="158">
        <v>0.21402525</v>
      </c>
      <c r="S246" s="158">
        <v>0.175111569</v>
      </c>
      <c r="T246" s="157" t="s">
        <v>116</v>
      </c>
      <c r="U246" s="46" t="s">
        <v>651</v>
      </c>
      <c r="V246" s="46" t="b">
        <v>1</v>
      </c>
      <c r="W246" s="46">
        <v>0.95</v>
      </c>
      <c r="X246" s="46">
        <v>0.2033239875</v>
      </c>
      <c r="Y246" s="46" t="s">
        <v>640</v>
      </c>
      <c r="Z246" s="46" t="b">
        <v>0</v>
      </c>
      <c r="AA246" s="46" t="b">
        <v>0</v>
      </c>
    </row>
    <row r="247">
      <c r="A247" s="157" t="s">
        <v>557</v>
      </c>
      <c r="B247" s="158">
        <v>5.0</v>
      </c>
      <c r="C247" s="157" t="s">
        <v>652</v>
      </c>
      <c r="D247" s="157" t="s">
        <v>653</v>
      </c>
      <c r="E247" s="157" t="s">
        <v>654</v>
      </c>
      <c r="F247" s="162" t="s">
        <v>1028</v>
      </c>
      <c r="G247" s="157" t="s">
        <v>1029</v>
      </c>
      <c r="H247" s="157"/>
      <c r="I247" s="158">
        <v>8.63537372343063</v>
      </c>
      <c r="J247" s="158">
        <v>50.16154591</v>
      </c>
      <c r="K247" s="157" t="s">
        <v>1030</v>
      </c>
      <c r="L247" s="157" t="s">
        <v>648</v>
      </c>
      <c r="M247" s="158">
        <v>2022.0</v>
      </c>
      <c r="N247" s="157" t="s">
        <v>116</v>
      </c>
      <c r="O247" s="157" t="s">
        <v>658</v>
      </c>
      <c r="P247" s="161" t="b">
        <v>1</v>
      </c>
      <c r="Q247" s="158">
        <v>0.461</v>
      </c>
      <c r="R247" s="158">
        <v>0.214</v>
      </c>
      <c r="S247" s="158">
        <v>0.247</v>
      </c>
      <c r="T247" s="157" t="s">
        <v>116</v>
      </c>
      <c r="U247" s="46" t="s">
        <v>651</v>
      </c>
      <c r="V247" s="46" t="b">
        <v>1</v>
      </c>
      <c r="W247" s="46">
        <v>0.95</v>
      </c>
      <c r="X247" s="46">
        <v>0.203299999999999</v>
      </c>
      <c r="Y247" s="46">
        <v>10.6328430982308</v>
      </c>
      <c r="Z247" s="46" t="b">
        <v>1</v>
      </c>
      <c r="AA247" s="46" t="b">
        <v>1</v>
      </c>
    </row>
    <row r="248">
      <c r="A248" s="157" t="s">
        <v>559</v>
      </c>
      <c r="B248" s="158">
        <v>1.0</v>
      </c>
      <c r="C248" s="157" t="s">
        <v>642</v>
      </c>
      <c r="D248" s="157" t="s">
        <v>643</v>
      </c>
      <c r="E248" s="157" t="s">
        <v>644</v>
      </c>
      <c r="F248" s="157" t="s">
        <v>1031</v>
      </c>
      <c r="G248" s="157" t="s">
        <v>1032</v>
      </c>
      <c r="H248" s="157"/>
      <c r="I248" s="158">
        <v>8.2991</v>
      </c>
      <c r="J248" s="158">
        <v>40.8516</v>
      </c>
      <c r="K248" s="157" t="s">
        <v>1033</v>
      </c>
      <c r="L248" s="157" t="s">
        <v>648</v>
      </c>
      <c r="M248" s="158">
        <v>2022.0</v>
      </c>
      <c r="N248" s="157" t="s">
        <v>649</v>
      </c>
      <c r="O248" s="157" t="s">
        <v>650</v>
      </c>
      <c r="P248" s="161" t="b">
        <v>0</v>
      </c>
      <c r="Q248" s="158">
        <v>2.943816</v>
      </c>
      <c r="R248" s="158">
        <v>0.213504368</v>
      </c>
      <c r="S248" s="158">
        <v>2.730311632</v>
      </c>
      <c r="T248" s="157" t="s">
        <v>594</v>
      </c>
      <c r="U248" s="46" t="s">
        <v>651</v>
      </c>
      <c r="V248" s="46" t="b">
        <v>1</v>
      </c>
      <c r="W248" s="46">
        <v>0.95</v>
      </c>
      <c r="X248" s="46">
        <v>0.202829149599999</v>
      </c>
      <c r="Y248" s="46" t="s">
        <v>640</v>
      </c>
      <c r="Z248" s="46" t="b">
        <v>0</v>
      </c>
      <c r="AA248" s="46" t="b">
        <v>0</v>
      </c>
    </row>
    <row r="249">
      <c r="A249" s="157" t="s">
        <v>566</v>
      </c>
      <c r="B249" s="158">
        <v>1.0</v>
      </c>
      <c r="C249" s="157" t="s">
        <v>642</v>
      </c>
      <c r="D249" s="157" t="s">
        <v>643</v>
      </c>
      <c r="E249" s="157" t="s">
        <v>644</v>
      </c>
      <c r="F249" s="157" t="s">
        <v>1034</v>
      </c>
      <c r="G249" s="157" t="s">
        <v>1035</v>
      </c>
      <c r="H249" s="157"/>
      <c r="I249" s="158">
        <v>21.09080696</v>
      </c>
      <c r="J249" s="158">
        <v>52.18744659</v>
      </c>
      <c r="K249" s="157" t="s">
        <v>1036</v>
      </c>
      <c r="L249" s="157" t="s">
        <v>648</v>
      </c>
      <c r="M249" s="158">
        <v>2022.0</v>
      </c>
      <c r="N249" s="157" t="s">
        <v>649</v>
      </c>
      <c r="O249" s="157" t="s">
        <v>650</v>
      </c>
      <c r="P249" s="161" t="b">
        <v>0</v>
      </c>
      <c r="Q249" s="158">
        <v>2.94</v>
      </c>
      <c r="R249" s="158">
        <v>0.213227607</v>
      </c>
      <c r="S249" s="158">
        <v>2.726772393</v>
      </c>
      <c r="T249" s="157" t="s">
        <v>594</v>
      </c>
      <c r="U249" s="46" t="s">
        <v>651</v>
      </c>
      <c r="V249" s="46" t="b">
        <v>1</v>
      </c>
      <c r="W249" s="46">
        <v>0.95</v>
      </c>
      <c r="X249" s="46">
        <v>0.20256622665</v>
      </c>
      <c r="Y249" s="46">
        <v>110.987854442074</v>
      </c>
      <c r="Z249" s="46" t="b">
        <v>0</v>
      </c>
      <c r="AA249" s="46" t="b">
        <v>0</v>
      </c>
    </row>
    <row r="250">
      <c r="A250" s="157" t="s">
        <v>554</v>
      </c>
      <c r="B250" s="158">
        <v>1.0</v>
      </c>
      <c r="C250" s="157" t="s">
        <v>642</v>
      </c>
      <c r="D250" s="157" t="s">
        <v>643</v>
      </c>
      <c r="E250" s="157" t="s">
        <v>644</v>
      </c>
      <c r="F250" s="157" t="s">
        <v>1037</v>
      </c>
      <c r="G250" s="157" t="s">
        <v>1038</v>
      </c>
      <c r="H250" s="157"/>
      <c r="I250" s="158">
        <v>20.41062</v>
      </c>
      <c r="J250" s="158">
        <v>63.8685</v>
      </c>
      <c r="K250" s="157" t="s">
        <v>1039</v>
      </c>
      <c r="L250" s="157" t="s">
        <v>648</v>
      </c>
      <c r="M250" s="158">
        <v>2022.0</v>
      </c>
      <c r="N250" s="157" t="s">
        <v>649</v>
      </c>
      <c r="O250" s="157" t="s">
        <v>650</v>
      </c>
      <c r="P250" s="161" t="b">
        <v>0</v>
      </c>
      <c r="Q250" s="158">
        <v>0.278</v>
      </c>
      <c r="R250" s="158">
        <v>0.2119</v>
      </c>
      <c r="S250" s="158">
        <v>0.0661</v>
      </c>
      <c r="T250" s="157" t="s">
        <v>117</v>
      </c>
      <c r="U250" s="46" t="s">
        <v>651</v>
      </c>
      <c r="V250" s="46" t="b">
        <v>1</v>
      </c>
      <c r="W250" s="46">
        <v>0.95</v>
      </c>
      <c r="X250" s="46">
        <v>0.201304999999999</v>
      </c>
      <c r="Y250" s="46" t="s">
        <v>640</v>
      </c>
      <c r="Z250" s="46" t="b">
        <v>0</v>
      </c>
      <c r="AA250" s="46" t="b">
        <v>0</v>
      </c>
    </row>
    <row r="251">
      <c r="A251" s="157" t="s">
        <v>555</v>
      </c>
      <c r="B251" s="158">
        <v>6.0</v>
      </c>
      <c r="C251" s="157" t="s">
        <v>659</v>
      </c>
      <c r="D251" s="157" t="s">
        <v>660</v>
      </c>
      <c r="E251" s="157" t="s">
        <v>661</v>
      </c>
      <c r="F251" s="162" t="s">
        <v>1040</v>
      </c>
      <c r="G251" s="157" t="s">
        <v>1041</v>
      </c>
      <c r="H251" s="157"/>
      <c r="I251" s="158">
        <v>26.08156</v>
      </c>
      <c r="J251" s="158">
        <v>61.17867</v>
      </c>
      <c r="K251" s="157" t="s">
        <v>1042</v>
      </c>
      <c r="L251" s="157" t="s">
        <v>648</v>
      </c>
      <c r="M251" s="158">
        <v>2022.0</v>
      </c>
      <c r="N251" s="157" t="s">
        <v>123</v>
      </c>
      <c r="O251" s="157" t="s">
        <v>665</v>
      </c>
      <c r="P251" s="161" t="b">
        <v>1</v>
      </c>
      <c r="Q251" s="158">
        <v>0.326</v>
      </c>
      <c r="R251" s="158">
        <v>0.211</v>
      </c>
      <c r="S251" s="158">
        <v>0.115</v>
      </c>
      <c r="T251" s="157" t="s">
        <v>123</v>
      </c>
      <c r="U251" s="46" t="s">
        <v>651</v>
      </c>
      <c r="V251" s="46" t="b">
        <v>1</v>
      </c>
      <c r="W251" s="46">
        <v>0.95</v>
      </c>
      <c r="X251" s="46">
        <v>0.20045</v>
      </c>
      <c r="Y251" s="46" t="s">
        <v>640</v>
      </c>
      <c r="Z251" s="46" t="b">
        <v>0</v>
      </c>
      <c r="AA251" s="46" t="b">
        <v>0</v>
      </c>
    </row>
    <row r="252">
      <c r="A252" s="157" t="s">
        <v>559</v>
      </c>
      <c r="B252" s="158">
        <v>1.0</v>
      </c>
      <c r="C252" s="157" t="s">
        <v>642</v>
      </c>
      <c r="D252" s="157" t="s">
        <v>643</v>
      </c>
      <c r="E252" s="157" t="s">
        <v>644</v>
      </c>
      <c r="F252" s="157" t="s">
        <v>1043</v>
      </c>
      <c r="G252" s="157" t="s">
        <v>1044</v>
      </c>
      <c r="H252" s="157"/>
      <c r="I252" s="158">
        <v>12.2458</v>
      </c>
      <c r="J252" s="158">
        <v>45.4313</v>
      </c>
      <c r="K252" s="157" t="s">
        <v>1045</v>
      </c>
      <c r="L252" s="157" t="s">
        <v>648</v>
      </c>
      <c r="M252" s="158">
        <v>2022.0</v>
      </c>
      <c r="N252" s="157" t="s">
        <v>649</v>
      </c>
      <c r="O252" s="157" t="s">
        <v>650</v>
      </c>
      <c r="P252" s="161" t="b">
        <v>0</v>
      </c>
      <c r="Q252" s="158">
        <v>2.872828242</v>
      </c>
      <c r="R252" s="158">
        <v>0.208355882</v>
      </c>
      <c r="S252" s="158">
        <v>2.66447236</v>
      </c>
      <c r="T252" s="157" t="s">
        <v>594</v>
      </c>
      <c r="U252" s="46" t="s">
        <v>651</v>
      </c>
      <c r="V252" s="46" t="b">
        <v>1</v>
      </c>
      <c r="W252" s="46">
        <v>0.95</v>
      </c>
      <c r="X252" s="46">
        <v>0.197938087899999</v>
      </c>
      <c r="Y252" s="46">
        <v>0.565826153802842</v>
      </c>
      <c r="Z252" s="46" t="b">
        <v>1</v>
      </c>
      <c r="AA252" s="46" t="b">
        <v>1</v>
      </c>
    </row>
    <row r="253">
      <c r="A253" s="157" t="s">
        <v>554</v>
      </c>
      <c r="B253" s="158">
        <v>5.0</v>
      </c>
      <c r="C253" s="157" t="s">
        <v>652</v>
      </c>
      <c r="D253" s="157" t="s">
        <v>653</v>
      </c>
      <c r="E253" s="157" t="s">
        <v>654</v>
      </c>
      <c r="F253" s="157" t="s">
        <v>1046</v>
      </c>
      <c r="G253" s="157" t="s">
        <v>1047</v>
      </c>
      <c r="H253" s="157"/>
      <c r="I253" s="158">
        <v>17.67576</v>
      </c>
      <c r="J253" s="158">
        <v>59.85219</v>
      </c>
      <c r="K253" s="157" t="s">
        <v>1048</v>
      </c>
      <c r="L253" s="157" t="s">
        <v>648</v>
      </c>
      <c r="M253" s="158">
        <v>2022.0</v>
      </c>
      <c r="N253" s="157" t="s">
        <v>116</v>
      </c>
      <c r="O253" s="157" t="s">
        <v>658</v>
      </c>
      <c r="P253" s="161" t="b">
        <v>1</v>
      </c>
      <c r="Q253" s="158">
        <v>0.361</v>
      </c>
      <c r="R253" s="158">
        <v>0.205</v>
      </c>
      <c r="S253" s="158">
        <v>0.156</v>
      </c>
      <c r="T253" s="157" t="s">
        <v>116</v>
      </c>
      <c r="U253" s="46" t="s">
        <v>651</v>
      </c>
      <c r="V253" s="46" t="b">
        <v>1</v>
      </c>
      <c r="W253" s="46">
        <v>0.95</v>
      </c>
      <c r="X253" s="46">
        <v>0.194749999999999</v>
      </c>
      <c r="Y253" s="46" t="s">
        <v>640</v>
      </c>
      <c r="Z253" s="46" t="b">
        <v>0</v>
      </c>
      <c r="AA253" s="46" t="b">
        <v>0</v>
      </c>
    </row>
    <row r="254">
      <c r="A254" s="157" t="s">
        <v>558</v>
      </c>
      <c r="B254" s="158">
        <v>5.0</v>
      </c>
      <c r="C254" s="157" t="s">
        <v>652</v>
      </c>
      <c r="D254" s="157" t="s">
        <v>653</v>
      </c>
      <c r="E254" s="157" t="s">
        <v>654</v>
      </c>
      <c r="F254" s="157" t="s">
        <v>1049</v>
      </c>
      <c r="G254" s="157" t="s">
        <v>1050</v>
      </c>
      <c r="H254" s="157"/>
      <c r="I254" s="158">
        <v>-8.65048</v>
      </c>
      <c r="J254" s="158">
        <v>41.2284</v>
      </c>
      <c r="K254" s="157" t="s">
        <v>1051</v>
      </c>
      <c r="L254" s="157" t="s">
        <v>648</v>
      </c>
      <c r="M254" s="158">
        <v>2022.0</v>
      </c>
      <c r="N254" s="157" t="s">
        <v>116</v>
      </c>
      <c r="O254" s="157" t="s">
        <v>658</v>
      </c>
      <c r="P254" s="161" t="b">
        <v>1</v>
      </c>
      <c r="Q254" s="158">
        <v>0.371</v>
      </c>
      <c r="R254" s="158">
        <v>0.20405</v>
      </c>
      <c r="S254" s="158">
        <v>0.16695</v>
      </c>
      <c r="T254" s="157" t="s">
        <v>116</v>
      </c>
      <c r="U254" s="46" t="s">
        <v>651</v>
      </c>
      <c r="V254" s="46" t="b">
        <v>1</v>
      </c>
      <c r="W254" s="46">
        <v>0.95</v>
      </c>
      <c r="X254" s="46">
        <v>0.1938475</v>
      </c>
      <c r="Y254" s="46" t="s">
        <v>640</v>
      </c>
      <c r="Z254" s="46" t="b">
        <v>0</v>
      </c>
      <c r="AA254" s="46" t="b">
        <v>0</v>
      </c>
    </row>
    <row r="255">
      <c r="A255" s="157" t="s">
        <v>562</v>
      </c>
      <c r="B255" s="158">
        <v>5.0</v>
      </c>
      <c r="C255" s="157" t="s">
        <v>652</v>
      </c>
      <c r="D255" s="157" t="s">
        <v>653</v>
      </c>
      <c r="E255" s="157" t="s">
        <v>654</v>
      </c>
      <c r="F255" s="157" t="s">
        <v>1052</v>
      </c>
      <c r="G255" s="157" t="s">
        <v>1053</v>
      </c>
      <c r="H255" s="157"/>
      <c r="I255" s="158">
        <v>5.6436443</v>
      </c>
      <c r="J255" s="158">
        <v>50.679726</v>
      </c>
      <c r="K255" s="157" t="s">
        <v>1054</v>
      </c>
      <c r="L255" s="157" t="s">
        <v>648</v>
      </c>
      <c r="M255" s="158">
        <v>2022.0</v>
      </c>
      <c r="N255" s="157" t="s">
        <v>116</v>
      </c>
      <c r="O255" s="157" t="s">
        <v>658</v>
      </c>
      <c r="P255" s="161" t="b">
        <v>1</v>
      </c>
      <c r="Q255" s="158">
        <v>0.366</v>
      </c>
      <c r="R255" s="158">
        <v>0.2013</v>
      </c>
      <c r="S255" s="158">
        <v>0.1647</v>
      </c>
      <c r="T255" s="157" t="s">
        <v>116</v>
      </c>
      <c r="U255" s="46" t="s">
        <v>651</v>
      </c>
      <c r="V255" s="46" t="b">
        <v>1</v>
      </c>
      <c r="W255" s="46">
        <v>0.95</v>
      </c>
      <c r="X255" s="46">
        <v>0.191235</v>
      </c>
      <c r="Y255" s="46">
        <v>1.32303707032415</v>
      </c>
      <c r="Z255" s="46" t="b">
        <v>1</v>
      </c>
      <c r="AA255" s="46" t="b">
        <v>1</v>
      </c>
    </row>
    <row r="256">
      <c r="A256" s="157" t="s">
        <v>557</v>
      </c>
      <c r="B256" s="158">
        <v>5.0</v>
      </c>
      <c r="C256" s="157" t="s">
        <v>652</v>
      </c>
      <c r="D256" s="157" t="s">
        <v>895</v>
      </c>
      <c r="E256" s="157" t="s">
        <v>896</v>
      </c>
      <c r="F256" s="162" t="s">
        <v>1055</v>
      </c>
      <c r="G256" s="157" t="s">
        <v>1056</v>
      </c>
      <c r="H256" s="157"/>
      <c r="I256" s="158">
        <v>8.7272130453994</v>
      </c>
      <c r="J256" s="158">
        <v>53.1247603940725</v>
      </c>
      <c r="K256" s="157" t="s">
        <v>899</v>
      </c>
      <c r="L256" s="157" t="s">
        <v>648</v>
      </c>
      <c r="M256" s="158">
        <v>2022.0</v>
      </c>
      <c r="N256" s="157" t="s">
        <v>116</v>
      </c>
      <c r="O256" s="157" t="s">
        <v>900</v>
      </c>
      <c r="P256" s="161" t="b">
        <v>1</v>
      </c>
      <c r="Q256" s="158">
        <v>0.332</v>
      </c>
      <c r="R256" s="158">
        <v>0.201</v>
      </c>
      <c r="S256" s="158">
        <v>0.131</v>
      </c>
      <c r="T256" s="157" t="s">
        <v>116</v>
      </c>
      <c r="U256" s="46" t="s">
        <v>651</v>
      </c>
      <c r="V256" s="46" t="b">
        <v>1</v>
      </c>
      <c r="W256" s="46">
        <v>0.95</v>
      </c>
      <c r="X256" s="46">
        <v>0.19095</v>
      </c>
      <c r="Y256" s="46">
        <v>8.29985570870766</v>
      </c>
      <c r="Z256" s="46" t="b">
        <v>1</v>
      </c>
      <c r="AA256" s="46" t="b">
        <v>1</v>
      </c>
    </row>
    <row r="257">
      <c r="A257" s="157" t="s">
        <v>555</v>
      </c>
      <c r="B257" s="158">
        <v>1.0</v>
      </c>
      <c r="C257" s="157" t="s">
        <v>642</v>
      </c>
      <c r="D257" s="157" t="s">
        <v>643</v>
      </c>
      <c r="E257" s="157" t="s">
        <v>644</v>
      </c>
      <c r="F257" s="162" t="s">
        <v>1057</v>
      </c>
      <c r="G257" s="157" t="s">
        <v>1058</v>
      </c>
      <c r="H257" s="157"/>
      <c r="I257" s="158">
        <v>22.81697</v>
      </c>
      <c r="J257" s="158">
        <v>62.74109</v>
      </c>
      <c r="K257" s="157" t="s">
        <v>1059</v>
      </c>
      <c r="L257" s="157" t="s">
        <v>648</v>
      </c>
      <c r="M257" s="158">
        <v>2022.0</v>
      </c>
      <c r="N257" s="157" t="s">
        <v>649</v>
      </c>
      <c r="O257" s="157" t="s">
        <v>650</v>
      </c>
      <c r="P257" s="161" t="b">
        <v>0</v>
      </c>
      <c r="Q257" s="158">
        <v>0.522</v>
      </c>
      <c r="R257" s="158">
        <v>0.2</v>
      </c>
      <c r="S257" s="158">
        <v>0.322</v>
      </c>
      <c r="T257" s="157" t="s">
        <v>117</v>
      </c>
      <c r="U257" s="46" t="s">
        <v>651</v>
      </c>
      <c r="V257" s="46" t="b">
        <v>1</v>
      </c>
      <c r="W257" s="46">
        <v>0.95</v>
      </c>
      <c r="X257" s="46">
        <v>0.19</v>
      </c>
      <c r="Y257" s="46" t="s">
        <v>640</v>
      </c>
      <c r="Z257" s="46" t="b">
        <v>0</v>
      </c>
      <c r="AA257" s="46" t="b">
        <v>0</v>
      </c>
    </row>
    <row r="258">
      <c r="A258" s="157" t="s">
        <v>554</v>
      </c>
      <c r="B258" s="158">
        <v>1.0</v>
      </c>
      <c r="C258" s="157" t="s">
        <v>642</v>
      </c>
      <c r="D258" s="157" t="s">
        <v>643</v>
      </c>
      <c r="E258" s="157" t="s">
        <v>644</v>
      </c>
      <c r="F258" s="157" t="s">
        <v>1060</v>
      </c>
      <c r="G258" s="157" t="s">
        <v>1061</v>
      </c>
      <c r="H258" s="157"/>
      <c r="I258" s="158">
        <v>12.69391</v>
      </c>
      <c r="J258" s="158">
        <v>56.03393</v>
      </c>
      <c r="K258" s="157" t="s">
        <v>1062</v>
      </c>
      <c r="L258" s="157" t="s">
        <v>648</v>
      </c>
      <c r="M258" s="158">
        <v>2022.0</v>
      </c>
      <c r="N258" s="157" t="s">
        <v>649</v>
      </c>
      <c r="O258" s="157" t="s">
        <v>650</v>
      </c>
      <c r="P258" s="161" t="b">
        <v>0</v>
      </c>
      <c r="Q258" s="158">
        <v>0.2</v>
      </c>
      <c r="R258" s="158">
        <v>0.199713</v>
      </c>
      <c r="S258" s="158">
        <v>2.87E-4</v>
      </c>
      <c r="T258" s="157" t="s">
        <v>117</v>
      </c>
      <c r="U258" s="46" t="s">
        <v>651</v>
      </c>
      <c r="V258" s="46" t="b">
        <v>1</v>
      </c>
      <c r="W258" s="46">
        <v>0.95</v>
      </c>
      <c r="X258" s="46">
        <v>0.18972735</v>
      </c>
      <c r="Y258" s="46">
        <v>36.4045091201523</v>
      </c>
      <c r="Z258" s="46" t="b">
        <v>1</v>
      </c>
      <c r="AA258" s="46" t="b">
        <v>1</v>
      </c>
    </row>
    <row r="259">
      <c r="A259" s="157" t="s">
        <v>573</v>
      </c>
      <c r="B259" s="158">
        <v>6.0</v>
      </c>
      <c r="C259" s="157" t="s">
        <v>659</v>
      </c>
      <c r="D259" s="157" t="s">
        <v>717</v>
      </c>
      <c r="E259" s="157" t="s">
        <v>718</v>
      </c>
      <c r="F259" s="157" t="s">
        <v>1063</v>
      </c>
      <c r="G259" s="157" t="s">
        <v>1064</v>
      </c>
      <c r="H259" s="157"/>
      <c r="I259" s="158">
        <v>25.34015823</v>
      </c>
      <c r="J259" s="158">
        <v>59.3405855</v>
      </c>
      <c r="K259" s="157" t="s">
        <v>1065</v>
      </c>
      <c r="L259" s="157" t="s">
        <v>648</v>
      </c>
      <c r="M259" s="158">
        <v>2022.0</v>
      </c>
      <c r="N259" s="157" t="s">
        <v>123</v>
      </c>
      <c r="O259" s="157" t="s">
        <v>722</v>
      </c>
      <c r="P259" s="161" t="b">
        <v>1</v>
      </c>
      <c r="Q259" s="158">
        <v>0.21</v>
      </c>
      <c r="R259" s="158">
        <v>0.1993</v>
      </c>
      <c r="S259" s="158">
        <v>0.0107</v>
      </c>
      <c r="T259" s="157" t="s">
        <v>123</v>
      </c>
      <c r="U259" s="46" t="s">
        <v>651</v>
      </c>
      <c r="V259" s="46" t="b">
        <v>1</v>
      </c>
      <c r="W259" s="46">
        <v>0.95</v>
      </c>
      <c r="X259" s="46">
        <v>0.189335</v>
      </c>
      <c r="Y259" s="46" t="s">
        <v>640</v>
      </c>
      <c r="Z259" s="46" t="b">
        <v>0</v>
      </c>
      <c r="AA259" s="46" t="b">
        <v>0</v>
      </c>
    </row>
    <row r="260">
      <c r="A260" s="157" t="s">
        <v>567</v>
      </c>
      <c r="B260" s="158">
        <v>5.0</v>
      </c>
      <c r="C260" s="157" t="s">
        <v>652</v>
      </c>
      <c r="D260" s="157" t="s">
        <v>653</v>
      </c>
      <c r="E260" s="157" t="s">
        <v>654</v>
      </c>
      <c r="F260" s="157" t="s">
        <v>1066</v>
      </c>
      <c r="G260" s="157" t="s">
        <v>1067</v>
      </c>
      <c r="H260" s="157"/>
      <c r="I260" s="158">
        <v>10.835762</v>
      </c>
      <c r="J260" s="158">
        <v>59.8406258</v>
      </c>
      <c r="K260" s="157" t="s">
        <v>1068</v>
      </c>
      <c r="L260" s="157" t="s">
        <v>648</v>
      </c>
      <c r="M260" s="158">
        <v>2017.0</v>
      </c>
      <c r="N260" s="157" t="s">
        <v>116</v>
      </c>
      <c r="O260" s="157" t="s">
        <v>658</v>
      </c>
      <c r="P260" s="161" t="b">
        <v>1</v>
      </c>
      <c r="Q260" s="158">
        <v>0.385</v>
      </c>
      <c r="R260" s="158">
        <v>0.199</v>
      </c>
      <c r="S260" s="158">
        <v>0.186</v>
      </c>
      <c r="T260" s="157" t="s">
        <v>116</v>
      </c>
      <c r="U260" s="46" t="s">
        <v>651</v>
      </c>
      <c r="V260" s="46" t="b">
        <v>1</v>
      </c>
      <c r="W260" s="46">
        <v>0.95</v>
      </c>
      <c r="X260" s="46">
        <v>0.18905</v>
      </c>
      <c r="Y260" s="46" t="s">
        <v>640</v>
      </c>
      <c r="Z260" s="46" t="b">
        <v>0</v>
      </c>
      <c r="AA260" s="46" t="b">
        <v>0</v>
      </c>
    </row>
    <row r="261">
      <c r="A261" s="157" t="s">
        <v>556</v>
      </c>
      <c r="B261" s="158">
        <v>5.0</v>
      </c>
      <c r="C261" s="157" t="s">
        <v>652</v>
      </c>
      <c r="D261" s="157" t="s">
        <v>653</v>
      </c>
      <c r="E261" s="157" t="s">
        <v>654</v>
      </c>
      <c r="F261" s="157" t="s">
        <v>1069</v>
      </c>
      <c r="G261" s="157" t="s">
        <v>1070</v>
      </c>
      <c r="H261" s="157"/>
      <c r="I261" s="158">
        <v>3.128</v>
      </c>
      <c r="J261" s="158">
        <v>50.764</v>
      </c>
      <c r="K261" s="157" t="s">
        <v>1071</v>
      </c>
      <c r="L261" s="157" t="s">
        <v>648</v>
      </c>
      <c r="M261" s="158">
        <v>2022.0</v>
      </c>
      <c r="N261" s="157" t="s">
        <v>116</v>
      </c>
      <c r="O261" s="157" t="s">
        <v>658</v>
      </c>
      <c r="P261" s="161" t="b">
        <v>1</v>
      </c>
      <c r="Q261" s="158">
        <v>0.361</v>
      </c>
      <c r="R261" s="158">
        <v>0.19855</v>
      </c>
      <c r="S261" s="158">
        <v>0.16245</v>
      </c>
      <c r="T261" s="157" t="s">
        <v>116</v>
      </c>
      <c r="U261" s="46" t="s">
        <v>651</v>
      </c>
      <c r="V261" s="46" t="b">
        <v>1</v>
      </c>
      <c r="W261" s="46">
        <v>0.95</v>
      </c>
      <c r="X261" s="46">
        <v>0.1886225</v>
      </c>
      <c r="Y261" s="46">
        <v>20.8356150456365</v>
      </c>
      <c r="Z261" s="46" t="b">
        <v>1</v>
      </c>
      <c r="AA261" s="46" t="b">
        <v>1</v>
      </c>
    </row>
    <row r="262">
      <c r="A262" s="157" t="s">
        <v>558</v>
      </c>
      <c r="B262" s="158">
        <v>6.0</v>
      </c>
      <c r="C262" s="157" t="s">
        <v>659</v>
      </c>
      <c r="D262" s="157" t="s">
        <v>660</v>
      </c>
      <c r="E262" s="157" t="s">
        <v>661</v>
      </c>
      <c r="F262" s="157" t="s">
        <v>1072</v>
      </c>
      <c r="G262" s="157" t="s">
        <v>1073</v>
      </c>
      <c r="H262" s="157"/>
      <c r="I262" s="158">
        <v>-8.331757</v>
      </c>
      <c r="J262" s="158">
        <v>39.471594</v>
      </c>
      <c r="K262" s="157" t="s">
        <v>1074</v>
      </c>
      <c r="L262" s="157" t="s">
        <v>648</v>
      </c>
      <c r="M262" s="158">
        <v>2022.0</v>
      </c>
      <c r="N262" s="157" t="s">
        <v>123</v>
      </c>
      <c r="O262" s="157" t="s">
        <v>665</v>
      </c>
      <c r="P262" s="161" t="b">
        <v>1</v>
      </c>
      <c r="Q262" s="158">
        <v>0.211</v>
      </c>
      <c r="R262" s="158">
        <v>0.197663192</v>
      </c>
      <c r="S262" s="158">
        <v>0.013336808</v>
      </c>
      <c r="T262" s="157" t="s">
        <v>123</v>
      </c>
      <c r="U262" s="46" t="s">
        <v>651</v>
      </c>
      <c r="V262" s="46" t="b">
        <v>1</v>
      </c>
      <c r="W262" s="46">
        <v>0.95</v>
      </c>
      <c r="X262" s="46">
        <v>0.1877800324</v>
      </c>
      <c r="Y262" s="46" t="s">
        <v>640</v>
      </c>
      <c r="Z262" s="46" t="b">
        <v>0</v>
      </c>
      <c r="AA262" s="46" t="b">
        <v>0</v>
      </c>
    </row>
    <row r="263">
      <c r="A263" s="157" t="s">
        <v>555</v>
      </c>
      <c r="B263" s="158">
        <v>6.0</v>
      </c>
      <c r="C263" s="157" t="s">
        <v>659</v>
      </c>
      <c r="D263" s="157" t="s">
        <v>717</v>
      </c>
      <c r="E263" s="157" t="s">
        <v>718</v>
      </c>
      <c r="F263" s="162" t="s">
        <v>1075</v>
      </c>
      <c r="G263" s="157" t="s">
        <v>1076</v>
      </c>
      <c r="H263" s="157"/>
      <c r="I263" s="158">
        <v>25.16002</v>
      </c>
      <c r="J263" s="158">
        <v>61.91536</v>
      </c>
      <c r="K263" s="157" t="s">
        <v>1077</v>
      </c>
      <c r="L263" s="157" t="s">
        <v>648</v>
      </c>
      <c r="M263" s="158">
        <v>2022.0</v>
      </c>
      <c r="N263" s="157" t="s">
        <v>123</v>
      </c>
      <c r="O263" s="157" t="s">
        <v>722</v>
      </c>
      <c r="P263" s="161" t="b">
        <v>1</v>
      </c>
      <c r="Q263" s="158">
        <v>0.242</v>
      </c>
      <c r="R263" s="158">
        <v>0.1971</v>
      </c>
      <c r="S263" s="158">
        <v>0.0449</v>
      </c>
      <c r="T263" s="157" t="s">
        <v>123</v>
      </c>
      <c r="U263" s="46" t="s">
        <v>651</v>
      </c>
      <c r="V263" s="46" t="b">
        <v>1</v>
      </c>
      <c r="W263" s="46">
        <v>0.95</v>
      </c>
      <c r="X263" s="46">
        <v>0.187245</v>
      </c>
      <c r="Y263" s="46" t="s">
        <v>640</v>
      </c>
      <c r="Z263" s="46" t="b">
        <v>0</v>
      </c>
      <c r="AA263" s="46" t="b">
        <v>0</v>
      </c>
    </row>
    <row r="264">
      <c r="A264" s="157" t="s">
        <v>569</v>
      </c>
      <c r="B264" s="158">
        <v>5.0</v>
      </c>
      <c r="C264" s="157" t="s">
        <v>652</v>
      </c>
      <c r="D264" s="157" t="s">
        <v>653</v>
      </c>
      <c r="E264" s="157" t="s">
        <v>654</v>
      </c>
      <c r="F264" s="157" t="s">
        <v>1078</v>
      </c>
      <c r="G264" s="157" t="s">
        <v>1079</v>
      </c>
      <c r="H264" s="157"/>
      <c r="I264" s="158">
        <v>19.135098</v>
      </c>
      <c r="J264" s="158">
        <v>47.582716</v>
      </c>
      <c r="K264" s="157" t="s">
        <v>1080</v>
      </c>
      <c r="L264" s="157" t="s">
        <v>648</v>
      </c>
      <c r="M264" s="158">
        <v>2019.0</v>
      </c>
      <c r="N264" s="157" t="s">
        <v>116</v>
      </c>
      <c r="O264" s="157" t="s">
        <v>658</v>
      </c>
      <c r="P264" s="161" t="b">
        <v>1</v>
      </c>
      <c r="Q264" s="158">
        <v>0.358</v>
      </c>
      <c r="R264" s="158">
        <v>0.1969</v>
      </c>
      <c r="S264" s="158">
        <v>0.1611</v>
      </c>
      <c r="T264" s="157" t="s">
        <v>116</v>
      </c>
      <c r="U264" s="46" t="s">
        <v>651</v>
      </c>
      <c r="V264" s="46" t="b">
        <v>1</v>
      </c>
      <c r="W264" s="46">
        <v>0.95</v>
      </c>
      <c r="X264" s="46">
        <v>0.187054999999999</v>
      </c>
      <c r="Y264" s="46" t="s">
        <v>640</v>
      </c>
      <c r="Z264" s="46" t="b">
        <v>0</v>
      </c>
      <c r="AA264" s="46" t="b">
        <v>0</v>
      </c>
    </row>
    <row r="265">
      <c r="A265" s="157" t="s">
        <v>559</v>
      </c>
      <c r="B265" s="158">
        <v>5.0</v>
      </c>
      <c r="C265" s="157" t="s">
        <v>652</v>
      </c>
      <c r="D265" s="157" t="s">
        <v>653</v>
      </c>
      <c r="E265" s="157" t="s">
        <v>654</v>
      </c>
      <c r="F265" s="157" t="s">
        <v>1081</v>
      </c>
      <c r="G265" s="157" t="s">
        <v>1082</v>
      </c>
      <c r="H265" s="157"/>
      <c r="I265" s="158">
        <v>9.0706</v>
      </c>
      <c r="J265" s="158">
        <v>45.5042</v>
      </c>
      <c r="K265" s="157" t="s">
        <v>1083</v>
      </c>
      <c r="L265" s="157" t="s">
        <v>648</v>
      </c>
      <c r="M265" s="158">
        <v>2022.0</v>
      </c>
      <c r="N265" s="157" t="s">
        <v>116</v>
      </c>
      <c r="O265" s="157" t="s">
        <v>658</v>
      </c>
      <c r="P265" s="161" t="b">
        <v>1</v>
      </c>
      <c r="Q265" s="158">
        <v>0.355931782</v>
      </c>
      <c r="R265" s="158">
        <v>0.19576248</v>
      </c>
      <c r="S265" s="158">
        <v>0.160169302</v>
      </c>
      <c r="T265" s="157" t="s">
        <v>116</v>
      </c>
      <c r="U265" s="46" t="s">
        <v>651</v>
      </c>
      <c r="V265" s="46" t="b">
        <v>1</v>
      </c>
      <c r="W265" s="46">
        <v>0.95</v>
      </c>
      <c r="X265" s="46">
        <v>0.185974355999999</v>
      </c>
      <c r="Y265" s="46">
        <v>3.83090658621901</v>
      </c>
      <c r="Z265" s="46" t="b">
        <v>1</v>
      </c>
      <c r="AA265" s="46" t="b">
        <v>1</v>
      </c>
    </row>
    <row r="266">
      <c r="A266" s="157" t="s">
        <v>555</v>
      </c>
      <c r="B266" s="158">
        <v>6.0</v>
      </c>
      <c r="C266" s="157" t="s">
        <v>659</v>
      </c>
      <c r="D266" s="157" t="s">
        <v>717</v>
      </c>
      <c r="E266" s="157" t="s">
        <v>718</v>
      </c>
      <c r="F266" s="162" t="s">
        <v>1084</v>
      </c>
      <c r="G266" s="157" t="s">
        <v>1085</v>
      </c>
      <c r="H266" s="157"/>
      <c r="I266" s="158">
        <v>27.71085</v>
      </c>
      <c r="J266" s="158">
        <v>62.94477</v>
      </c>
      <c r="K266" s="157" t="s">
        <v>1086</v>
      </c>
      <c r="L266" s="157" t="s">
        <v>648</v>
      </c>
      <c r="M266" s="158">
        <v>2022.0</v>
      </c>
      <c r="N266" s="157" t="s">
        <v>123</v>
      </c>
      <c r="O266" s="157" t="s">
        <v>722</v>
      </c>
      <c r="P266" s="161" t="b">
        <v>1</v>
      </c>
      <c r="Q266" s="158">
        <v>0.289</v>
      </c>
      <c r="R266" s="158">
        <v>0.194</v>
      </c>
      <c r="S266" s="158">
        <v>0.095</v>
      </c>
      <c r="T266" s="157" t="s">
        <v>123</v>
      </c>
      <c r="U266" s="46" t="s">
        <v>651</v>
      </c>
      <c r="V266" s="46" t="b">
        <v>1</v>
      </c>
      <c r="W266" s="46">
        <v>0.95</v>
      </c>
      <c r="X266" s="46">
        <v>0.1843</v>
      </c>
      <c r="Y266" s="46" t="s">
        <v>640</v>
      </c>
      <c r="Z266" s="46" t="b">
        <v>0</v>
      </c>
      <c r="AA266" s="46" t="b">
        <v>0</v>
      </c>
    </row>
    <row r="267">
      <c r="A267" s="157" t="s">
        <v>567</v>
      </c>
      <c r="B267" s="158">
        <v>6.0</v>
      </c>
      <c r="C267" s="157" t="s">
        <v>659</v>
      </c>
      <c r="D267" s="157" t="s">
        <v>660</v>
      </c>
      <c r="E267" s="157" t="s">
        <v>661</v>
      </c>
      <c r="F267" s="157" t="s">
        <v>1087</v>
      </c>
      <c r="G267" s="157" t="s">
        <v>1088</v>
      </c>
      <c r="H267" s="157"/>
      <c r="I267" s="158">
        <v>11.158329</v>
      </c>
      <c r="J267" s="158">
        <v>63.711853</v>
      </c>
      <c r="K267" s="157" t="s">
        <v>1089</v>
      </c>
      <c r="L267" s="157" t="s">
        <v>648</v>
      </c>
      <c r="M267" s="158">
        <v>2017.0</v>
      </c>
      <c r="N267" s="157" t="s">
        <v>123</v>
      </c>
      <c r="O267" s="157" t="s">
        <v>665</v>
      </c>
      <c r="P267" s="161" t="b">
        <v>1</v>
      </c>
      <c r="Q267" s="158">
        <v>0.203</v>
      </c>
      <c r="R267" s="158">
        <v>0.194</v>
      </c>
      <c r="S267" s="158">
        <v>0.009</v>
      </c>
      <c r="T267" s="157" t="s">
        <v>123</v>
      </c>
      <c r="U267" s="46" t="s">
        <v>651</v>
      </c>
      <c r="V267" s="46" t="b">
        <v>1</v>
      </c>
      <c r="W267" s="46">
        <v>0.95</v>
      </c>
      <c r="X267" s="46">
        <v>0.1843</v>
      </c>
      <c r="Y267" s="46" t="s">
        <v>640</v>
      </c>
      <c r="Z267" s="46" t="b">
        <v>0</v>
      </c>
      <c r="AA267" s="46" t="b">
        <v>0</v>
      </c>
    </row>
    <row r="268">
      <c r="A268" s="157" t="s">
        <v>573</v>
      </c>
      <c r="B268" s="158">
        <v>1.0</v>
      </c>
      <c r="C268" s="157" t="s">
        <v>642</v>
      </c>
      <c r="D268" s="157" t="s">
        <v>643</v>
      </c>
      <c r="E268" s="157" t="s">
        <v>644</v>
      </c>
      <c r="F268" s="157" t="s">
        <v>1090</v>
      </c>
      <c r="G268" s="157" t="s">
        <v>1091</v>
      </c>
      <c r="H268" s="157"/>
      <c r="I268" s="158">
        <v>24.90539508</v>
      </c>
      <c r="J268" s="158">
        <v>59.43737888</v>
      </c>
      <c r="K268" s="157" t="s">
        <v>963</v>
      </c>
      <c r="L268" s="157" t="s">
        <v>648</v>
      </c>
      <c r="M268" s="158">
        <v>2022.0</v>
      </c>
      <c r="N268" s="157" t="s">
        <v>649</v>
      </c>
      <c r="O268" s="157" t="s">
        <v>650</v>
      </c>
      <c r="P268" s="161" t="b">
        <v>0</v>
      </c>
      <c r="Q268" s="158">
        <v>0.2</v>
      </c>
      <c r="R268" s="158">
        <v>0.19323</v>
      </c>
      <c r="S268" s="158">
        <v>0.00677</v>
      </c>
      <c r="T268" s="157" t="s">
        <v>117</v>
      </c>
      <c r="U268" s="46" t="s">
        <v>651</v>
      </c>
      <c r="V268" s="46" t="b">
        <v>1</v>
      </c>
      <c r="W268" s="46">
        <v>0.95</v>
      </c>
      <c r="X268" s="46">
        <v>0.1835685</v>
      </c>
      <c r="Y268" s="46" t="s">
        <v>640</v>
      </c>
      <c r="Z268" s="46" t="b">
        <v>0</v>
      </c>
      <c r="AA268" s="46" t="b">
        <v>0</v>
      </c>
    </row>
    <row r="269">
      <c r="A269" s="157" t="s">
        <v>557</v>
      </c>
      <c r="B269" s="158">
        <v>4.0</v>
      </c>
      <c r="C269" s="157" t="s">
        <v>1092</v>
      </c>
      <c r="D269" s="157" t="s">
        <v>1093</v>
      </c>
      <c r="E269" s="157" t="s">
        <v>1094</v>
      </c>
      <c r="F269" s="162" t="s">
        <v>1095</v>
      </c>
      <c r="G269" s="157" t="s">
        <v>1096</v>
      </c>
      <c r="H269" s="157"/>
      <c r="I269" s="158">
        <v>6.577829054</v>
      </c>
      <c r="J269" s="158">
        <v>51.5647084116264</v>
      </c>
      <c r="K269" s="157" t="s">
        <v>1097</v>
      </c>
      <c r="L269" s="157" t="s">
        <v>648</v>
      </c>
      <c r="M269" s="158">
        <v>2022.0</v>
      </c>
      <c r="N269" s="157" t="s">
        <v>201</v>
      </c>
      <c r="O269" s="157" t="s">
        <v>1098</v>
      </c>
      <c r="P269" s="161" t="b">
        <v>1</v>
      </c>
      <c r="Q269" s="158">
        <v>0.777</v>
      </c>
      <c r="R269" s="158">
        <v>0.192</v>
      </c>
      <c r="S269" s="158">
        <v>0.585</v>
      </c>
      <c r="T269" s="157" t="s">
        <v>201</v>
      </c>
      <c r="U269" s="46" t="s">
        <v>651</v>
      </c>
      <c r="V269" s="46" t="b">
        <v>1</v>
      </c>
      <c r="W269" s="46">
        <v>0.95</v>
      </c>
      <c r="X269" s="46">
        <v>0.1824</v>
      </c>
      <c r="Y269" s="46">
        <v>18.2932285785927</v>
      </c>
      <c r="Z269" s="46" t="b">
        <v>1</v>
      </c>
      <c r="AA269" s="46" t="b">
        <v>1</v>
      </c>
    </row>
    <row r="270">
      <c r="A270" s="157" t="s">
        <v>565</v>
      </c>
      <c r="B270" s="158">
        <v>6.0</v>
      </c>
      <c r="C270" s="157" t="s">
        <v>659</v>
      </c>
      <c r="D270" s="157" t="s">
        <v>717</v>
      </c>
      <c r="E270" s="157" t="s">
        <v>718</v>
      </c>
      <c r="F270" s="157" t="s">
        <v>1099</v>
      </c>
      <c r="G270" s="157" t="s">
        <v>1100</v>
      </c>
      <c r="H270" s="157"/>
      <c r="I270" s="158">
        <v>15.60391911</v>
      </c>
      <c r="J270" s="158">
        <v>49.420049</v>
      </c>
      <c r="K270" s="157" t="s">
        <v>1101</v>
      </c>
      <c r="L270" s="157" t="s">
        <v>648</v>
      </c>
      <c r="M270" s="158">
        <v>2020.0</v>
      </c>
      <c r="N270" s="157" t="s">
        <v>123</v>
      </c>
      <c r="O270" s="157" t="s">
        <v>722</v>
      </c>
      <c r="P270" s="161" t="b">
        <v>1</v>
      </c>
      <c r="Q270" s="158">
        <v>0.195824255</v>
      </c>
      <c r="R270" s="158">
        <v>0.190839415</v>
      </c>
      <c r="S270" s="158">
        <v>0.00498484</v>
      </c>
      <c r="T270" s="157" t="s">
        <v>123</v>
      </c>
      <c r="U270" s="46" t="s">
        <v>651</v>
      </c>
      <c r="V270" s="46" t="b">
        <v>1</v>
      </c>
      <c r="W270" s="46">
        <v>0.95</v>
      </c>
      <c r="X270" s="46">
        <v>0.18129744425</v>
      </c>
      <c r="Y270" s="46" t="s">
        <v>640</v>
      </c>
      <c r="Z270" s="46" t="b">
        <v>0</v>
      </c>
      <c r="AA270" s="46" t="b">
        <v>0</v>
      </c>
    </row>
    <row r="271">
      <c r="A271" s="157" t="s">
        <v>561</v>
      </c>
      <c r="B271" s="158">
        <v>1.0</v>
      </c>
      <c r="C271" s="157" t="s">
        <v>642</v>
      </c>
      <c r="D271" s="157" t="s">
        <v>643</v>
      </c>
      <c r="E271" s="157" t="s">
        <v>644</v>
      </c>
      <c r="F271" s="157" t="s">
        <v>1102</v>
      </c>
      <c r="G271" s="157" t="s">
        <v>1103</v>
      </c>
      <c r="H271" s="157"/>
      <c r="I271" s="158">
        <v>-5.723454</v>
      </c>
      <c r="J271" s="158">
        <v>43.552693</v>
      </c>
      <c r="K271" s="157" t="s">
        <v>1104</v>
      </c>
      <c r="L271" s="157" t="s">
        <v>648</v>
      </c>
      <c r="M271" s="158">
        <v>2022.0</v>
      </c>
      <c r="N271" s="157" t="s">
        <v>649</v>
      </c>
      <c r="O271" s="157" t="s">
        <v>650</v>
      </c>
      <c r="P271" s="161" t="b">
        <v>0</v>
      </c>
      <c r="Q271" s="158">
        <v>2.56</v>
      </c>
      <c r="R271" s="158">
        <v>0.185667577</v>
      </c>
      <c r="S271" s="158">
        <v>2.374332423</v>
      </c>
      <c r="T271" s="157" t="s">
        <v>594</v>
      </c>
      <c r="U271" s="46" t="s">
        <v>651</v>
      </c>
      <c r="V271" s="46" t="b">
        <v>1</v>
      </c>
      <c r="W271" s="46">
        <v>0.95</v>
      </c>
      <c r="X271" s="46">
        <v>0.17638419815</v>
      </c>
      <c r="Y271" s="46" t="s">
        <v>640</v>
      </c>
      <c r="Z271" s="46" t="b">
        <v>0</v>
      </c>
      <c r="AA271" s="46" t="b">
        <v>0</v>
      </c>
    </row>
    <row r="272">
      <c r="A272" s="157" t="s">
        <v>559</v>
      </c>
      <c r="B272" s="158">
        <v>1.0</v>
      </c>
      <c r="C272" s="157" t="s">
        <v>642</v>
      </c>
      <c r="D272" s="157" t="s">
        <v>643</v>
      </c>
      <c r="E272" s="157" t="s">
        <v>644</v>
      </c>
      <c r="F272" s="157" t="s">
        <v>1105</v>
      </c>
      <c r="G272" s="157" t="s">
        <v>1106</v>
      </c>
      <c r="H272" s="157"/>
      <c r="I272" s="158">
        <v>8.8666</v>
      </c>
      <c r="J272" s="158">
        <v>45.1002</v>
      </c>
      <c r="K272" s="157" t="s">
        <v>1107</v>
      </c>
      <c r="L272" s="157" t="s">
        <v>648</v>
      </c>
      <c r="M272" s="158">
        <v>2022.0</v>
      </c>
      <c r="N272" s="157" t="s">
        <v>649</v>
      </c>
      <c r="O272" s="157" t="s">
        <v>650</v>
      </c>
      <c r="P272" s="161" t="b">
        <v>0</v>
      </c>
      <c r="Q272" s="158">
        <v>2.551047</v>
      </c>
      <c r="R272" s="158">
        <v>0.185018248</v>
      </c>
      <c r="S272" s="158">
        <v>2.366028752</v>
      </c>
      <c r="T272" s="157" t="s">
        <v>594</v>
      </c>
      <c r="U272" s="46" t="s">
        <v>651</v>
      </c>
      <c r="V272" s="46" t="b">
        <v>1</v>
      </c>
      <c r="W272" s="46">
        <v>0.95</v>
      </c>
      <c r="X272" s="46">
        <v>0.1757673356</v>
      </c>
      <c r="Y272" s="46">
        <v>13.3089204350812</v>
      </c>
      <c r="Z272" s="46" t="b">
        <v>1</v>
      </c>
      <c r="AA272" s="46" t="b">
        <v>1</v>
      </c>
    </row>
    <row r="273">
      <c r="A273" s="157" t="s">
        <v>564</v>
      </c>
      <c r="B273" s="158">
        <v>5.0</v>
      </c>
      <c r="C273" s="157" t="s">
        <v>652</v>
      </c>
      <c r="D273" s="157" t="s">
        <v>653</v>
      </c>
      <c r="E273" s="157" t="s">
        <v>654</v>
      </c>
      <c r="F273" s="157" t="s">
        <v>1108</v>
      </c>
      <c r="G273" s="157" t="s">
        <v>1109</v>
      </c>
      <c r="H273" s="157"/>
      <c r="I273" s="158">
        <v>8.376</v>
      </c>
      <c r="J273" s="158">
        <v>47.1135</v>
      </c>
      <c r="K273" s="157" t="s">
        <v>1110</v>
      </c>
      <c r="L273" s="157" t="s">
        <v>648</v>
      </c>
      <c r="M273" s="158">
        <v>2021.0</v>
      </c>
      <c r="N273" s="157" t="s">
        <v>116</v>
      </c>
      <c r="O273" s="157" t="s">
        <v>658</v>
      </c>
      <c r="P273" s="161" t="b">
        <v>1</v>
      </c>
      <c r="Q273" s="158">
        <v>0.334</v>
      </c>
      <c r="R273" s="158">
        <v>0.1837</v>
      </c>
      <c r="S273" s="158">
        <v>0.1503</v>
      </c>
      <c r="T273" s="157" t="s">
        <v>116</v>
      </c>
      <c r="U273" s="46" t="s">
        <v>651</v>
      </c>
      <c r="V273" s="46" t="b">
        <v>1</v>
      </c>
      <c r="W273" s="46">
        <v>0.95</v>
      </c>
      <c r="X273" s="46">
        <v>0.174515</v>
      </c>
      <c r="Y273" s="46">
        <v>27.9280269421006</v>
      </c>
      <c r="Z273" s="46" t="b">
        <v>1</v>
      </c>
      <c r="AA273" s="46" t="b">
        <v>1</v>
      </c>
    </row>
    <row r="274">
      <c r="A274" s="157" t="s">
        <v>555</v>
      </c>
      <c r="B274" s="158">
        <v>1.0</v>
      </c>
      <c r="C274" s="157" t="s">
        <v>642</v>
      </c>
      <c r="D274" s="157" t="s">
        <v>643</v>
      </c>
      <c r="E274" s="157" t="s">
        <v>644</v>
      </c>
      <c r="F274" s="162" t="s">
        <v>1111</v>
      </c>
      <c r="G274" s="157" t="s">
        <v>1112</v>
      </c>
      <c r="H274" s="157"/>
      <c r="I274" s="158">
        <v>25.58304</v>
      </c>
      <c r="J274" s="158">
        <v>60.33168</v>
      </c>
      <c r="K274" s="157" t="s">
        <v>1113</v>
      </c>
      <c r="L274" s="157" t="s">
        <v>648</v>
      </c>
      <c r="M274" s="158">
        <v>2022.0</v>
      </c>
      <c r="N274" s="157" t="s">
        <v>649</v>
      </c>
      <c r="O274" s="157" t="s">
        <v>650</v>
      </c>
      <c r="P274" s="161" t="b">
        <v>0</v>
      </c>
      <c r="Q274" s="158">
        <v>0.182</v>
      </c>
      <c r="R274" s="158">
        <v>0.1819066</v>
      </c>
      <c r="S274" s="163">
        <v>9.34E-5</v>
      </c>
      <c r="T274" s="157" t="s">
        <v>117</v>
      </c>
      <c r="U274" s="46" t="s">
        <v>651</v>
      </c>
      <c r="V274" s="46" t="b">
        <v>1</v>
      </c>
      <c r="W274" s="46">
        <v>0.95</v>
      </c>
      <c r="X274" s="46">
        <v>0.17281127</v>
      </c>
      <c r="Y274" s="46" t="s">
        <v>640</v>
      </c>
      <c r="Z274" s="46" t="b">
        <v>0</v>
      </c>
      <c r="AA274" s="46" t="b">
        <v>0</v>
      </c>
    </row>
    <row r="275">
      <c r="A275" s="157" t="s">
        <v>555</v>
      </c>
      <c r="B275" s="158">
        <v>6.0</v>
      </c>
      <c r="C275" s="157" t="s">
        <v>659</v>
      </c>
      <c r="D275" s="157" t="s">
        <v>660</v>
      </c>
      <c r="E275" s="157" t="s">
        <v>661</v>
      </c>
      <c r="F275" s="162" t="s">
        <v>1114</v>
      </c>
      <c r="G275" s="157" t="s">
        <v>1115</v>
      </c>
      <c r="H275" s="157"/>
      <c r="I275" s="158">
        <v>21.24458</v>
      </c>
      <c r="J275" s="158">
        <v>62.35491</v>
      </c>
      <c r="K275" s="157" t="s">
        <v>1116</v>
      </c>
      <c r="L275" s="157" t="s">
        <v>648</v>
      </c>
      <c r="M275" s="158">
        <v>2022.0</v>
      </c>
      <c r="N275" s="157" t="s">
        <v>123</v>
      </c>
      <c r="O275" s="157" t="s">
        <v>665</v>
      </c>
      <c r="P275" s="161" t="b">
        <v>1</v>
      </c>
      <c r="Q275" s="158">
        <v>0.186</v>
      </c>
      <c r="R275" s="158">
        <v>0.1818</v>
      </c>
      <c r="S275" s="158">
        <v>0.0042</v>
      </c>
      <c r="T275" s="157" t="s">
        <v>123</v>
      </c>
      <c r="U275" s="46" t="s">
        <v>651</v>
      </c>
      <c r="V275" s="46" t="b">
        <v>1</v>
      </c>
      <c r="W275" s="46">
        <v>0.95</v>
      </c>
      <c r="X275" s="46">
        <v>0.172709999999999</v>
      </c>
      <c r="Y275" s="46" t="s">
        <v>640</v>
      </c>
      <c r="Z275" s="46" t="b">
        <v>0</v>
      </c>
      <c r="AA275" s="46" t="b">
        <v>0</v>
      </c>
    </row>
    <row r="276">
      <c r="A276" s="157" t="s">
        <v>556</v>
      </c>
      <c r="B276" s="158">
        <v>6.0</v>
      </c>
      <c r="C276" s="157" t="s">
        <v>659</v>
      </c>
      <c r="D276" s="157" t="s">
        <v>660</v>
      </c>
      <c r="E276" s="157" t="s">
        <v>661</v>
      </c>
      <c r="F276" s="157" t="s">
        <v>1117</v>
      </c>
      <c r="G276" s="157" t="s">
        <v>1118</v>
      </c>
      <c r="H276" s="157"/>
      <c r="I276" s="158">
        <v>4.81585</v>
      </c>
      <c r="J276" s="158">
        <v>45.1805</v>
      </c>
      <c r="K276" s="157" t="s">
        <v>1119</v>
      </c>
      <c r="L276" s="157" t="s">
        <v>648</v>
      </c>
      <c r="M276" s="158">
        <v>2022.0</v>
      </c>
      <c r="N276" s="157" t="s">
        <v>123</v>
      </c>
      <c r="O276" s="157" t="s">
        <v>665</v>
      </c>
      <c r="P276" s="161" t="b">
        <v>1</v>
      </c>
      <c r="Q276" s="158">
        <v>0.194</v>
      </c>
      <c r="R276" s="158">
        <v>0.181737721</v>
      </c>
      <c r="S276" s="158">
        <v>0.012262279</v>
      </c>
      <c r="T276" s="157" t="s">
        <v>123</v>
      </c>
      <c r="U276" s="46" t="s">
        <v>651</v>
      </c>
      <c r="V276" s="46" t="b">
        <v>1</v>
      </c>
      <c r="W276" s="46">
        <v>0.95</v>
      </c>
      <c r="X276" s="46">
        <v>0.172650834949999</v>
      </c>
      <c r="Y276" s="46">
        <v>1.61299581338794</v>
      </c>
      <c r="Z276" s="46" t="b">
        <v>1</v>
      </c>
      <c r="AA276" s="46" t="b">
        <v>1</v>
      </c>
    </row>
    <row r="277">
      <c r="A277" s="157" t="s">
        <v>554</v>
      </c>
      <c r="B277" s="158">
        <v>1.0</v>
      </c>
      <c r="C277" s="157" t="s">
        <v>642</v>
      </c>
      <c r="D277" s="157" t="s">
        <v>643</v>
      </c>
      <c r="E277" s="157" t="s">
        <v>644</v>
      </c>
      <c r="F277" s="157" t="s">
        <v>1120</v>
      </c>
      <c r="G277" s="157" t="s">
        <v>1121</v>
      </c>
      <c r="H277" s="157"/>
      <c r="I277" s="158">
        <v>15.61128</v>
      </c>
      <c r="J277" s="158">
        <v>60.6078</v>
      </c>
      <c r="K277" s="157" t="s">
        <v>1122</v>
      </c>
      <c r="L277" s="157" t="s">
        <v>648</v>
      </c>
      <c r="M277" s="158">
        <v>2022.0</v>
      </c>
      <c r="N277" s="157" t="s">
        <v>649</v>
      </c>
      <c r="O277" s="157" t="s">
        <v>650</v>
      </c>
      <c r="P277" s="161" t="b">
        <v>0</v>
      </c>
      <c r="Q277" s="158">
        <v>0.183</v>
      </c>
      <c r="R277" s="158">
        <v>0.18153</v>
      </c>
      <c r="S277" s="158">
        <v>0.00147</v>
      </c>
      <c r="T277" s="157" t="s">
        <v>117</v>
      </c>
      <c r="U277" s="46" t="s">
        <v>651</v>
      </c>
      <c r="V277" s="46" t="b">
        <v>1</v>
      </c>
      <c r="W277" s="46">
        <v>0.95</v>
      </c>
      <c r="X277" s="46">
        <v>0.172453499999999</v>
      </c>
      <c r="Y277" s="46" t="s">
        <v>640</v>
      </c>
      <c r="Z277" s="46" t="b">
        <v>0</v>
      </c>
      <c r="AA277" s="46" t="b">
        <v>0</v>
      </c>
    </row>
    <row r="278">
      <c r="A278" s="157" t="s">
        <v>554</v>
      </c>
      <c r="B278" s="158">
        <v>6.0</v>
      </c>
      <c r="C278" s="157" t="s">
        <v>659</v>
      </c>
      <c r="D278" s="157" t="s">
        <v>660</v>
      </c>
      <c r="E278" s="157" t="s">
        <v>661</v>
      </c>
      <c r="F278" s="157" t="s">
        <v>1123</v>
      </c>
      <c r="G278" s="157" t="s">
        <v>1124</v>
      </c>
      <c r="H278" s="157"/>
      <c r="I278" s="158">
        <v>12.25601</v>
      </c>
      <c r="J278" s="158">
        <v>58.9878</v>
      </c>
      <c r="K278" s="157" t="s">
        <v>1125</v>
      </c>
      <c r="L278" s="157" t="s">
        <v>648</v>
      </c>
      <c r="M278" s="158">
        <v>2022.0</v>
      </c>
      <c r="N278" s="157" t="s">
        <v>123</v>
      </c>
      <c r="O278" s="157" t="s">
        <v>665</v>
      </c>
      <c r="P278" s="161" t="b">
        <v>1</v>
      </c>
      <c r="Q278" s="158">
        <v>0.197</v>
      </c>
      <c r="R278" s="158">
        <v>0.181</v>
      </c>
      <c r="S278" s="158">
        <v>0.016</v>
      </c>
      <c r="T278" s="157" t="s">
        <v>123</v>
      </c>
      <c r="U278" s="46" t="s">
        <v>651</v>
      </c>
      <c r="V278" s="46" t="b">
        <v>1</v>
      </c>
      <c r="W278" s="46">
        <v>0.95</v>
      </c>
      <c r="X278" s="46">
        <v>0.17195</v>
      </c>
      <c r="Y278" s="46" t="s">
        <v>640</v>
      </c>
      <c r="Z278" s="46" t="b">
        <v>0</v>
      </c>
      <c r="AA278" s="46" t="b">
        <v>0</v>
      </c>
    </row>
    <row r="279">
      <c r="A279" s="157" t="s">
        <v>554</v>
      </c>
      <c r="B279" s="158">
        <v>5.0</v>
      </c>
      <c r="C279" s="157" t="s">
        <v>652</v>
      </c>
      <c r="D279" s="157" t="s">
        <v>653</v>
      </c>
      <c r="E279" s="157" t="s">
        <v>654</v>
      </c>
      <c r="F279" s="157" t="s">
        <v>1126</v>
      </c>
      <c r="G279" s="157" t="s">
        <v>1127</v>
      </c>
      <c r="H279" s="157"/>
      <c r="I279" s="158">
        <v>17.0011</v>
      </c>
      <c r="J279" s="158">
        <v>58.74324</v>
      </c>
      <c r="K279" s="157" t="s">
        <v>1128</v>
      </c>
      <c r="L279" s="157" t="s">
        <v>648</v>
      </c>
      <c r="M279" s="158">
        <v>2022.0</v>
      </c>
      <c r="N279" s="157" t="s">
        <v>116</v>
      </c>
      <c r="O279" s="157" t="s">
        <v>658</v>
      </c>
      <c r="P279" s="161" t="b">
        <v>1</v>
      </c>
      <c r="Q279" s="158">
        <v>0.18</v>
      </c>
      <c r="R279" s="158">
        <v>0.17894</v>
      </c>
      <c r="S279" s="158">
        <v>0.00106</v>
      </c>
      <c r="T279" s="157" t="s">
        <v>116</v>
      </c>
      <c r="U279" s="46" t="s">
        <v>651</v>
      </c>
      <c r="V279" s="46" t="b">
        <v>1</v>
      </c>
      <c r="W279" s="46">
        <v>0.95</v>
      </c>
      <c r="X279" s="46">
        <v>0.169992999999999</v>
      </c>
      <c r="Y279" s="46" t="s">
        <v>640</v>
      </c>
      <c r="Z279" s="46" t="b">
        <v>0</v>
      </c>
      <c r="AA279" s="46" t="b">
        <v>0</v>
      </c>
    </row>
    <row r="280">
      <c r="A280" s="157" t="s">
        <v>567</v>
      </c>
      <c r="B280" s="158">
        <v>6.0</v>
      </c>
      <c r="C280" s="157" t="s">
        <v>659</v>
      </c>
      <c r="D280" s="157" t="s">
        <v>660</v>
      </c>
      <c r="E280" s="157" t="s">
        <v>661</v>
      </c>
      <c r="F280" s="157" t="s">
        <v>1129</v>
      </c>
      <c r="G280" s="157" t="s">
        <v>1130</v>
      </c>
      <c r="H280" s="157"/>
      <c r="I280" s="158">
        <v>11.402339</v>
      </c>
      <c r="J280" s="158">
        <v>59.12504</v>
      </c>
      <c r="K280" s="157" t="s">
        <v>1131</v>
      </c>
      <c r="L280" s="157" t="s">
        <v>648</v>
      </c>
      <c r="M280" s="158">
        <v>2017.0</v>
      </c>
      <c r="N280" s="157" t="s">
        <v>123</v>
      </c>
      <c r="O280" s="157" t="s">
        <v>665</v>
      </c>
      <c r="P280" s="161" t="b">
        <v>1</v>
      </c>
      <c r="Q280" s="158">
        <v>0.178</v>
      </c>
      <c r="R280" s="158">
        <v>0.177568</v>
      </c>
      <c r="S280" s="158">
        <v>4.32E-4</v>
      </c>
      <c r="T280" s="157" t="s">
        <v>123</v>
      </c>
      <c r="U280" s="46" t="s">
        <v>651</v>
      </c>
      <c r="V280" s="46" t="b">
        <v>1</v>
      </c>
      <c r="W280" s="46">
        <v>0.95</v>
      </c>
      <c r="X280" s="46">
        <v>0.1686896</v>
      </c>
      <c r="Y280" s="46" t="s">
        <v>640</v>
      </c>
      <c r="Z280" s="46" t="b">
        <v>0</v>
      </c>
      <c r="AA280" s="46" t="b">
        <v>0</v>
      </c>
    </row>
    <row r="281">
      <c r="A281" s="157" t="s">
        <v>559</v>
      </c>
      <c r="B281" s="158">
        <v>1.0</v>
      </c>
      <c r="C281" s="157" t="s">
        <v>642</v>
      </c>
      <c r="D281" s="157" t="s">
        <v>643</v>
      </c>
      <c r="E281" s="157" t="s">
        <v>644</v>
      </c>
      <c r="F281" s="157" t="s">
        <v>1132</v>
      </c>
      <c r="G281" s="157" t="s">
        <v>1133</v>
      </c>
      <c r="H281" s="157"/>
      <c r="I281" s="158">
        <v>17.9919</v>
      </c>
      <c r="J281" s="158">
        <v>40.6411</v>
      </c>
      <c r="K281" s="157" t="s">
        <v>806</v>
      </c>
      <c r="L281" s="157" t="s">
        <v>648</v>
      </c>
      <c r="M281" s="158">
        <v>2022.0</v>
      </c>
      <c r="N281" s="157" t="s">
        <v>649</v>
      </c>
      <c r="O281" s="157" t="s">
        <v>650</v>
      </c>
      <c r="P281" s="161" t="b">
        <v>0</v>
      </c>
      <c r="Q281" s="158">
        <v>2.428705</v>
      </c>
      <c r="R281" s="158">
        <v>0.176145223</v>
      </c>
      <c r="S281" s="158">
        <v>2.252559777</v>
      </c>
      <c r="T281" s="157" t="s">
        <v>594</v>
      </c>
      <c r="U281" s="46" t="s">
        <v>651</v>
      </c>
      <c r="V281" s="46" t="b">
        <v>1</v>
      </c>
      <c r="W281" s="46">
        <v>0.95</v>
      </c>
      <c r="X281" s="46">
        <v>0.16733796185</v>
      </c>
      <c r="Y281" s="46" t="s">
        <v>640</v>
      </c>
      <c r="Z281" s="46" t="b">
        <v>0</v>
      </c>
      <c r="AA281" s="46" t="b">
        <v>0</v>
      </c>
    </row>
    <row r="282">
      <c r="A282" s="157" t="s">
        <v>555</v>
      </c>
      <c r="B282" s="158">
        <v>6.0</v>
      </c>
      <c r="C282" s="157" t="s">
        <v>659</v>
      </c>
      <c r="D282" s="157" t="s">
        <v>717</v>
      </c>
      <c r="E282" s="157" t="s">
        <v>718</v>
      </c>
      <c r="F282" s="162" t="s">
        <v>1134</v>
      </c>
      <c r="G282" s="157" t="s">
        <v>1135</v>
      </c>
      <c r="H282" s="157"/>
      <c r="I282" s="158">
        <v>24.02246</v>
      </c>
      <c r="J282" s="158">
        <v>61.26414</v>
      </c>
      <c r="K282" s="157" t="s">
        <v>1136</v>
      </c>
      <c r="L282" s="157" t="s">
        <v>648</v>
      </c>
      <c r="M282" s="158">
        <v>2022.0</v>
      </c>
      <c r="N282" s="157" t="s">
        <v>123</v>
      </c>
      <c r="O282" s="157" t="s">
        <v>722</v>
      </c>
      <c r="P282" s="161" t="b">
        <v>1</v>
      </c>
      <c r="Q282" s="158">
        <v>0.239</v>
      </c>
      <c r="R282" s="158">
        <v>0.1761</v>
      </c>
      <c r="S282" s="158">
        <v>0.0629</v>
      </c>
      <c r="T282" s="157" t="s">
        <v>123</v>
      </c>
      <c r="U282" s="46" t="s">
        <v>651</v>
      </c>
      <c r="V282" s="46" t="b">
        <v>1</v>
      </c>
      <c r="W282" s="46">
        <v>0.95</v>
      </c>
      <c r="X282" s="46">
        <v>0.167295</v>
      </c>
      <c r="Y282" s="46" t="s">
        <v>640</v>
      </c>
      <c r="Z282" s="46" t="b">
        <v>0</v>
      </c>
      <c r="AA282" s="46" t="b">
        <v>0</v>
      </c>
    </row>
    <row r="283">
      <c r="A283" s="157" t="s">
        <v>560</v>
      </c>
      <c r="B283" s="158">
        <v>5.0</v>
      </c>
      <c r="C283" s="157" t="s">
        <v>652</v>
      </c>
      <c r="D283" s="157" t="s">
        <v>653</v>
      </c>
      <c r="E283" s="157" t="s">
        <v>654</v>
      </c>
      <c r="F283" s="157" t="s">
        <v>1137</v>
      </c>
      <c r="G283" s="157" t="s">
        <v>1138</v>
      </c>
      <c r="H283" s="157"/>
      <c r="I283" s="158">
        <v>16.359917</v>
      </c>
      <c r="J283" s="158">
        <v>48.233917</v>
      </c>
      <c r="K283" s="157" t="s">
        <v>1139</v>
      </c>
      <c r="L283" s="157" t="s">
        <v>648</v>
      </c>
      <c r="M283" s="158">
        <v>2022.0</v>
      </c>
      <c r="N283" s="157" t="s">
        <v>116</v>
      </c>
      <c r="O283" s="157" t="s">
        <v>658</v>
      </c>
      <c r="P283" s="161" t="b">
        <v>1</v>
      </c>
      <c r="Q283" s="158">
        <v>0.311</v>
      </c>
      <c r="R283" s="158">
        <v>0.17105</v>
      </c>
      <c r="S283" s="158">
        <v>0.13995</v>
      </c>
      <c r="T283" s="157" t="s">
        <v>116</v>
      </c>
      <c r="U283" s="46" t="s">
        <v>651</v>
      </c>
      <c r="V283" s="46" t="b">
        <v>1</v>
      </c>
      <c r="W283" s="46">
        <v>0.95</v>
      </c>
      <c r="X283" s="46">
        <v>0.1624975</v>
      </c>
      <c r="Y283" s="46" t="s">
        <v>640</v>
      </c>
      <c r="Z283" s="46" t="b">
        <v>0</v>
      </c>
      <c r="AA283" s="46" t="b">
        <v>0</v>
      </c>
    </row>
    <row r="284">
      <c r="A284" s="157" t="s">
        <v>557</v>
      </c>
      <c r="B284" s="158">
        <v>5.0</v>
      </c>
      <c r="C284" s="157" t="s">
        <v>652</v>
      </c>
      <c r="D284" s="157" t="s">
        <v>653</v>
      </c>
      <c r="E284" s="157" t="s">
        <v>654</v>
      </c>
      <c r="F284" s="162" t="s">
        <v>1140</v>
      </c>
      <c r="G284" s="157" t="s">
        <v>1141</v>
      </c>
      <c r="H284" s="157"/>
      <c r="I284" s="158">
        <v>8.24251121514893</v>
      </c>
      <c r="J284" s="158">
        <v>50.0255109919289</v>
      </c>
      <c r="K284" s="157" t="s">
        <v>1142</v>
      </c>
      <c r="L284" s="157" t="s">
        <v>648</v>
      </c>
      <c r="M284" s="158">
        <v>2022.0</v>
      </c>
      <c r="N284" s="157" t="s">
        <v>116</v>
      </c>
      <c r="O284" s="157" t="s">
        <v>658</v>
      </c>
      <c r="P284" s="161" t="b">
        <v>1</v>
      </c>
      <c r="Q284" s="158">
        <v>0.329</v>
      </c>
      <c r="R284" s="158">
        <v>0.171</v>
      </c>
      <c r="S284" s="158">
        <v>0.158</v>
      </c>
      <c r="T284" s="157" t="s">
        <v>116</v>
      </c>
      <c r="U284" s="46" t="s">
        <v>651</v>
      </c>
      <c r="V284" s="46" t="b">
        <v>1</v>
      </c>
      <c r="W284" s="46">
        <v>0.95</v>
      </c>
      <c r="X284" s="46">
        <v>0.16245</v>
      </c>
      <c r="Y284" s="46">
        <v>12.2397369798474</v>
      </c>
      <c r="Z284" s="46" t="b">
        <v>1</v>
      </c>
      <c r="AA284" s="46" t="b">
        <v>1</v>
      </c>
    </row>
    <row r="285">
      <c r="A285" s="157" t="s">
        <v>554</v>
      </c>
      <c r="B285" s="158">
        <v>1.0</v>
      </c>
      <c r="C285" s="157" t="s">
        <v>642</v>
      </c>
      <c r="D285" s="157" t="s">
        <v>643</v>
      </c>
      <c r="E285" s="157" t="s">
        <v>644</v>
      </c>
      <c r="F285" s="157" t="s">
        <v>1143</v>
      </c>
      <c r="G285" s="157" t="s">
        <v>1144</v>
      </c>
      <c r="H285" s="157"/>
      <c r="I285" s="158">
        <v>15.62498</v>
      </c>
      <c r="J285" s="158">
        <v>58.41941</v>
      </c>
      <c r="K285" s="157" t="s">
        <v>876</v>
      </c>
      <c r="L285" s="157" t="s">
        <v>648</v>
      </c>
      <c r="M285" s="158">
        <v>2022.0</v>
      </c>
      <c r="N285" s="157" t="s">
        <v>649</v>
      </c>
      <c r="O285" s="157" t="s">
        <v>650</v>
      </c>
      <c r="P285" s="161" t="b">
        <v>0</v>
      </c>
      <c r="Q285" s="158">
        <v>0.18</v>
      </c>
      <c r="R285" s="158">
        <v>0.17051</v>
      </c>
      <c r="S285" s="158">
        <v>0.00949</v>
      </c>
      <c r="T285" s="157" t="s">
        <v>117</v>
      </c>
      <c r="U285" s="46" t="s">
        <v>651</v>
      </c>
      <c r="V285" s="46" t="b">
        <v>1</v>
      </c>
      <c r="W285" s="46">
        <v>0.95</v>
      </c>
      <c r="X285" s="46">
        <v>0.161984499999999</v>
      </c>
      <c r="Y285" s="46" t="s">
        <v>640</v>
      </c>
      <c r="Z285" s="46" t="b">
        <v>0</v>
      </c>
      <c r="AA285" s="46" t="b">
        <v>0</v>
      </c>
    </row>
    <row r="286">
      <c r="A286" s="157" t="s">
        <v>555</v>
      </c>
      <c r="B286" s="158">
        <v>1.0</v>
      </c>
      <c r="C286" s="157" t="s">
        <v>642</v>
      </c>
      <c r="D286" s="157" t="s">
        <v>643</v>
      </c>
      <c r="E286" s="157" t="s">
        <v>644</v>
      </c>
      <c r="F286" s="162" t="s">
        <v>1145</v>
      </c>
      <c r="G286" s="157" t="s">
        <v>1146</v>
      </c>
      <c r="H286" s="157"/>
      <c r="I286" s="158">
        <v>21.55384</v>
      </c>
      <c r="J286" s="158">
        <v>63.09079</v>
      </c>
      <c r="K286" s="157" t="s">
        <v>1147</v>
      </c>
      <c r="L286" s="157" t="s">
        <v>648</v>
      </c>
      <c r="M286" s="158">
        <v>2022.0</v>
      </c>
      <c r="N286" s="157" t="s">
        <v>649</v>
      </c>
      <c r="O286" s="157" t="s">
        <v>650</v>
      </c>
      <c r="P286" s="161" t="b">
        <v>0</v>
      </c>
      <c r="Q286" s="158">
        <v>0.429</v>
      </c>
      <c r="R286" s="158">
        <v>0.169</v>
      </c>
      <c r="S286" s="158">
        <v>0.26</v>
      </c>
      <c r="T286" s="157" t="s">
        <v>117</v>
      </c>
      <c r="U286" s="46" t="s">
        <v>651</v>
      </c>
      <c r="V286" s="46" t="b">
        <v>1</v>
      </c>
      <c r="W286" s="46">
        <v>0.95</v>
      </c>
      <c r="X286" s="46">
        <v>0.16055</v>
      </c>
      <c r="Y286" s="46" t="s">
        <v>640</v>
      </c>
      <c r="Z286" s="46" t="b">
        <v>0</v>
      </c>
      <c r="AA286" s="46" t="b">
        <v>0</v>
      </c>
    </row>
    <row r="287">
      <c r="A287" s="157" t="s">
        <v>557</v>
      </c>
      <c r="B287" s="158">
        <v>5.0</v>
      </c>
      <c r="C287" s="157" t="s">
        <v>652</v>
      </c>
      <c r="D287" s="157" t="s">
        <v>653</v>
      </c>
      <c r="E287" s="157" t="s">
        <v>654</v>
      </c>
      <c r="F287" s="162" t="s">
        <v>1148</v>
      </c>
      <c r="G287" s="157" t="s">
        <v>1149</v>
      </c>
      <c r="H287" s="157"/>
      <c r="I287" s="158">
        <v>6.84357509</v>
      </c>
      <c r="J287" s="158">
        <v>50.8566533539863</v>
      </c>
      <c r="K287" s="157" t="s">
        <v>1150</v>
      </c>
      <c r="L287" s="157" t="s">
        <v>648</v>
      </c>
      <c r="M287" s="158">
        <v>2022.0</v>
      </c>
      <c r="N287" s="157" t="s">
        <v>116</v>
      </c>
      <c r="O287" s="157" t="s">
        <v>658</v>
      </c>
      <c r="P287" s="161" t="b">
        <v>1</v>
      </c>
      <c r="Q287" s="158">
        <v>0.33</v>
      </c>
      <c r="R287" s="158">
        <v>0.165</v>
      </c>
      <c r="S287" s="158">
        <v>0.165</v>
      </c>
      <c r="T287" s="157" t="s">
        <v>116</v>
      </c>
      <c r="U287" s="46" t="s">
        <v>651</v>
      </c>
      <c r="V287" s="46" t="b">
        <v>1</v>
      </c>
      <c r="W287" s="46">
        <v>0.95</v>
      </c>
      <c r="X287" s="46">
        <v>0.15675</v>
      </c>
      <c r="Y287" s="46">
        <v>2.66550258568556</v>
      </c>
      <c r="Z287" s="46" t="b">
        <v>1</v>
      </c>
      <c r="AA287" s="46" t="b">
        <v>1</v>
      </c>
    </row>
    <row r="288">
      <c r="A288" s="157" t="s">
        <v>564</v>
      </c>
      <c r="B288" s="158">
        <v>5.0</v>
      </c>
      <c r="C288" s="157" t="s">
        <v>652</v>
      </c>
      <c r="D288" s="157" t="s">
        <v>653</v>
      </c>
      <c r="E288" s="157" t="s">
        <v>654</v>
      </c>
      <c r="F288" s="157" t="s">
        <v>1151</v>
      </c>
      <c r="G288" s="157" t="s">
        <v>1152</v>
      </c>
      <c r="H288" s="157"/>
      <c r="I288" s="158">
        <v>7.5706</v>
      </c>
      <c r="J288" s="158">
        <v>47.2153</v>
      </c>
      <c r="K288" s="157" t="s">
        <v>1153</v>
      </c>
      <c r="L288" s="157" t="s">
        <v>648</v>
      </c>
      <c r="M288" s="158">
        <v>2021.0</v>
      </c>
      <c r="N288" s="157" t="s">
        <v>116</v>
      </c>
      <c r="O288" s="157" t="s">
        <v>658</v>
      </c>
      <c r="P288" s="161" t="b">
        <v>1</v>
      </c>
      <c r="Q288" s="158">
        <v>0.298</v>
      </c>
      <c r="R288" s="158">
        <v>0.1639</v>
      </c>
      <c r="S288" s="158">
        <v>0.1341</v>
      </c>
      <c r="T288" s="157" t="s">
        <v>116</v>
      </c>
      <c r="U288" s="46" t="s">
        <v>651</v>
      </c>
      <c r="V288" s="46" t="b">
        <v>1</v>
      </c>
      <c r="W288" s="46">
        <v>0.95</v>
      </c>
      <c r="X288" s="46">
        <v>0.155704999999999</v>
      </c>
      <c r="Y288" s="46">
        <v>37.360513883788</v>
      </c>
      <c r="Z288" s="46" t="b">
        <v>1</v>
      </c>
      <c r="AA288" s="46" t="b">
        <v>1</v>
      </c>
    </row>
    <row r="289">
      <c r="A289" s="157" t="s">
        <v>554</v>
      </c>
      <c r="B289" s="158">
        <v>1.0</v>
      </c>
      <c r="C289" s="157" t="s">
        <v>642</v>
      </c>
      <c r="D289" s="157" t="s">
        <v>643</v>
      </c>
      <c r="E289" s="157" t="s">
        <v>644</v>
      </c>
      <c r="F289" s="157" t="s">
        <v>1154</v>
      </c>
      <c r="G289" s="157" t="s">
        <v>1155</v>
      </c>
      <c r="H289" s="157"/>
      <c r="I289" s="158">
        <v>17.66523</v>
      </c>
      <c r="J289" s="158">
        <v>59.17748</v>
      </c>
      <c r="K289" s="157" t="s">
        <v>815</v>
      </c>
      <c r="L289" s="157" t="s">
        <v>648</v>
      </c>
      <c r="M289" s="158">
        <v>2022.0</v>
      </c>
      <c r="N289" s="157" t="s">
        <v>649</v>
      </c>
      <c r="O289" s="157" t="s">
        <v>650</v>
      </c>
      <c r="P289" s="161" t="b">
        <v>0</v>
      </c>
      <c r="Q289" s="158">
        <v>0.234</v>
      </c>
      <c r="R289" s="158">
        <v>0.1635</v>
      </c>
      <c r="S289" s="158">
        <v>0.0705</v>
      </c>
      <c r="T289" s="157" t="s">
        <v>117</v>
      </c>
      <c r="U289" s="46" t="s">
        <v>651</v>
      </c>
      <c r="V289" s="46" t="b">
        <v>1</v>
      </c>
      <c r="W289" s="46">
        <v>0.95</v>
      </c>
      <c r="X289" s="46">
        <v>0.155325</v>
      </c>
      <c r="Y289" s="46" t="s">
        <v>640</v>
      </c>
      <c r="Z289" s="46" t="b">
        <v>0</v>
      </c>
      <c r="AA289" s="46" t="b">
        <v>0</v>
      </c>
    </row>
    <row r="290">
      <c r="A290" s="157" t="s">
        <v>555</v>
      </c>
      <c r="B290" s="158">
        <v>1.0</v>
      </c>
      <c r="C290" s="157" t="s">
        <v>642</v>
      </c>
      <c r="D290" s="157" t="s">
        <v>643</v>
      </c>
      <c r="E290" s="157" t="s">
        <v>644</v>
      </c>
      <c r="F290" s="162" t="s">
        <v>1156</v>
      </c>
      <c r="G290" s="157" t="s">
        <v>1157</v>
      </c>
      <c r="H290" s="157"/>
      <c r="I290" s="158">
        <v>24.50551</v>
      </c>
      <c r="J290" s="158">
        <v>60.9748</v>
      </c>
      <c r="K290" s="157" t="s">
        <v>1158</v>
      </c>
      <c r="L290" s="157" t="s">
        <v>648</v>
      </c>
      <c r="M290" s="158">
        <v>2022.0</v>
      </c>
      <c r="N290" s="157" t="s">
        <v>649</v>
      </c>
      <c r="O290" s="157" t="s">
        <v>650</v>
      </c>
      <c r="P290" s="161" t="b">
        <v>0</v>
      </c>
      <c r="Q290" s="158">
        <v>0.17</v>
      </c>
      <c r="R290" s="158">
        <v>0.16326</v>
      </c>
      <c r="S290" s="158">
        <v>0.00674</v>
      </c>
      <c r="T290" s="157" t="s">
        <v>117</v>
      </c>
      <c r="U290" s="46" t="s">
        <v>651</v>
      </c>
      <c r="V290" s="46" t="b">
        <v>1</v>
      </c>
      <c r="W290" s="46">
        <v>0.95</v>
      </c>
      <c r="X290" s="46">
        <v>0.155096999999999</v>
      </c>
      <c r="Y290" s="46" t="s">
        <v>640</v>
      </c>
      <c r="Z290" s="46" t="b">
        <v>0</v>
      </c>
      <c r="AA290" s="46" t="b">
        <v>0</v>
      </c>
    </row>
    <row r="291">
      <c r="A291" s="157" t="s">
        <v>554</v>
      </c>
      <c r="B291" s="158">
        <v>1.0</v>
      </c>
      <c r="C291" s="157" t="s">
        <v>642</v>
      </c>
      <c r="D291" s="157" t="s">
        <v>643</v>
      </c>
      <c r="E291" s="157" t="s">
        <v>644</v>
      </c>
      <c r="F291" s="157" t="s">
        <v>1159</v>
      </c>
      <c r="G291" s="157" t="s">
        <v>1160</v>
      </c>
      <c r="H291" s="157"/>
      <c r="I291" s="158">
        <v>21.04404</v>
      </c>
      <c r="J291" s="158">
        <v>64.74415</v>
      </c>
      <c r="K291" s="157" t="s">
        <v>1161</v>
      </c>
      <c r="L291" s="157" t="s">
        <v>648</v>
      </c>
      <c r="M291" s="158">
        <v>2022.0</v>
      </c>
      <c r="N291" s="157" t="s">
        <v>649</v>
      </c>
      <c r="O291" s="157" t="s">
        <v>650</v>
      </c>
      <c r="P291" s="161" t="b">
        <v>0</v>
      </c>
      <c r="Q291" s="158">
        <v>0.178</v>
      </c>
      <c r="R291" s="158">
        <v>0.1627</v>
      </c>
      <c r="S291" s="158">
        <v>0.0153</v>
      </c>
      <c r="T291" s="157" t="s">
        <v>117</v>
      </c>
      <c r="U291" s="46" t="s">
        <v>651</v>
      </c>
      <c r="V291" s="46" t="b">
        <v>1</v>
      </c>
      <c r="W291" s="46">
        <v>0.95</v>
      </c>
      <c r="X291" s="46">
        <v>0.154565</v>
      </c>
      <c r="Y291" s="46" t="s">
        <v>640</v>
      </c>
      <c r="Z291" s="46" t="b">
        <v>0</v>
      </c>
      <c r="AA291" s="46" t="b">
        <v>0</v>
      </c>
    </row>
    <row r="292">
      <c r="A292" s="157" t="s">
        <v>566</v>
      </c>
      <c r="B292" s="158">
        <v>1.0</v>
      </c>
      <c r="C292" s="157" t="s">
        <v>642</v>
      </c>
      <c r="D292" s="157" t="s">
        <v>643</v>
      </c>
      <c r="E292" s="157" t="s">
        <v>644</v>
      </c>
      <c r="F292" s="157" t="s">
        <v>1162</v>
      </c>
      <c r="G292" s="157" t="s">
        <v>1163</v>
      </c>
      <c r="H292" s="157"/>
      <c r="I292" s="158">
        <v>18.23683357</v>
      </c>
      <c r="J292" s="158">
        <v>52.30115128</v>
      </c>
      <c r="K292" s="157" t="s">
        <v>1164</v>
      </c>
      <c r="L292" s="157" t="s">
        <v>648</v>
      </c>
      <c r="M292" s="158">
        <v>2022.0</v>
      </c>
      <c r="N292" s="157" t="s">
        <v>649</v>
      </c>
      <c r="O292" s="157" t="s">
        <v>650</v>
      </c>
      <c r="P292" s="161" t="b">
        <v>0</v>
      </c>
      <c r="Q292" s="158">
        <v>2.24</v>
      </c>
      <c r="R292" s="158">
        <v>0.162459129</v>
      </c>
      <c r="S292" s="158">
        <v>2.077540871</v>
      </c>
      <c r="T292" s="157" t="s">
        <v>594</v>
      </c>
      <c r="U292" s="46" t="s">
        <v>651</v>
      </c>
      <c r="V292" s="46" t="b">
        <v>1</v>
      </c>
      <c r="W292" s="46">
        <v>0.95</v>
      </c>
      <c r="X292" s="46">
        <v>0.15433617255</v>
      </c>
      <c r="Y292" s="46">
        <v>55.9788038976616</v>
      </c>
      <c r="Z292" s="46" t="b">
        <v>0</v>
      </c>
      <c r="AA292" s="46" t="b">
        <v>1</v>
      </c>
    </row>
    <row r="293">
      <c r="A293" s="157" t="s">
        <v>564</v>
      </c>
      <c r="B293" s="158">
        <v>5.0</v>
      </c>
      <c r="C293" s="157" t="s">
        <v>652</v>
      </c>
      <c r="D293" s="157" t="s">
        <v>653</v>
      </c>
      <c r="E293" s="157" t="s">
        <v>654</v>
      </c>
      <c r="F293" s="157" t="s">
        <v>1165</v>
      </c>
      <c r="G293" s="157" t="s">
        <v>1166</v>
      </c>
      <c r="H293" s="157"/>
      <c r="I293" s="158">
        <v>6.0322</v>
      </c>
      <c r="J293" s="158">
        <v>46.1942</v>
      </c>
      <c r="K293" s="157" t="s">
        <v>1167</v>
      </c>
      <c r="L293" s="157" t="s">
        <v>648</v>
      </c>
      <c r="M293" s="158">
        <v>2021.0</v>
      </c>
      <c r="N293" s="157" t="s">
        <v>116</v>
      </c>
      <c r="O293" s="157" t="s">
        <v>658</v>
      </c>
      <c r="P293" s="161" t="b">
        <v>1</v>
      </c>
      <c r="Q293" s="158">
        <v>0.291</v>
      </c>
      <c r="R293" s="158">
        <v>0.16005</v>
      </c>
      <c r="S293" s="158">
        <v>0.13095</v>
      </c>
      <c r="T293" s="157" t="s">
        <v>116</v>
      </c>
      <c r="U293" s="46" t="s">
        <v>651</v>
      </c>
      <c r="V293" s="46" t="b">
        <v>1</v>
      </c>
      <c r="W293" s="46">
        <v>0.95</v>
      </c>
      <c r="X293" s="46">
        <v>0.1520475</v>
      </c>
      <c r="Y293" s="46">
        <v>87.3975968413135</v>
      </c>
      <c r="Z293" s="46" t="b">
        <v>0</v>
      </c>
      <c r="AA293" s="46" t="b">
        <v>1</v>
      </c>
    </row>
    <row r="294">
      <c r="A294" s="157" t="s">
        <v>566</v>
      </c>
      <c r="B294" s="158">
        <v>1.0</v>
      </c>
      <c r="C294" s="157" t="s">
        <v>642</v>
      </c>
      <c r="D294" s="157" t="s">
        <v>643</v>
      </c>
      <c r="E294" s="157" t="s">
        <v>644</v>
      </c>
      <c r="F294" s="157" t="s">
        <v>1168</v>
      </c>
      <c r="G294" s="157" t="s">
        <v>1169</v>
      </c>
      <c r="H294" s="157"/>
      <c r="I294" s="158">
        <v>19.228333</v>
      </c>
      <c r="J294" s="158">
        <v>50.210278</v>
      </c>
      <c r="K294" s="157" t="s">
        <v>949</v>
      </c>
      <c r="L294" s="157" t="s">
        <v>648</v>
      </c>
      <c r="M294" s="158">
        <v>2022.0</v>
      </c>
      <c r="N294" s="157" t="s">
        <v>649</v>
      </c>
      <c r="O294" s="157" t="s">
        <v>650</v>
      </c>
      <c r="P294" s="161" t="b">
        <v>0</v>
      </c>
      <c r="Q294" s="158">
        <v>2.18</v>
      </c>
      <c r="R294" s="158">
        <v>0.158107546</v>
      </c>
      <c r="S294" s="158">
        <v>2.021892454</v>
      </c>
      <c r="T294" s="157" t="s">
        <v>594</v>
      </c>
      <c r="U294" s="46" t="s">
        <v>651</v>
      </c>
      <c r="V294" s="46" t="b">
        <v>1</v>
      </c>
      <c r="W294" s="46">
        <v>0.95</v>
      </c>
      <c r="X294" s="46">
        <v>0.150202168699999</v>
      </c>
      <c r="Y294" s="46" t="s">
        <v>640</v>
      </c>
      <c r="Z294" s="46" t="b">
        <v>0</v>
      </c>
      <c r="AA294" s="46" t="b">
        <v>0</v>
      </c>
    </row>
    <row r="295">
      <c r="A295" s="157" t="s">
        <v>555</v>
      </c>
      <c r="B295" s="158">
        <v>1.0</v>
      </c>
      <c r="C295" s="157" t="s">
        <v>642</v>
      </c>
      <c r="D295" s="157" t="s">
        <v>643</v>
      </c>
      <c r="E295" s="157" t="s">
        <v>644</v>
      </c>
      <c r="F295" s="162" t="s">
        <v>1170</v>
      </c>
      <c r="G295" s="157" t="s">
        <v>1171</v>
      </c>
      <c r="H295" s="157"/>
      <c r="I295" s="158">
        <v>25.11473</v>
      </c>
      <c r="J295" s="158">
        <v>60.36898</v>
      </c>
      <c r="K295" s="157" t="s">
        <v>1172</v>
      </c>
      <c r="L295" s="157" t="s">
        <v>648</v>
      </c>
      <c r="M295" s="158">
        <v>2022.0</v>
      </c>
      <c r="N295" s="157" t="s">
        <v>649</v>
      </c>
      <c r="O295" s="157" t="s">
        <v>650</v>
      </c>
      <c r="P295" s="161" t="b">
        <v>0</v>
      </c>
      <c r="Q295" s="158">
        <v>0.163</v>
      </c>
      <c r="R295" s="158">
        <v>0.15803</v>
      </c>
      <c r="S295" s="158">
        <v>0.00497</v>
      </c>
      <c r="T295" s="157" t="s">
        <v>117</v>
      </c>
      <c r="U295" s="46" t="s">
        <v>651</v>
      </c>
      <c r="V295" s="46" t="b">
        <v>1</v>
      </c>
      <c r="W295" s="46">
        <v>0.95</v>
      </c>
      <c r="X295" s="46">
        <v>0.1501285</v>
      </c>
      <c r="Y295" s="46" t="s">
        <v>640</v>
      </c>
      <c r="Z295" s="46" t="b">
        <v>0</v>
      </c>
      <c r="AA295" s="46" t="b">
        <v>0</v>
      </c>
    </row>
    <row r="296">
      <c r="A296" s="157" t="s">
        <v>555</v>
      </c>
      <c r="B296" s="158">
        <v>6.0</v>
      </c>
      <c r="C296" s="157" t="s">
        <v>659</v>
      </c>
      <c r="D296" s="157" t="s">
        <v>717</v>
      </c>
      <c r="E296" s="157" t="s">
        <v>718</v>
      </c>
      <c r="F296" s="162" t="s">
        <v>1173</v>
      </c>
      <c r="G296" s="157" t="s">
        <v>1174</v>
      </c>
      <c r="H296" s="157"/>
      <c r="I296" s="158">
        <v>26.82108</v>
      </c>
      <c r="J296" s="158">
        <v>60.70799</v>
      </c>
      <c r="K296" s="157" t="s">
        <v>734</v>
      </c>
      <c r="L296" s="157" t="s">
        <v>648</v>
      </c>
      <c r="M296" s="158">
        <v>2022.0</v>
      </c>
      <c r="N296" s="157" t="s">
        <v>123</v>
      </c>
      <c r="O296" s="157" t="s">
        <v>722</v>
      </c>
      <c r="P296" s="161" t="b">
        <v>1</v>
      </c>
      <c r="Q296" s="158">
        <v>0.252</v>
      </c>
      <c r="R296" s="158">
        <v>0.158</v>
      </c>
      <c r="S296" s="158">
        <v>0.094</v>
      </c>
      <c r="T296" s="157" t="s">
        <v>123</v>
      </c>
      <c r="U296" s="46" t="s">
        <v>651</v>
      </c>
      <c r="V296" s="46" t="b">
        <v>1</v>
      </c>
      <c r="W296" s="46">
        <v>0.95</v>
      </c>
      <c r="X296" s="46">
        <v>0.150099999999999</v>
      </c>
      <c r="Y296" s="46" t="s">
        <v>640</v>
      </c>
      <c r="Z296" s="46" t="b">
        <v>0</v>
      </c>
      <c r="AA296" s="46" t="b">
        <v>0</v>
      </c>
    </row>
    <row r="297">
      <c r="A297" s="157" t="s">
        <v>558</v>
      </c>
      <c r="B297" s="158">
        <v>8.0</v>
      </c>
      <c r="C297" s="157" t="s">
        <v>1175</v>
      </c>
      <c r="D297" s="157" t="s">
        <v>1176</v>
      </c>
      <c r="E297" s="157" t="s">
        <v>1177</v>
      </c>
      <c r="F297" s="157" t="s">
        <v>1178</v>
      </c>
      <c r="G297" s="157" t="s">
        <v>1179</v>
      </c>
      <c r="H297" s="157"/>
      <c r="I297" s="158">
        <v>-9.0577218</v>
      </c>
      <c r="J297" s="158">
        <v>38.8825694</v>
      </c>
      <c r="K297" s="157" t="s">
        <v>1180</v>
      </c>
      <c r="L297" s="157" t="s">
        <v>648</v>
      </c>
      <c r="M297" s="158">
        <v>2022.0</v>
      </c>
      <c r="N297" s="157" t="s">
        <v>552</v>
      </c>
      <c r="O297" s="157" t="s">
        <v>1181</v>
      </c>
      <c r="P297" s="161" t="b">
        <v>1</v>
      </c>
      <c r="Q297" s="158">
        <v>1.2</v>
      </c>
      <c r="R297" s="158">
        <v>0.157791318</v>
      </c>
      <c r="S297" s="158">
        <v>1.042208682</v>
      </c>
      <c r="T297" s="157" t="s">
        <v>552</v>
      </c>
      <c r="U297" s="46" t="s">
        <v>651</v>
      </c>
      <c r="V297" s="46" t="b">
        <v>1</v>
      </c>
      <c r="W297" s="46">
        <v>0.95</v>
      </c>
      <c r="X297" s="46">
        <v>0.1499017521</v>
      </c>
      <c r="Y297" s="46" t="s">
        <v>640</v>
      </c>
      <c r="Z297" s="46" t="b">
        <v>0</v>
      </c>
      <c r="AA297" s="46" t="b">
        <v>0</v>
      </c>
    </row>
    <row r="298">
      <c r="A298" s="157" t="s">
        <v>561</v>
      </c>
      <c r="B298" s="158">
        <v>5.0</v>
      </c>
      <c r="C298" s="157" t="s">
        <v>652</v>
      </c>
      <c r="D298" s="157" t="s">
        <v>653</v>
      </c>
      <c r="E298" s="157" t="s">
        <v>654</v>
      </c>
      <c r="F298" s="157" t="s">
        <v>1182</v>
      </c>
      <c r="G298" s="157" t="s">
        <v>1183</v>
      </c>
      <c r="H298" s="157"/>
      <c r="I298" s="158">
        <v>2.229837</v>
      </c>
      <c r="J298" s="158">
        <v>41.419171</v>
      </c>
      <c r="K298" s="157" t="s">
        <v>1184</v>
      </c>
      <c r="L298" s="157" t="s">
        <v>648</v>
      </c>
      <c r="M298" s="158">
        <v>2022.0</v>
      </c>
      <c r="N298" s="157" t="s">
        <v>116</v>
      </c>
      <c r="O298" s="157" t="s">
        <v>658</v>
      </c>
      <c r="P298" s="161" t="b">
        <v>1</v>
      </c>
      <c r="Q298" s="158">
        <v>0.285</v>
      </c>
      <c r="R298" s="158">
        <v>0.15675</v>
      </c>
      <c r="S298" s="158">
        <v>0.12825</v>
      </c>
      <c r="T298" s="157" t="s">
        <v>116</v>
      </c>
      <c r="U298" s="46" t="s">
        <v>651</v>
      </c>
      <c r="V298" s="46" t="b">
        <v>1</v>
      </c>
      <c r="W298" s="46">
        <v>0.95</v>
      </c>
      <c r="X298" s="46">
        <v>0.1489125</v>
      </c>
      <c r="Y298" s="46" t="s">
        <v>640</v>
      </c>
      <c r="Z298" s="46" t="b">
        <v>0</v>
      </c>
      <c r="AA298" s="46" t="b">
        <v>0</v>
      </c>
    </row>
    <row r="299">
      <c r="A299" s="157" t="s">
        <v>565</v>
      </c>
      <c r="B299" s="158">
        <v>1.0</v>
      </c>
      <c r="C299" s="157" t="s">
        <v>642</v>
      </c>
      <c r="D299" s="157" t="s">
        <v>643</v>
      </c>
      <c r="E299" s="157" t="s">
        <v>644</v>
      </c>
      <c r="F299" s="157" t="s">
        <v>1185</v>
      </c>
      <c r="G299" s="157" t="s">
        <v>1186</v>
      </c>
      <c r="H299" s="157"/>
      <c r="I299" s="158">
        <v>14.93453297</v>
      </c>
      <c r="J299" s="158">
        <v>50.41783895</v>
      </c>
      <c r="K299" s="157" t="s">
        <v>1187</v>
      </c>
      <c r="L299" s="157" t="s">
        <v>648</v>
      </c>
      <c r="M299" s="158">
        <v>2020.0</v>
      </c>
      <c r="N299" s="157" t="s">
        <v>649</v>
      </c>
      <c r="O299" s="157" t="s">
        <v>650</v>
      </c>
      <c r="P299" s="161" t="b">
        <v>0</v>
      </c>
      <c r="Q299" s="158">
        <v>0.535827</v>
      </c>
      <c r="R299" s="158">
        <v>0.156634</v>
      </c>
      <c r="S299" s="158">
        <v>0.379193</v>
      </c>
      <c r="T299" s="157" t="s">
        <v>117</v>
      </c>
      <c r="U299" s="46" t="s">
        <v>651</v>
      </c>
      <c r="V299" s="46" t="b">
        <v>1</v>
      </c>
      <c r="W299" s="46">
        <v>0.95</v>
      </c>
      <c r="X299" s="46">
        <v>0.1488023</v>
      </c>
      <c r="Y299" s="46">
        <v>112.238483881086</v>
      </c>
      <c r="Z299" s="46" t="b">
        <v>0</v>
      </c>
      <c r="AA299" s="46" t="b">
        <v>0</v>
      </c>
    </row>
    <row r="300">
      <c r="A300" s="157" t="s">
        <v>563</v>
      </c>
      <c r="B300" s="158">
        <v>5.0</v>
      </c>
      <c r="C300" s="157" t="s">
        <v>652</v>
      </c>
      <c r="D300" s="157" t="s">
        <v>653</v>
      </c>
      <c r="E300" s="157" t="s">
        <v>654</v>
      </c>
      <c r="F300" s="157" t="s">
        <v>1188</v>
      </c>
      <c r="G300" s="157" t="s">
        <v>1189</v>
      </c>
      <c r="H300" s="157"/>
      <c r="I300" s="158">
        <v>-1.8417493</v>
      </c>
      <c r="J300" s="158">
        <v>52.458434</v>
      </c>
      <c r="K300" s="157" t="s">
        <v>1190</v>
      </c>
      <c r="L300" s="157" t="s">
        <v>648</v>
      </c>
      <c r="M300" s="158">
        <v>2019.0</v>
      </c>
      <c r="N300" s="157" t="s">
        <v>116</v>
      </c>
      <c r="O300" s="157" t="s">
        <v>658</v>
      </c>
      <c r="P300" s="161" t="b">
        <v>1</v>
      </c>
      <c r="Q300" s="158">
        <v>0.308</v>
      </c>
      <c r="R300" s="158">
        <v>0.154</v>
      </c>
      <c r="S300" s="158">
        <v>0.154</v>
      </c>
      <c r="T300" s="157" t="s">
        <v>116</v>
      </c>
      <c r="U300" s="46" t="s">
        <v>651</v>
      </c>
      <c r="V300" s="46" t="b">
        <v>1</v>
      </c>
      <c r="W300" s="46">
        <v>0.95</v>
      </c>
      <c r="X300" s="46">
        <v>0.146299999999999</v>
      </c>
      <c r="Y300" s="46">
        <v>102.088936341766</v>
      </c>
      <c r="Z300" s="46" t="b">
        <v>0</v>
      </c>
      <c r="AA300" s="46" t="b">
        <v>0</v>
      </c>
    </row>
    <row r="301">
      <c r="A301" s="157" t="s">
        <v>556</v>
      </c>
      <c r="B301" s="158">
        <v>6.0</v>
      </c>
      <c r="C301" s="157" t="s">
        <v>659</v>
      </c>
      <c r="D301" s="157" t="s">
        <v>660</v>
      </c>
      <c r="E301" s="157" t="s">
        <v>661</v>
      </c>
      <c r="F301" s="157" t="s">
        <v>1191</v>
      </c>
      <c r="G301" s="157" t="s">
        <v>1192</v>
      </c>
      <c r="H301" s="157"/>
      <c r="I301" s="158">
        <v>7.79649</v>
      </c>
      <c r="J301" s="158">
        <v>48.56449</v>
      </c>
      <c r="K301" s="157" t="s">
        <v>1193</v>
      </c>
      <c r="L301" s="157" t="s">
        <v>648</v>
      </c>
      <c r="M301" s="158">
        <v>2022.0</v>
      </c>
      <c r="N301" s="157" t="s">
        <v>123</v>
      </c>
      <c r="O301" s="157" t="s">
        <v>665</v>
      </c>
      <c r="P301" s="161" t="b">
        <v>1</v>
      </c>
      <c r="Q301" s="158">
        <v>0.164</v>
      </c>
      <c r="R301" s="158">
        <v>0.15363395</v>
      </c>
      <c r="S301" s="158">
        <v>0.01036605</v>
      </c>
      <c r="T301" s="157" t="s">
        <v>123</v>
      </c>
      <c r="U301" s="46" t="s">
        <v>651</v>
      </c>
      <c r="V301" s="46" t="b">
        <v>1</v>
      </c>
      <c r="W301" s="46">
        <v>0.95</v>
      </c>
      <c r="X301" s="46">
        <v>0.1459522525</v>
      </c>
      <c r="Y301" s="46">
        <v>33.2392787821972</v>
      </c>
      <c r="Z301" s="46" t="b">
        <v>1</v>
      </c>
      <c r="AA301" s="46" t="b">
        <v>1</v>
      </c>
    </row>
    <row r="302">
      <c r="A302" s="157" t="s">
        <v>560</v>
      </c>
      <c r="B302" s="158">
        <v>6.0</v>
      </c>
      <c r="C302" s="157" t="s">
        <v>659</v>
      </c>
      <c r="D302" s="157" t="s">
        <v>717</v>
      </c>
      <c r="E302" s="157" t="s">
        <v>718</v>
      </c>
      <c r="F302" s="157" t="s">
        <v>1194</v>
      </c>
      <c r="G302" s="157" t="s">
        <v>1195</v>
      </c>
      <c r="H302" s="157"/>
      <c r="I302" s="158">
        <v>14.256111</v>
      </c>
      <c r="J302" s="158">
        <v>48.183056</v>
      </c>
      <c r="K302" s="157" t="s">
        <v>1196</v>
      </c>
      <c r="L302" s="157" t="s">
        <v>648</v>
      </c>
      <c r="M302" s="158">
        <v>2022.0</v>
      </c>
      <c r="N302" s="157" t="s">
        <v>123</v>
      </c>
      <c r="O302" s="157" t="s">
        <v>722</v>
      </c>
      <c r="P302" s="161" t="b">
        <v>1</v>
      </c>
      <c r="Q302" s="158">
        <v>0.354</v>
      </c>
      <c r="R302" s="158">
        <v>0.153174402</v>
      </c>
      <c r="S302" s="158">
        <v>0.200825598</v>
      </c>
      <c r="T302" s="157" t="s">
        <v>123</v>
      </c>
      <c r="U302" s="46" t="s">
        <v>651</v>
      </c>
      <c r="V302" s="46" t="b">
        <v>1</v>
      </c>
      <c r="W302" s="46">
        <v>0.95</v>
      </c>
      <c r="X302" s="46">
        <v>0.145515681899999</v>
      </c>
      <c r="Y302" s="46">
        <v>47.5337949248586</v>
      </c>
      <c r="Z302" s="46" t="b">
        <v>1</v>
      </c>
      <c r="AA302" s="46" t="b">
        <v>1</v>
      </c>
    </row>
    <row r="303">
      <c r="A303" s="157" t="s">
        <v>557</v>
      </c>
      <c r="B303" s="158">
        <v>5.0</v>
      </c>
      <c r="C303" s="157" t="s">
        <v>652</v>
      </c>
      <c r="D303" s="157" t="s">
        <v>895</v>
      </c>
      <c r="E303" s="157" t="s">
        <v>896</v>
      </c>
      <c r="F303" s="162" t="s">
        <v>1197</v>
      </c>
      <c r="G303" s="157" t="s">
        <v>1198</v>
      </c>
      <c r="H303" s="157"/>
      <c r="I303" s="158">
        <v>8.618005844</v>
      </c>
      <c r="J303" s="158">
        <v>53.5479128520869</v>
      </c>
      <c r="K303" s="157" t="s">
        <v>1199</v>
      </c>
      <c r="L303" s="157" t="s">
        <v>648</v>
      </c>
      <c r="M303" s="158">
        <v>2022.0</v>
      </c>
      <c r="N303" s="157" t="s">
        <v>116</v>
      </c>
      <c r="O303" s="157" t="s">
        <v>900</v>
      </c>
      <c r="P303" s="161" t="b">
        <v>1</v>
      </c>
      <c r="Q303" s="158">
        <v>0.262</v>
      </c>
      <c r="R303" s="158">
        <v>0.153</v>
      </c>
      <c r="S303" s="158">
        <v>0.109</v>
      </c>
      <c r="T303" s="157" t="s">
        <v>116</v>
      </c>
      <c r="U303" s="46" t="s">
        <v>651</v>
      </c>
      <c r="V303" s="46" t="b">
        <v>1</v>
      </c>
      <c r="W303" s="46">
        <v>0.95</v>
      </c>
      <c r="X303" s="46">
        <v>0.145349999999999</v>
      </c>
      <c r="Y303" s="46">
        <v>28.1203069046477</v>
      </c>
      <c r="Z303" s="46" t="b">
        <v>1</v>
      </c>
      <c r="AA303" s="46" t="b">
        <v>1</v>
      </c>
    </row>
    <row r="304">
      <c r="A304" s="157" t="s">
        <v>557</v>
      </c>
      <c r="B304" s="158">
        <v>6.0</v>
      </c>
      <c r="C304" s="157" t="s">
        <v>659</v>
      </c>
      <c r="D304" s="157" t="s">
        <v>717</v>
      </c>
      <c r="E304" s="157" t="s">
        <v>718</v>
      </c>
      <c r="F304" s="162" t="s">
        <v>1200</v>
      </c>
      <c r="G304" s="157" t="s">
        <v>1201</v>
      </c>
      <c r="H304" s="157"/>
      <c r="I304" s="158">
        <v>9.06935625554061</v>
      </c>
      <c r="J304" s="158">
        <v>49.9763275335496</v>
      </c>
      <c r="K304" s="157" t="s">
        <v>1202</v>
      </c>
      <c r="L304" s="157" t="s">
        <v>648</v>
      </c>
      <c r="M304" s="158">
        <v>2022.0</v>
      </c>
      <c r="N304" s="157" t="s">
        <v>123</v>
      </c>
      <c r="O304" s="157" t="s">
        <v>722</v>
      </c>
      <c r="P304" s="161" t="b">
        <v>1</v>
      </c>
      <c r="Q304" s="158">
        <v>0.398</v>
      </c>
      <c r="R304" s="158">
        <v>0.153</v>
      </c>
      <c r="S304" s="158">
        <v>0.245</v>
      </c>
      <c r="T304" s="157" t="s">
        <v>123</v>
      </c>
      <c r="U304" s="46" t="s">
        <v>651</v>
      </c>
      <c r="V304" s="46" t="b">
        <v>1</v>
      </c>
      <c r="W304" s="46">
        <v>0.95</v>
      </c>
      <c r="X304" s="46">
        <v>0.145349999999999</v>
      </c>
      <c r="Y304" s="46">
        <v>2.25916087323128</v>
      </c>
      <c r="Z304" s="46" t="b">
        <v>1</v>
      </c>
      <c r="AA304" s="46" t="b">
        <v>1</v>
      </c>
    </row>
    <row r="305">
      <c r="A305" s="157" t="s">
        <v>567</v>
      </c>
      <c r="B305" s="158">
        <v>2.0</v>
      </c>
      <c r="C305" s="157" t="s">
        <v>916</v>
      </c>
      <c r="D305" s="157" t="s">
        <v>1203</v>
      </c>
      <c r="E305" s="157" t="s">
        <v>1204</v>
      </c>
      <c r="F305" s="157" t="s">
        <v>1205</v>
      </c>
      <c r="G305" s="157" t="s">
        <v>1206</v>
      </c>
      <c r="H305" s="157"/>
      <c r="I305" s="158">
        <v>15.5893822</v>
      </c>
      <c r="J305" s="158">
        <v>67.36347</v>
      </c>
      <c r="K305" s="157" t="s">
        <v>1207</v>
      </c>
      <c r="L305" s="157" t="s">
        <v>648</v>
      </c>
      <c r="M305" s="158">
        <v>2017.0</v>
      </c>
      <c r="N305" s="157" t="s">
        <v>549</v>
      </c>
      <c r="O305" s="157" t="s">
        <v>1208</v>
      </c>
      <c r="P305" s="161" t="b">
        <v>1</v>
      </c>
      <c r="Q305" s="158">
        <v>0.476</v>
      </c>
      <c r="R305" s="158">
        <v>0.152</v>
      </c>
      <c r="S305" s="158">
        <v>0.324</v>
      </c>
      <c r="T305" s="157" t="s">
        <v>549</v>
      </c>
      <c r="U305" s="46" t="s">
        <v>651</v>
      </c>
      <c r="V305" s="46" t="b">
        <v>1</v>
      </c>
      <c r="W305" s="46">
        <v>0.95</v>
      </c>
      <c r="X305" s="46">
        <v>0.1444</v>
      </c>
      <c r="Y305" s="46" t="s">
        <v>640</v>
      </c>
      <c r="Z305" s="46" t="b">
        <v>0</v>
      </c>
      <c r="AA305" s="46" t="b">
        <v>0</v>
      </c>
    </row>
    <row r="306">
      <c r="A306" s="157" t="s">
        <v>563</v>
      </c>
      <c r="B306" s="158">
        <v>5.0</v>
      </c>
      <c r="C306" s="157" t="s">
        <v>652</v>
      </c>
      <c r="D306" s="157" t="s">
        <v>653</v>
      </c>
      <c r="E306" s="157" t="s">
        <v>654</v>
      </c>
      <c r="F306" s="157" t="s">
        <v>1209</v>
      </c>
      <c r="G306" s="157" t="s">
        <v>1210</v>
      </c>
      <c r="H306" s="157"/>
      <c r="I306" s="158">
        <v>-2.1145704</v>
      </c>
      <c r="J306" s="158">
        <v>52.672711</v>
      </c>
      <c r="K306" s="157" t="s">
        <v>1211</v>
      </c>
      <c r="L306" s="157" t="s">
        <v>648</v>
      </c>
      <c r="M306" s="158">
        <v>2019.0</v>
      </c>
      <c r="N306" s="157" t="s">
        <v>116</v>
      </c>
      <c r="O306" s="157" t="s">
        <v>658</v>
      </c>
      <c r="P306" s="161" t="b">
        <v>1</v>
      </c>
      <c r="Q306" s="158">
        <v>0.304</v>
      </c>
      <c r="R306" s="158">
        <v>0.152</v>
      </c>
      <c r="S306" s="158">
        <v>0.152</v>
      </c>
      <c r="T306" s="157" t="s">
        <v>116</v>
      </c>
      <c r="U306" s="46" t="s">
        <v>651</v>
      </c>
      <c r="V306" s="46" t="b">
        <v>1</v>
      </c>
      <c r="W306" s="46">
        <v>0.95</v>
      </c>
      <c r="X306" s="46">
        <v>0.1444</v>
      </c>
      <c r="Y306" s="46">
        <v>71.9411243520253</v>
      </c>
      <c r="Z306" s="46" t="b">
        <v>0</v>
      </c>
      <c r="AA306" s="46" t="b">
        <v>1</v>
      </c>
    </row>
    <row r="307">
      <c r="A307" s="157" t="s">
        <v>564</v>
      </c>
      <c r="B307" s="158">
        <v>5.0</v>
      </c>
      <c r="C307" s="157" t="s">
        <v>652</v>
      </c>
      <c r="D307" s="157" t="s">
        <v>653</v>
      </c>
      <c r="E307" s="157" t="s">
        <v>654</v>
      </c>
      <c r="F307" s="157" t="s">
        <v>1212</v>
      </c>
      <c r="G307" s="157" t="s">
        <v>1213</v>
      </c>
      <c r="H307" s="157"/>
      <c r="I307" s="158">
        <v>8.5653</v>
      </c>
      <c r="J307" s="158">
        <v>47.4142</v>
      </c>
      <c r="K307" s="157" t="s">
        <v>1214</v>
      </c>
      <c r="L307" s="157" t="s">
        <v>648</v>
      </c>
      <c r="M307" s="158">
        <v>2021.0</v>
      </c>
      <c r="N307" s="157" t="s">
        <v>116</v>
      </c>
      <c r="O307" s="157" t="s">
        <v>658</v>
      </c>
      <c r="P307" s="161" t="b">
        <v>1</v>
      </c>
      <c r="Q307" s="158">
        <v>0.273</v>
      </c>
      <c r="R307" s="158">
        <v>0.15015</v>
      </c>
      <c r="S307" s="158">
        <v>0.12285</v>
      </c>
      <c r="T307" s="157" t="s">
        <v>116</v>
      </c>
      <c r="U307" s="46" t="s">
        <v>651</v>
      </c>
      <c r="V307" s="46" t="b">
        <v>1</v>
      </c>
      <c r="W307" s="46">
        <v>0.95</v>
      </c>
      <c r="X307" s="46">
        <v>0.1426425</v>
      </c>
      <c r="Y307" s="46">
        <v>38.4744308244741</v>
      </c>
      <c r="Z307" s="46" t="b">
        <v>1</v>
      </c>
      <c r="AA307" s="46" t="b">
        <v>1</v>
      </c>
    </row>
    <row r="308">
      <c r="A308" s="157" t="s">
        <v>554</v>
      </c>
      <c r="B308" s="158">
        <v>3.0</v>
      </c>
      <c r="C308" s="157" t="s">
        <v>1215</v>
      </c>
      <c r="D308" s="157" t="s">
        <v>1216</v>
      </c>
      <c r="E308" s="157" t="s">
        <v>1217</v>
      </c>
      <c r="F308" s="157" t="s">
        <v>1218</v>
      </c>
      <c r="G308" s="157" t="s">
        <v>1219</v>
      </c>
      <c r="H308" s="157"/>
      <c r="I308" s="158">
        <v>18.80539</v>
      </c>
      <c r="J308" s="158">
        <v>57.71172</v>
      </c>
      <c r="K308" s="157" t="s">
        <v>1220</v>
      </c>
      <c r="L308" s="157" t="s">
        <v>648</v>
      </c>
      <c r="M308" s="158">
        <v>2022.0</v>
      </c>
      <c r="N308" s="157" t="s">
        <v>114</v>
      </c>
      <c r="O308" s="157" t="s">
        <v>1221</v>
      </c>
      <c r="P308" s="161" t="b">
        <v>1</v>
      </c>
      <c r="Q308" s="158">
        <v>1.51</v>
      </c>
      <c r="R308" s="158">
        <v>0.15</v>
      </c>
      <c r="S308" s="158">
        <v>1.36</v>
      </c>
      <c r="T308" s="157" t="s">
        <v>114</v>
      </c>
      <c r="U308" s="46" t="s">
        <v>651</v>
      </c>
      <c r="V308" s="46" t="b">
        <v>1</v>
      </c>
      <c r="W308" s="46">
        <v>0.95</v>
      </c>
      <c r="X308" s="46">
        <v>0.1425</v>
      </c>
      <c r="Y308" s="46" t="s">
        <v>640</v>
      </c>
      <c r="Z308" s="46" t="b">
        <v>0</v>
      </c>
      <c r="AA308" s="46" t="b">
        <v>0</v>
      </c>
    </row>
    <row r="309">
      <c r="A309" s="157" t="s">
        <v>555</v>
      </c>
      <c r="B309" s="158">
        <v>1.0</v>
      </c>
      <c r="C309" s="157" t="s">
        <v>642</v>
      </c>
      <c r="D309" s="157" t="s">
        <v>643</v>
      </c>
      <c r="E309" s="157" t="s">
        <v>644</v>
      </c>
      <c r="F309" s="162" t="s">
        <v>1222</v>
      </c>
      <c r="G309" s="157" t="s">
        <v>1223</v>
      </c>
      <c r="H309" s="157"/>
      <c r="I309" s="158">
        <v>25.128</v>
      </c>
      <c r="J309" s="158">
        <v>60.45549</v>
      </c>
      <c r="K309" s="157" t="s">
        <v>1224</v>
      </c>
      <c r="L309" s="157" t="s">
        <v>648</v>
      </c>
      <c r="M309" s="158">
        <v>2022.0</v>
      </c>
      <c r="N309" s="157" t="s">
        <v>649</v>
      </c>
      <c r="O309" s="157" t="s">
        <v>650</v>
      </c>
      <c r="P309" s="161" t="b">
        <v>0</v>
      </c>
      <c r="Q309" s="158">
        <v>0.174</v>
      </c>
      <c r="R309" s="158">
        <v>0.1497</v>
      </c>
      <c r="S309" s="158">
        <v>0.0243</v>
      </c>
      <c r="T309" s="157" t="s">
        <v>117</v>
      </c>
      <c r="U309" s="46" t="s">
        <v>651</v>
      </c>
      <c r="V309" s="46" t="b">
        <v>1</v>
      </c>
      <c r="W309" s="46">
        <v>0.95</v>
      </c>
      <c r="X309" s="46">
        <v>0.142214999999999</v>
      </c>
      <c r="Y309" s="46" t="s">
        <v>640</v>
      </c>
      <c r="Z309" s="46" t="b">
        <v>0</v>
      </c>
      <c r="AA309" s="46" t="b">
        <v>0</v>
      </c>
    </row>
    <row r="310">
      <c r="A310" s="157" t="s">
        <v>573</v>
      </c>
      <c r="B310" s="158">
        <v>1.0</v>
      </c>
      <c r="C310" s="157" t="s">
        <v>642</v>
      </c>
      <c r="D310" s="157" t="s">
        <v>643</v>
      </c>
      <c r="E310" s="157" t="s">
        <v>644</v>
      </c>
      <c r="F310" s="157" t="s">
        <v>1225</v>
      </c>
      <c r="G310" s="157" t="s">
        <v>1226</v>
      </c>
      <c r="H310" s="157"/>
      <c r="I310" s="158">
        <v>24.65217071</v>
      </c>
      <c r="J310" s="158">
        <v>59.40091388</v>
      </c>
      <c r="K310" s="157" t="s">
        <v>1227</v>
      </c>
      <c r="L310" s="157" t="s">
        <v>648</v>
      </c>
      <c r="M310" s="158">
        <v>2022.0</v>
      </c>
      <c r="N310" s="157" t="s">
        <v>649</v>
      </c>
      <c r="O310" s="157" t="s">
        <v>650</v>
      </c>
      <c r="P310" s="161" t="b">
        <v>0</v>
      </c>
      <c r="Q310" s="158">
        <v>0.198</v>
      </c>
      <c r="R310" s="158">
        <v>0.1495</v>
      </c>
      <c r="S310" s="158">
        <v>0.0485</v>
      </c>
      <c r="T310" s="157" t="s">
        <v>117</v>
      </c>
      <c r="U310" s="46" t="s">
        <v>651</v>
      </c>
      <c r="V310" s="46" t="b">
        <v>1</v>
      </c>
      <c r="W310" s="46">
        <v>0.95</v>
      </c>
      <c r="X310" s="46">
        <v>0.142024999999999</v>
      </c>
      <c r="Y310" s="46" t="s">
        <v>640</v>
      </c>
      <c r="Z310" s="46" t="b">
        <v>0</v>
      </c>
      <c r="AA310" s="46" t="b">
        <v>0</v>
      </c>
    </row>
    <row r="311">
      <c r="A311" s="157" t="s">
        <v>555</v>
      </c>
      <c r="B311" s="158">
        <v>1.0</v>
      </c>
      <c r="C311" s="157" t="s">
        <v>642</v>
      </c>
      <c r="D311" s="157" t="s">
        <v>643</v>
      </c>
      <c r="E311" s="157" t="s">
        <v>644</v>
      </c>
      <c r="F311" s="162" t="s">
        <v>1228</v>
      </c>
      <c r="G311" s="157" t="s">
        <v>1229</v>
      </c>
      <c r="H311" s="157"/>
      <c r="I311" s="158">
        <v>27.6889</v>
      </c>
      <c r="J311" s="158">
        <v>64.23316</v>
      </c>
      <c r="K311" s="157" t="s">
        <v>1230</v>
      </c>
      <c r="L311" s="157" t="s">
        <v>648</v>
      </c>
      <c r="M311" s="158">
        <v>2022.0</v>
      </c>
      <c r="N311" s="157" t="s">
        <v>649</v>
      </c>
      <c r="O311" s="157" t="s">
        <v>650</v>
      </c>
      <c r="P311" s="161" t="b">
        <v>0</v>
      </c>
      <c r="Q311" s="158">
        <v>0.266</v>
      </c>
      <c r="R311" s="158">
        <v>0.148</v>
      </c>
      <c r="S311" s="158">
        <v>0.118</v>
      </c>
      <c r="T311" s="157" t="s">
        <v>117</v>
      </c>
      <c r="U311" s="46" t="s">
        <v>651</v>
      </c>
      <c r="V311" s="46" t="b">
        <v>1</v>
      </c>
      <c r="W311" s="46">
        <v>0.95</v>
      </c>
      <c r="X311" s="46">
        <v>0.140599999999999</v>
      </c>
      <c r="Y311" s="46" t="s">
        <v>640</v>
      </c>
      <c r="Z311" s="46" t="b">
        <v>0</v>
      </c>
      <c r="AA311" s="46" t="b">
        <v>0</v>
      </c>
    </row>
    <row r="312">
      <c r="A312" s="157" t="s">
        <v>554</v>
      </c>
      <c r="B312" s="158">
        <v>1.0</v>
      </c>
      <c r="C312" s="157" t="s">
        <v>642</v>
      </c>
      <c r="D312" s="157" t="s">
        <v>643</v>
      </c>
      <c r="E312" s="157" t="s">
        <v>644</v>
      </c>
      <c r="F312" s="157" t="s">
        <v>1231</v>
      </c>
      <c r="G312" s="157" t="s">
        <v>1232</v>
      </c>
      <c r="H312" s="157"/>
      <c r="I312" s="158">
        <v>17.07766</v>
      </c>
      <c r="J312" s="158">
        <v>59.62796</v>
      </c>
      <c r="K312" s="157" t="s">
        <v>1233</v>
      </c>
      <c r="L312" s="157" t="s">
        <v>648</v>
      </c>
      <c r="M312" s="158">
        <v>2022.0</v>
      </c>
      <c r="N312" s="157" t="s">
        <v>649</v>
      </c>
      <c r="O312" s="157" t="s">
        <v>650</v>
      </c>
      <c r="P312" s="161" t="b">
        <v>0</v>
      </c>
      <c r="Q312" s="158">
        <v>0.15</v>
      </c>
      <c r="R312" s="158">
        <v>0.14787</v>
      </c>
      <c r="S312" s="158">
        <v>0.00213</v>
      </c>
      <c r="T312" s="157" t="s">
        <v>117</v>
      </c>
      <c r="U312" s="46" t="s">
        <v>651</v>
      </c>
      <c r="V312" s="46" t="b">
        <v>1</v>
      </c>
      <c r="W312" s="46">
        <v>0.95</v>
      </c>
      <c r="X312" s="46">
        <v>0.1404765</v>
      </c>
      <c r="Y312" s="46" t="s">
        <v>640</v>
      </c>
      <c r="Z312" s="46" t="b">
        <v>0</v>
      </c>
      <c r="AA312" s="46" t="b">
        <v>0</v>
      </c>
    </row>
    <row r="313">
      <c r="A313" s="157" t="s">
        <v>557</v>
      </c>
      <c r="B313" s="158">
        <v>5.0</v>
      </c>
      <c r="C313" s="157" t="s">
        <v>652</v>
      </c>
      <c r="D313" s="157" t="s">
        <v>653</v>
      </c>
      <c r="E313" s="157" t="s">
        <v>654</v>
      </c>
      <c r="F313" s="162" t="s">
        <v>1234</v>
      </c>
      <c r="G313" s="157" t="s">
        <v>1235</v>
      </c>
      <c r="H313" s="157"/>
      <c r="I313" s="158">
        <v>6.31466345414203</v>
      </c>
      <c r="J313" s="158">
        <v>50.8408275415185</v>
      </c>
      <c r="K313" s="157" t="s">
        <v>1236</v>
      </c>
      <c r="L313" s="157" t="s">
        <v>648</v>
      </c>
      <c r="M313" s="158">
        <v>2022.0</v>
      </c>
      <c r="N313" s="157" t="s">
        <v>116</v>
      </c>
      <c r="O313" s="157" t="s">
        <v>658</v>
      </c>
      <c r="P313" s="161" t="b">
        <v>1</v>
      </c>
      <c r="Q313" s="158">
        <v>0.293</v>
      </c>
      <c r="R313" s="158">
        <v>0.147</v>
      </c>
      <c r="S313" s="158">
        <v>0.146</v>
      </c>
      <c r="T313" s="157" t="s">
        <v>116</v>
      </c>
      <c r="U313" s="46" t="s">
        <v>651</v>
      </c>
      <c r="V313" s="46" t="b">
        <v>1</v>
      </c>
      <c r="W313" s="46">
        <v>0.95</v>
      </c>
      <c r="X313" s="46">
        <v>0.13965</v>
      </c>
      <c r="Y313" s="46">
        <v>0.0627824017039101</v>
      </c>
      <c r="Z313" s="46" t="b">
        <v>1</v>
      </c>
      <c r="AA313" s="46" t="b">
        <v>1</v>
      </c>
    </row>
    <row r="314">
      <c r="A314" s="157" t="s">
        <v>576</v>
      </c>
      <c r="B314" s="158">
        <v>6.0</v>
      </c>
      <c r="C314" s="157" t="s">
        <v>659</v>
      </c>
      <c r="D314" s="157" t="s">
        <v>717</v>
      </c>
      <c r="E314" s="157" t="s">
        <v>718</v>
      </c>
      <c r="F314" s="157" t="s">
        <v>1237</v>
      </c>
      <c r="G314" s="157" t="s">
        <v>1238</v>
      </c>
      <c r="H314" s="157"/>
      <c r="I314" s="158">
        <v>25.975734</v>
      </c>
      <c r="J314" s="158">
        <v>47.855328</v>
      </c>
      <c r="K314" s="157" t="s">
        <v>1239</v>
      </c>
      <c r="L314" s="157" t="s">
        <v>648</v>
      </c>
      <c r="M314" s="158">
        <v>2022.0</v>
      </c>
      <c r="N314" s="157" t="s">
        <v>123</v>
      </c>
      <c r="O314" s="157" t="s">
        <v>722</v>
      </c>
      <c r="P314" s="161" t="b">
        <v>1</v>
      </c>
      <c r="Q314" s="158">
        <v>0.184</v>
      </c>
      <c r="R314" s="158">
        <v>0.1466</v>
      </c>
      <c r="S314" s="158">
        <v>0.0374</v>
      </c>
      <c r="T314" s="157" t="s">
        <v>123</v>
      </c>
      <c r="U314" s="46" t="s">
        <v>651</v>
      </c>
      <c r="V314" s="46" t="b">
        <v>1</v>
      </c>
      <c r="W314" s="46">
        <v>0.95</v>
      </c>
      <c r="X314" s="46">
        <v>0.13927</v>
      </c>
      <c r="Y314" s="46" t="s">
        <v>640</v>
      </c>
      <c r="Z314" s="46" t="b">
        <v>0</v>
      </c>
      <c r="AA314" s="46" t="b">
        <v>0</v>
      </c>
    </row>
    <row r="315">
      <c r="A315" s="157" t="s">
        <v>563</v>
      </c>
      <c r="B315" s="158">
        <v>5.0</v>
      </c>
      <c r="C315" s="157" t="s">
        <v>652</v>
      </c>
      <c r="D315" s="157" t="s">
        <v>653</v>
      </c>
      <c r="E315" s="157" t="s">
        <v>654</v>
      </c>
      <c r="F315" s="157" t="s">
        <v>1240</v>
      </c>
      <c r="G315" s="157" t="s">
        <v>1241</v>
      </c>
      <c r="H315" s="157"/>
      <c r="I315" s="158">
        <v>-0.046436737</v>
      </c>
      <c r="J315" s="158">
        <v>51.485479</v>
      </c>
      <c r="K315" s="157" t="s">
        <v>1242</v>
      </c>
      <c r="L315" s="157" t="s">
        <v>648</v>
      </c>
      <c r="M315" s="158">
        <v>2019.0</v>
      </c>
      <c r="N315" s="157" t="s">
        <v>116</v>
      </c>
      <c r="O315" s="157" t="s">
        <v>658</v>
      </c>
      <c r="P315" s="161" t="b">
        <v>1</v>
      </c>
      <c r="Q315" s="158">
        <v>0.362</v>
      </c>
      <c r="R315" s="158">
        <v>0.145</v>
      </c>
      <c r="S315" s="158">
        <v>0.217</v>
      </c>
      <c r="T315" s="157" t="s">
        <v>116</v>
      </c>
      <c r="U315" s="46" t="s">
        <v>651</v>
      </c>
      <c r="V315" s="46" t="b">
        <v>1</v>
      </c>
      <c r="W315" s="46">
        <v>0.95</v>
      </c>
      <c r="X315" s="46">
        <v>0.137749999999999</v>
      </c>
      <c r="Y315" s="46">
        <v>139.186739324271</v>
      </c>
      <c r="Z315" s="46" t="b">
        <v>0</v>
      </c>
      <c r="AA315" s="46" t="b">
        <v>0</v>
      </c>
    </row>
    <row r="316">
      <c r="A316" s="157" t="s">
        <v>562</v>
      </c>
      <c r="B316" s="158">
        <v>5.0</v>
      </c>
      <c r="C316" s="157" t="s">
        <v>652</v>
      </c>
      <c r="D316" s="157" t="s">
        <v>653</v>
      </c>
      <c r="E316" s="157" t="s">
        <v>654</v>
      </c>
      <c r="F316" s="162" t="s">
        <v>1243</v>
      </c>
      <c r="G316" s="157" t="s">
        <v>1244</v>
      </c>
      <c r="H316" s="157"/>
      <c r="I316" s="158">
        <v>3.30631</v>
      </c>
      <c r="J316" s="158">
        <v>50.91097</v>
      </c>
      <c r="K316" s="157" t="s">
        <v>1245</v>
      </c>
      <c r="L316" s="157" t="s">
        <v>648</v>
      </c>
      <c r="M316" s="158">
        <v>2022.0</v>
      </c>
      <c r="N316" s="157" t="s">
        <v>116</v>
      </c>
      <c r="O316" s="157" t="s">
        <v>658</v>
      </c>
      <c r="P316" s="161" t="b">
        <v>1</v>
      </c>
      <c r="Q316" s="158">
        <v>0.263</v>
      </c>
      <c r="R316" s="158">
        <v>0.14465</v>
      </c>
      <c r="S316" s="158">
        <v>0.11835</v>
      </c>
      <c r="T316" s="157" t="s">
        <v>116</v>
      </c>
      <c r="U316" s="46" t="s">
        <v>651</v>
      </c>
      <c r="V316" s="46" t="b">
        <v>1</v>
      </c>
      <c r="W316" s="46">
        <v>0.95</v>
      </c>
      <c r="X316" s="46">
        <v>0.1374175</v>
      </c>
      <c r="Y316" s="46">
        <v>6.09394385263986</v>
      </c>
      <c r="Z316" s="46" t="b">
        <v>1</v>
      </c>
      <c r="AA316" s="46" t="b">
        <v>1</v>
      </c>
    </row>
    <row r="317">
      <c r="A317" s="157" t="s">
        <v>571</v>
      </c>
      <c r="B317" s="158">
        <v>5.0</v>
      </c>
      <c r="C317" s="157" t="s">
        <v>652</v>
      </c>
      <c r="D317" s="157" t="s">
        <v>653</v>
      </c>
      <c r="E317" s="157" t="s">
        <v>654</v>
      </c>
      <c r="F317" s="157" t="s">
        <v>1246</v>
      </c>
      <c r="G317" s="157" t="s">
        <v>1247</v>
      </c>
      <c r="H317" s="157"/>
      <c r="I317" s="158">
        <v>21.202935</v>
      </c>
      <c r="J317" s="158">
        <v>55.68099</v>
      </c>
      <c r="K317" s="157" t="s">
        <v>1248</v>
      </c>
      <c r="L317" s="157" t="s">
        <v>648</v>
      </c>
      <c r="M317" s="158">
        <v>2022.0</v>
      </c>
      <c r="N317" s="157" t="s">
        <v>116</v>
      </c>
      <c r="O317" s="157" t="s">
        <v>658</v>
      </c>
      <c r="P317" s="161" t="b">
        <v>1</v>
      </c>
      <c r="Q317" s="158">
        <v>0.263</v>
      </c>
      <c r="R317" s="158">
        <v>0.14465</v>
      </c>
      <c r="S317" s="158">
        <v>0.11835</v>
      </c>
      <c r="T317" s="157" t="s">
        <v>116</v>
      </c>
      <c r="U317" s="46" t="s">
        <v>651</v>
      </c>
      <c r="V317" s="46" t="b">
        <v>1</v>
      </c>
      <c r="W317" s="46">
        <v>0.95</v>
      </c>
      <c r="X317" s="46">
        <v>0.1374175</v>
      </c>
      <c r="Y317" s="46">
        <v>5.47667054666575</v>
      </c>
      <c r="Z317" s="46" t="b">
        <v>1</v>
      </c>
      <c r="AA317" s="46" t="b">
        <v>1</v>
      </c>
    </row>
    <row r="318">
      <c r="A318" s="157" t="s">
        <v>567</v>
      </c>
      <c r="B318" s="158">
        <v>5.0</v>
      </c>
      <c r="C318" s="157" t="s">
        <v>652</v>
      </c>
      <c r="D318" s="157" t="s">
        <v>653</v>
      </c>
      <c r="E318" s="157" t="s">
        <v>654</v>
      </c>
      <c r="F318" s="157" t="s">
        <v>1249</v>
      </c>
      <c r="G318" s="157" t="s">
        <v>1250</v>
      </c>
      <c r="H318" s="157"/>
      <c r="I318" s="158">
        <v>5.31782</v>
      </c>
      <c r="J318" s="158">
        <v>60.2826</v>
      </c>
      <c r="K318" s="157" t="s">
        <v>1251</v>
      </c>
      <c r="L318" s="157" t="s">
        <v>648</v>
      </c>
      <c r="M318" s="158">
        <v>2017.0</v>
      </c>
      <c r="N318" s="157" t="s">
        <v>116</v>
      </c>
      <c r="O318" s="157" t="s">
        <v>658</v>
      </c>
      <c r="P318" s="161" t="b">
        <v>1</v>
      </c>
      <c r="Q318" s="158">
        <v>0.216</v>
      </c>
      <c r="R318" s="158">
        <v>0.144</v>
      </c>
      <c r="S318" s="158">
        <v>0.072</v>
      </c>
      <c r="T318" s="157" t="s">
        <v>116</v>
      </c>
      <c r="U318" s="46" t="s">
        <v>651</v>
      </c>
      <c r="V318" s="46" t="b">
        <v>1</v>
      </c>
      <c r="W318" s="46">
        <v>0.95</v>
      </c>
      <c r="X318" s="46">
        <v>0.136799999999999</v>
      </c>
      <c r="Y318" s="46">
        <v>32.8039921655118</v>
      </c>
      <c r="Z318" s="46" t="b">
        <v>1</v>
      </c>
      <c r="AA318" s="46" t="b">
        <v>1</v>
      </c>
    </row>
    <row r="319">
      <c r="A319" s="157" t="s">
        <v>559</v>
      </c>
      <c r="B319" s="158">
        <v>5.0</v>
      </c>
      <c r="C319" s="157" t="s">
        <v>652</v>
      </c>
      <c r="D319" s="157" t="s">
        <v>653</v>
      </c>
      <c r="E319" s="157" t="s">
        <v>654</v>
      </c>
      <c r="F319" s="157" t="s">
        <v>1252</v>
      </c>
      <c r="G319" s="157" t="s">
        <v>1253</v>
      </c>
      <c r="H319" s="157"/>
      <c r="I319" s="158">
        <v>8.7776</v>
      </c>
      <c r="J319" s="158">
        <v>45.2804</v>
      </c>
      <c r="K319" s="157" t="s">
        <v>1254</v>
      </c>
      <c r="L319" s="157" t="s">
        <v>648</v>
      </c>
      <c r="M319" s="158">
        <v>2022.0</v>
      </c>
      <c r="N319" s="157" t="s">
        <v>116</v>
      </c>
      <c r="O319" s="157" t="s">
        <v>658</v>
      </c>
      <c r="P319" s="161" t="b">
        <v>1</v>
      </c>
      <c r="Q319" s="158">
        <v>0.260453</v>
      </c>
      <c r="R319" s="158">
        <v>0.14324915</v>
      </c>
      <c r="S319" s="158">
        <v>0.11720385</v>
      </c>
      <c r="T319" s="157" t="s">
        <v>116</v>
      </c>
      <c r="U319" s="46" t="s">
        <v>651</v>
      </c>
      <c r="V319" s="46" t="b">
        <v>1</v>
      </c>
      <c r="W319" s="46">
        <v>0.95</v>
      </c>
      <c r="X319" s="46">
        <v>0.1360866925</v>
      </c>
      <c r="Y319" s="46">
        <v>24.4963396567999</v>
      </c>
      <c r="Z319" s="46" t="b">
        <v>1</v>
      </c>
      <c r="AA319" s="46" t="b">
        <v>1</v>
      </c>
    </row>
    <row r="320">
      <c r="A320" s="157" t="s">
        <v>555</v>
      </c>
      <c r="B320" s="158">
        <v>1.0</v>
      </c>
      <c r="C320" s="157" t="s">
        <v>642</v>
      </c>
      <c r="D320" s="157" t="s">
        <v>643</v>
      </c>
      <c r="E320" s="157" t="s">
        <v>644</v>
      </c>
      <c r="F320" s="162" t="s">
        <v>1255</v>
      </c>
      <c r="G320" s="157" t="s">
        <v>1256</v>
      </c>
      <c r="H320" s="157"/>
      <c r="I320" s="158">
        <v>24.63539</v>
      </c>
      <c r="J320" s="158">
        <v>62.02764</v>
      </c>
      <c r="K320" s="157" t="s">
        <v>1257</v>
      </c>
      <c r="L320" s="157" t="s">
        <v>648</v>
      </c>
      <c r="M320" s="158">
        <v>2022.0</v>
      </c>
      <c r="N320" s="157" t="s">
        <v>649</v>
      </c>
      <c r="O320" s="157" t="s">
        <v>650</v>
      </c>
      <c r="P320" s="161" t="b">
        <v>0</v>
      </c>
      <c r="Q320" s="158">
        <v>0.148</v>
      </c>
      <c r="R320" s="158">
        <v>0.14221</v>
      </c>
      <c r="S320" s="158">
        <v>0.00579</v>
      </c>
      <c r="T320" s="157" t="s">
        <v>117</v>
      </c>
      <c r="U320" s="46" t="s">
        <v>651</v>
      </c>
      <c r="V320" s="46" t="b">
        <v>1</v>
      </c>
      <c r="W320" s="46">
        <v>0.95</v>
      </c>
      <c r="X320" s="46">
        <v>0.135099499999999</v>
      </c>
      <c r="Y320" s="46" t="s">
        <v>640</v>
      </c>
      <c r="Z320" s="46" t="b">
        <v>0</v>
      </c>
      <c r="AA320" s="46" t="b">
        <v>0</v>
      </c>
    </row>
    <row r="321">
      <c r="A321" s="157" t="s">
        <v>564</v>
      </c>
      <c r="B321" s="158">
        <v>5.0</v>
      </c>
      <c r="C321" s="157" t="s">
        <v>652</v>
      </c>
      <c r="D321" s="157" t="s">
        <v>653</v>
      </c>
      <c r="E321" s="157" t="s">
        <v>654</v>
      </c>
      <c r="F321" s="157" t="s">
        <v>1258</v>
      </c>
      <c r="G321" s="157" t="s">
        <v>1259</v>
      </c>
      <c r="H321" s="157"/>
      <c r="I321" s="158">
        <v>7.5833</v>
      </c>
      <c r="J321" s="158">
        <v>47.5467</v>
      </c>
      <c r="K321" s="157" t="s">
        <v>1260</v>
      </c>
      <c r="L321" s="157" t="s">
        <v>648</v>
      </c>
      <c r="M321" s="158">
        <v>2021.0</v>
      </c>
      <c r="N321" s="157" t="s">
        <v>116</v>
      </c>
      <c r="O321" s="157" t="s">
        <v>658</v>
      </c>
      <c r="P321" s="161" t="b">
        <v>1</v>
      </c>
      <c r="Q321" s="158">
        <v>0.257</v>
      </c>
      <c r="R321" s="158">
        <v>0.14135</v>
      </c>
      <c r="S321" s="158">
        <v>0.11565</v>
      </c>
      <c r="T321" s="157" t="s">
        <v>116</v>
      </c>
      <c r="U321" s="46" t="s">
        <v>651</v>
      </c>
      <c r="V321" s="46" t="b">
        <v>1</v>
      </c>
      <c r="W321" s="46">
        <v>0.95</v>
      </c>
      <c r="X321" s="46">
        <v>0.1342825</v>
      </c>
      <c r="Y321" s="46">
        <v>35.0737391308437</v>
      </c>
      <c r="Z321" s="46" t="b">
        <v>1</v>
      </c>
      <c r="AA321" s="46" t="b">
        <v>1</v>
      </c>
    </row>
    <row r="322">
      <c r="A322" s="157" t="s">
        <v>554</v>
      </c>
      <c r="B322" s="158">
        <v>1.0</v>
      </c>
      <c r="C322" s="157" t="s">
        <v>642</v>
      </c>
      <c r="D322" s="157" t="s">
        <v>643</v>
      </c>
      <c r="E322" s="157" t="s">
        <v>644</v>
      </c>
      <c r="F322" s="157" t="s">
        <v>1261</v>
      </c>
      <c r="G322" s="157" t="s">
        <v>1262</v>
      </c>
      <c r="H322" s="157"/>
      <c r="I322" s="158">
        <v>14.14955</v>
      </c>
      <c r="J322" s="158">
        <v>56.0395</v>
      </c>
      <c r="K322" s="157" t="s">
        <v>1263</v>
      </c>
      <c r="L322" s="157" t="s">
        <v>648</v>
      </c>
      <c r="M322" s="158">
        <v>2022.0</v>
      </c>
      <c r="N322" s="157" t="s">
        <v>649</v>
      </c>
      <c r="O322" s="157" t="s">
        <v>650</v>
      </c>
      <c r="P322" s="161" t="b">
        <v>0</v>
      </c>
      <c r="Q322" s="158">
        <v>0.141</v>
      </c>
      <c r="R322" s="158">
        <v>0.140747</v>
      </c>
      <c r="S322" s="158">
        <v>2.53E-4</v>
      </c>
      <c r="T322" s="157" t="s">
        <v>117</v>
      </c>
      <c r="U322" s="46" t="s">
        <v>651</v>
      </c>
      <c r="V322" s="46" t="b">
        <v>1</v>
      </c>
      <c r="W322" s="46">
        <v>0.95</v>
      </c>
      <c r="X322" s="46">
        <v>0.13370965</v>
      </c>
      <c r="Y322" s="46">
        <v>104.300973471974</v>
      </c>
      <c r="Z322" s="46" t="b">
        <v>0</v>
      </c>
      <c r="AA322" s="46" t="b">
        <v>0</v>
      </c>
    </row>
    <row r="323">
      <c r="A323" s="157" t="s">
        <v>573</v>
      </c>
      <c r="B323" s="158">
        <v>1.0</v>
      </c>
      <c r="C323" s="157" t="s">
        <v>642</v>
      </c>
      <c r="D323" s="157" t="s">
        <v>643</v>
      </c>
      <c r="E323" s="157" t="s">
        <v>644</v>
      </c>
      <c r="F323" s="157" t="s">
        <v>1264</v>
      </c>
      <c r="G323" s="157" t="s">
        <v>1265</v>
      </c>
      <c r="H323" s="157"/>
      <c r="I323" s="158">
        <v>27.7449635</v>
      </c>
      <c r="J323" s="158">
        <v>59.40365579</v>
      </c>
      <c r="K323" s="157" t="s">
        <v>1266</v>
      </c>
      <c r="L323" s="157" t="s">
        <v>648</v>
      </c>
      <c r="M323" s="158">
        <v>2022.0</v>
      </c>
      <c r="N323" s="157" t="s">
        <v>649</v>
      </c>
      <c r="O323" s="157" t="s">
        <v>650</v>
      </c>
      <c r="P323" s="161" t="b">
        <v>0</v>
      </c>
      <c r="Q323" s="158">
        <v>0.146</v>
      </c>
      <c r="R323" s="158">
        <v>0.14071</v>
      </c>
      <c r="S323" s="158">
        <v>0.00529</v>
      </c>
      <c r="T323" s="157" t="s">
        <v>117</v>
      </c>
      <c r="U323" s="46" t="s">
        <v>651</v>
      </c>
      <c r="V323" s="46" t="b">
        <v>1</v>
      </c>
      <c r="W323" s="46">
        <v>0.95</v>
      </c>
      <c r="X323" s="46">
        <v>0.1336745</v>
      </c>
      <c r="Y323" s="46" t="s">
        <v>640</v>
      </c>
      <c r="Z323" s="46" t="b">
        <v>0</v>
      </c>
      <c r="AA323" s="46" t="b">
        <v>0</v>
      </c>
    </row>
    <row r="324">
      <c r="A324" s="157" t="s">
        <v>554</v>
      </c>
      <c r="B324" s="158">
        <v>1.0</v>
      </c>
      <c r="C324" s="157" t="s">
        <v>642</v>
      </c>
      <c r="D324" s="157" t="s">
        <v>643</v>
      </c>
      <c r="E324" s="157" t="s">
        <v>644</v>
      </c>
      <c r="F324" s="157" t="s">
        <v>1267</v>
      </c>
      <c r="G324" s="157" t="s">
        <v>1268</v>
      </c>
      <c r="H324" s="157"/>
      <c r="I324" s="158">
        <v>17.82521</v>
      </c>
      <c r="J324" s="158">
        <v>59.36258</v>
      </c>
      <c r="K324" s="157" t="s">
        <v>1269</v>
      </c>
      <c r="L324" s="157" t="s">
        <v>648</v>
      </c>
      <c r="M324" s="158">
        <v>2022.0</v>
      </c>
      <c r="N324" s="157" t="s">
        <v>649</v>
      </c>
      <c r="O324" s="157" t="s">
        <v>650</v>
      </c>
      <c r="P324" s="161" t="b">
        <v>0</v>
      </c>
      <c r="Q324" s="158">
        <v>0.149</v>
      </c>
      <c r="R324" s="158">
        <v>0.13988</v>
      </c>
      <c r="S324" s="158">
        <v>0.00912</v>
      </c>
      <c r="T324" s="157" t="s">
        <v>117</v>
      </c>
      <c r="U324" s="46" t="s">
        <v>651</v>
      </c>
      <c r="V324" s="46" t="b">
        <v>1</v>
      </c>
      <c r="W324" s="46">
        <v>0.95</v>
      </c>
      <c r="X324" s="46">
        <v>0.132886</v>
      </c>
      <c r="Y324" s="46" t="s">
        <v>640</v>
      </c>
      <c r="Z324" s="46" t="b">
        <v>0</v>
      </c>
      <c r="AA324" s="46" t="b">
        <v>0</v>
      </c>
    </row>
    <row r="325">
      <c r="A325" s="157" t="s">
        <v>559</v>
      </c>
      <c r="B325" s="158">
        <v>1.0</v>
      </c>
      <c r="C325" s="157" t="s">
        <v>642</v>
      </c>
      <c r="D325" s="157" t="s">
        <v>643</v>
      </c>
      <c r="E325" s="157" t="s">
        <v>644</v>
      </c>
      <c r="F325" s="157" t="s">
        <v>1270</v>
      </c>
      <c r="G325" s="157" t="s">
        <v>1271</v>
      </c>
      <c r="H325" s="157"/>
      <c r="I325" s="158">
        <v>15.2022</v>
      </c>
      <c r="J325" s="158">
        <v>37.1291</v>
      </c>
      <c r="K325" s="157" t="s">
        <v>1272</v>
      </c>
      <c r="L325" s="157" t="s">
        <v>648</v>
      </c>
      <c r="M325" s="158">
        <v>2022.0</v>
      </c>
      <c r="N325" s="157" t="s">
        <v>649</v>
      </c>
      <c r="O325" s="157" t="s">
        <v>650</v>
      </c>
      <c r="P325" s="161" t="b">
        <v>0</v>
      </c>
      <c r="Q325" s="158">
        <v>1.915412</v>
      </c>
      <c r="R325" s="158">
        <v>0.138917931</v>
      </c>
      <c r="S325" s="158">
        <v>1.776494069</v>
      </c>
      <c r="T325" s="157" t="s">
        <v>594</v>
      </c>
      <c r="U325" s="46" t="s">
        <v>651</v>
      </c>
      <c r="V325" s="46" t="b">
        <v>1</v>
      </c>
      <c r="W325" s="46">
        <v>0.95</v>
      </c>
      <c r="X325" s="46">
        <v>0.13197203445</v>
      </c>
      <c r="Y325" s="46" t="s">
        <v>640</v>
      </c>
      <c r="Z325" s="46" t="b">
        <v>0</v>
      </c>
      <c r="AA325" s="46" t="b">
        <v>0</v>
      </c>
    </row>
    <row r="326">
      <c r="A326" s="157" t="s">
        <v>564</v>
      </c>
      <c r="B326" s="158">
        <v>5.0</v>
      </c>
      <c r="C326" s="157" t="s">
        <v>652</v>
      </c>
      <c r="D326" s="157" t="s">
        <v>653</v>
      </c>
      <c r="E326" s="157" t="s">
        <v>654</v>
      </c>
      <c r="F326" s="157" t="s">
        <v>1273</v>
      </c>
      <c r="G326" s="157" t="s">
        <v>1274</v>
      </c>
      <c r="H326" s="157"/>
      <c r="I326" s="158">
        <v>9.1383</v>
      </c>
      <c r="J326" s="158">
        <v>47.5575</v>
      </c>
      <c r="K326" s="157" t="s">
        <v>1275</v>
      </c>
      <c r="L326" s="157" t="s">
        <v>648</v>
      </c>
      <c r="M326" s="158">
        <v>2021.0</v>
      </c>
      <c r="N326" s="157" t="s">
        <v>116</v>
      </c>
      <c r="O326" s="157" t="s">
        <v>658</v>
      </c>
      <c r="P326" s="161" t="b">
        <v>1</v>
      </c>
      <c r="Q326" s="158">
        <v>0.252</v>
      </c>
      <c r="R326" s="158">
        <v>0.1386</v>
      </c>
      <c r="S326" s="158">
        <v>0.1134</v>
      </c>
      <c r="T326" s="157" t="s">
        <v>116</v>
      </c>
      <c r="U326" s="46" t="s">
        <v>651</v>
      </c>
      <c r="V326" s="46" t="b">
        <v>1</v>
      </c>
      <c r="W326" s="46">
        <v>0.95</v>
      </c>
      <c r="X326" s="46">
        <v>0.131669999999999</v>
      </c>
      <c r="Y326" s="46">
        <v>81.9203249602455</v>
      </c>
      <c r="Z326" s="46" t="b">
        <v>0</v>
      </c>
      <c r="AA326" s="46" t="b">
        <v>1</v>
      </c>
    </row>
    <row r="327">
      <c r="A327" s="157" t="s">
        <v>560</v>
      </c>
      <c r="B327" s="158">
        <v>5.0</v>
      </c>
      <c r="C327" s="157" t="s">
        <v>652</v>
      </c>
      <c r="D327" s="157" t="s">
        <v>653</v>
      </c>
      <c r="E327" s="157" t="s">
        <v>654</v>
      </c>
      <c r="F327" s="157" t="s">
        <v>1276</v>
      </c>
      <c r="G327" s="157" t="s">
        <v>1277</v>
      </c>
      <c r="H327" s="157"/>
      <c r="I327" s="158">
        <v>16.461944</v>
      </c>
      <c r="J327" s="158">
        <v>48.176167</v>
      </c>
      <c r="K327" s="157" t="s">
        <v>1278</v>
      </c>
      <c r="L327" s="157" t="s">
        <v>648</v>
      </c>
      <c r="M327" s="158">
        <v>2022.0</v>
      </c>
      <c r="N327" s="157" t="s">
        <v>116</v>
      </c>
      <c r="O327" s="157" t="s">
        <v>658</v>
      </c>
      <c r="P327" s="161" t="b">
        <v>1</v>
      </c>
      <c r="Q327" s="158">
        <v>0.251</v>
      </c>
      <c r="R327" s="158">
        <v>0.13805</v>
      </c>
      <c r="S327" s="158">
        <v>0.11295</v>
      </c>
      <c r="T327" s="157" t="s">
        <v>116</v>
      </c>
      <c r="U327" s="46" t="s">
        <v>651</v>
      </c>
      <c r="V327" s="46" t="b">
        <v>1</v>
      </c>
      <c r="W327" s="46">
        <v>0.95</v>
      </c>
      <c r="X327" s="46">
        <v>0.1311475</v>
      </c>
      <c r="Y327" s="46" t="s">
        <v>640</v>
      </c>
      <c r="Z327" s="46" t="b">
        <v>0</v>
      </c>
      <c r="AA327" s="46" t="b">
        <v>0</v>
      </c>
    </row>
    <row r="328">
      <c r="A328" s="157" t="s">
        <v>577</v>
      </c>
      <c r="B328" s="158">
        <v>1.0</v>
      </c>
      <c r="C328" s="157" t="s">
        <v>642</v>
      </c>
      <c r="D328" s="157" t="s">
        <v>643</v>
      </c>
      <c r="E328" s="157" t="s">
        <v>644</v>
      </c>
      <c r="F328" s="157" t="s">
        <v>1279</v>
      </c>
      <c r="G328" s="157" t="s">
        <v>1280</v>
      </c>
      <c r="H328" s="157"/>
      <c r="I328" s="158">
        <v>14.545125</v>
      </c>
      <c r="J328" s="158">
        <v>46.057961</v>
      </c>
      <c r="K328" s="157" t="s">
        <v>1281</v>
      </c>
      <c r="L328" s="157" t="s">
        <v>648</v>
      </c>
      <c r="M328" s="158">
        <v>2022.0</v>
      </c>
      <c r="N328" s="157" t="s">
        <v>649</v>
      </c>
      <c r="O328" s="157" t="s">
        <v>650</v>
      </c>
      <c r="P328" s="161" t="b">
        <v>0</v>
      </c>
      <c r="Q328" s="158">
        <v>0.602954</v>
      </c>
      <c r="R328" s="158">
        <v>0.13698</v>
      </c>
      <c r="S328" s="158">
        <v>0.465974</v>
      </c>
      <c r="T328" s="157" t="s">
        <v>117</v>
      </c>
      <c r="U328" s="46" t="s">
        <v>651</v>
      </c>
      <c r="V328" s="46" t="b">
        <v>1</v>
      </c>
      <c r="W328" s="46">
        <v>0.95</v>
      </c>
      <c r="X328" s="46">
        <v>0.130131</v>
      </c>
      <c r="Y328" s="46" t="s">
        <v>640</v>
      </c>
      <c r="Z328" s="46" t="b">
        <v>0</v>
      </c>
      <c r="AA328" s="46" t="b">
        <v>0</v>
      </c>
    </row>
    <row r="329">
      <c r="A329" s="157" t="s">
        <v>555</v>
      </c>
      <c r="B329" s="158">
        <v>1.0</v>
      </c>
      <c r="C329" s="157" t="s">
        <v>642</v>
      </c>
      <c r="D329" s="157" t="s">
        <v>643</v>
      </c>
      <c r="E329" s="157" t="s">
        <v>644</v>
      </c>
      <c r="F329" s="162" t="s">
        <v>1282</v>
      </c>
      <c r="G329" s="157" t="s">
        <v>1283</v>
      </c>
      <c r="H329" s="157"/>
      <c r="I329" s="158">
        <v>24.17603</v>
      </c>
      <c r="J329" s="158">
        <v>65.76958</v>
      </c>
      <c r="K329" s="157" t="s">
        <v>1284</v>
      </c>
      <c r="L329" s="157" t="s">
        <v>648</v>
      </c>
      <c r="M329" s="158">
        <v>2022.0</v>
      </c>
      <c r="N329" s="157" t="s">
        <v>649</v>
      </c>
      <c r="O329" s="157" t="s">
        <v>650</v>
      </c>
      <c r="P329" s="161" t="b">
        <v>0</v>
      </c>
      <c r="Q329" s="158">
        <v>0.404</v>
      </c>
      <c r="R329" s="158">
        <v>0.135</v>
      </c>
      <c r="S329" s="158">
        <v>0.269</v>
      </c>
      <c r="T329" s="157" t="s">
        <v>117</v>
      </c>
      <c r="U329" s="46" t="s">
        <v>651</v>
      </c>
      <c r="V329" s="46" t="b">
        <v>1</v>
      </c>
      <c r="W329" s="46">
        <v>0.95</v>
      </c>
      <c r="X329" s="46">
        <v>0.12825</v>
      </c>
      <c r="Y329" s="46" t="s">
        <v>640</v>
      </c>
      <c r="Z329" s="46" t="b">
        <v>0</v>
      </c>
      <c r="AA329" s="46" t="b">
        <v>0</v>
      </c>
    </row>
    <row r="330">
      <c r="A330" s="157" t="s">
        <v>561</v>
      </c>
      <c r="B330" s="158">
        <v>1.0</v>
      </c>
      <c r="C330" s="157" t="s">
        <v>642</v>
      </c>
      <c r="D330" s="157" t="s">
        <v>643</v>
      </c>
      <c r="E330" s="157" t="s">
        <v>644</v>
      </c>
      <c r="F330" s="157" t="s">
        <v>1285</v>
      </c>
      <c r="G330" s="157" t="s">
        <v>1286</v>
      </c>
      <c r="H330" s="157"/>
      <c r="I330" s="158">
        <v>-16.573048</v>
      </c>
      <c r="J330" s="158">
        <v>28.12218</v>
      </c>
      <c r="K330" s="157" t="s">
        <v>1287</v>
      </c>
      <c r="L330" s="157" t="s">
        <v>648</v>
      </c>
      <c r="M330" s="158">
        <v>2022.0</v>
      </c>
      <c r="N330" s="157" t="s">
        <v>649</v>
      </c>
      <c r="O330" s="157" t="s">
        <v>650</v>
      </c>
      <c r="P330" s="161" t="b">
        <v>0</v>
      </c>
      <c r="Q330" s="158">
        <v>1.86</v>
      </c>
      <c r="R330" s="158">
        <v>0.134899099</v>
      </c>
      <c r="S330" s="158">
        <v>1.725100901</v>
      </c>
      <c r="T330" s="157" t="s">
        <v>594</v>
      </c>
      <c r="U330" s="46" t="s">
        <v>651</v>
      </c>
      <c r="V330" s="46" t="b">
        <v>1</v>
      </c>
      <c r="W330" s="46">
        <v>0.95</v>
      </c>
      <c r="X330" s="46">
        <v>0.12815414405</v>
      </c>
      <c r="Y330" s="46" t="s">
        <v>640</v>
      </c>
      <c r="Z330" s="46" t="b">
        <v>0</v>
      </c>
      <c r="AA330" s="46" t="b">
        <v>0</v>
      </c>
    </row>
    <row r="331">
      <c r="A331" s="157" t="s">
        <v>554</v>
      </c>
      <c r="B331" s="158">
        <v>6.0</v>
      </c>
      <c r="C331" s="157" t="s">
        <v>659</v>
      </c>
      <c r="D331" s="157" t="s">
        <v>717</v>
      </c>
      <c r="E331" s="157" t="s">
        <v>718</v>
      </c>
      <c r="F331" s="157" t="s">
        <v>1288</v>
      </c>
      <c r="G331" s="157" t="s">
        <v>1289</v>
      </c>
      <c r="H331" s="157"/>
      <c r="I331" s="158">
        <v>16.26148</v>
      </c>
      <c r="J331" s="158">
        <v>58.63975</v>
      </c>
      <c r="K331" s="157" t="s">
        <v>867</v>
      </c>
      <c r="L331" s="157" t="s">
        <v>648</v>
      </c>
      <c r="M331" s="158">
        <v>2022.0</v>
      </c>
      <c r="N331" s="157" t="s">
        <v>123</v>
      </c>
      <c r="O331" s="157" t="s">
        <v>722</v>
      </c>
      <c r="P331" s="161" t="b">
        <v>1</v>
      </c>
      <c r="Q331" s="158">
        <v>0.146</v>
      </c>
      <c r="R331" s="158">
        <v>0.1347</v>
      </c>
      <c r="S331" s="158">
        <v>0.0113</v>
      </c>
      <c r="T331" s="157" t="s">
        <v>123</v>
      </c>
      <c r="U331" s="46" t="s">
        <v>651</v>
      </c>
      <c r="V331" s="46" t="b">
        <v>1</v>
      </c>
      <c r="W331" s="46">
        <v>0.95</v>
      </c>
      <c r="X331" s="46">
        <v>0.127964999999999</v>
      </c>
      <c r="Y331" s="46" t="s">
        <v>640</v>
      </c>
      <c r="Z331" s="46" t="b">
        <v>0</v>
      </c>
      <c r="AA331" s="46" t="b">
        <v>0</v>
      </c>
    </row>
    <row r="332">
      <c r="A332" s="157" t="s">
        <v>566</v>
      </c>
      <c r="B332" s="158">
        <v>3.0</v>
      </c>
      <c r="C332" s="157" t="s">
        <v>1215</v>
      </c>
      <c r="D332" s="157" t="s">
        <v>1216</v>
      </c>
      <c r="E332" s="157" t="s">
        <v>1217</v>
      </c>
      <c r="F332" s="157" t="s">
        <v>1290</v>
      </c>
      <c r="G332" s="157" t="s">
        <v>1291</v>
      </c>
      <c r="H332" s="157"/>
      <c r="I332" s="158">
        <v>17.97772222</v>
      </c>
      <c r="J332" s="158">
        <v>50.53480556</v>
      </c>
      <c r="K332" s="157" t="s">
        <v>1292</v>
      </c>
      <c r="L332" s="157" t="s">
        <v>648</v>
      </c>
      <c r="M332" s="158">
        <v>2022.0</v>
      </c>
      <c r="N332" s="157" t="s">
        <v>114</v>
      </c>
      <c r="O332" s="157" t="s">
        <v>1221</v>
      </c>
      <c r="P332" s="161" t="b">
        <v>1</v>
      </c>
      <c r="Q332" s="158">
        <v>2.95</v>
      </c>
      <c r="R332" s="158">
        <v>0.134336467</v>
      </c>
      <c r="S332" s="158">
        <v>2.815663533</v>
      </c>
      <c r="T332" s="157" t="s">
        <v>114</v>
      </c>
      <c r="U332" s="46" t="s">
        <v>651</v>
      </c>
      <c r="V332" s="46" t="b">
        <v>1</v>
      </c>
      <c r="W332" s="46">
        <v>0.95</v>
      </c>
      <c r="X332" s="46">
        <v>0.127619643649999</v>
      </c>
      <c r="Y332" s="46" t="s">
        <v>640</v>
      </c>
      <c r="Z332" s="46" t="b">
        <v>0</v>
      </c>
      <c r="AA332" s="46" t="b">
        <v>0</v>
      </c>
    </row>
    <row r="333">
      <c r="A333" s="157" t="s">
        <v>556</v>
      </c>
      <c r="B333" s="158">
        <v>1.0</v>
      </c>
      <c r="C333" s="157" t="s">
        <v>642</v>
      </c>
      <c r="D333" s="157" t="s">
        <v>643</v>
      </c>
      <c r="E333" s="157" t="s">
        <v>644</v>
      </c>
      <c r="F333" s="157" t="s">
        <v>1293</v>
      </c>
      <c r="G333" s="157" t="s">
        <v>1294</v>
      </c>
      <c r="H333" s="157"/>
      <c r="I333" s="158">
        <v>2.14059</v>
      </c>
      <c r="J333" s="158">
        <v>48.9841</v>
      </c>
      <c r="K333" s="157" t="s">
        <v>1295</v>
      </c>
      <c r="L333" s="157" t="s">
        <v>648</v>
      </c>
      <c r="M333" s="158">
        <v>2022.0</v>
      </c>
      <c r="N333" s="157" t="s">
        <v>649</v>
      </c>
      <c r="O333" s="157" t="s">
        <v>650</v>
      </c>
      <c r="P333" s="161" t="b">
        <v>0</v>
      </c>
      <c r="Q333" s="158">
        <v>1.851000064</v>
      </c>
      <c r="R333" s="158">
        <v>0.134246366</v>
      </c>
      <c r="S333" s="158">
        <v>1.716753698</v>
      </c>
      <c r="T333" s="157" t="s">
        <v>594</v>
      </c>
      <c r="U333" s="46" t="s">
        <v>651</v>
      </c>
      <c r="V333" s="46" t="b">
        <v>1</v>
      </c>
      <c r="W333" s="46">
        <v>0.95</v>
      </c>
      <c r="X333" s="46">
        <v>0.1275340477</v>
      </c>
      <c r="Y333" s="46">
        <v>0.892938574656605</v>
      </c>
      <c r="Z333" s="46" t="b">
        <v>1</v>
      </c>
      <c r="AA333" s="46" t="b">
        <v>1</v>
      </c>
    </row>
    <row r="334">
      <c r="A334" s="157" t="s">
        <v>555</v>
      </c>
      <c r="B334" s="158">
        <v>1.0</v>
      </c>
      <c r="C334" s="157" t="s">
        <v>642</v>
      </c>
      <c r="D334" s="157" t="s">
        <v>643</v>
      </c>
      <c r="E334" s="157" t="s">
        <v>644</v>
      </c>
      <c r="F334" s="162" t="s">
        <v>1296</v>
      </c>
      <c r="G334" s="157" t="s">
        <v>1297</v>
      </c>
      <c r="H334" s="157"/>
      <c r="I334" s="158">
        <v>27.26546</v>
      </c>
      <c r="J334" s="158">
        <v>61.47262</v>
      </c>
      <c r="K334" s="157" t="s">
        <v>989</v>
      </c>
      <c r="L334" s="157" t="s">
        <v>648</v>
      </c>
      <c r="M334" s="158">
        <v>2022.0</v>
      </c>
      <c r="N334" s="157" t="s">
        <v>649</v>
      </c>
      <c r="O334" s="157" t="s">
        <v>650</v>
      </c>
      <c r="P334" s="161" t="b">
        <v>0</v>
      </c>
      <c r="Q334" s="158">
        <v>0.135</v>
      </c>
      <c r="R334" s="158">
        <v>0.134136</v>
      </c>
      <c r="S334" s="158">
        <v>8.64E-4</v>
      </c>
      <c r="T334" s="157" t="s">
        <v>117</v>
      </c>
      <c r="U334" s="46" t="s">
        <v>651</v>
      </c>
      <c r="V334" s="46" t="b">
        <v>1</v>
      </c>
      <c r="W334" s="46">
        <v>0.95</v>
      </c>
      <c r="X334" s="46">
        <v>0.1274292</v>
      </c>
      <c r="Y334" s="46" t="s">
        <v>640</v>
      </c>
      <c r="Z334" s="46" t="b">
        <v>0</v>
      </c>
      <c r="AA334" s="46" t="b">
        <v>0</v>
      </c>
    </row>
    <row r="335">
      <c r="A335" s="157" t="s">
        <v>560</v>
      </c>
      <c r="B335" s="158">
        <v>6.0</v>
      </c>
      <c r="C335" s="157" t="s">
        <v>659</v>
      </c>
      <c r="D335" s="157" t="s">
        <v>717</v>
      </c>
      <c r="E335" s="157" t="s">
        <v>718</v>
      </c>
      <c r="F335" s="157" t="s">
        <v>1298</v>
      </c>
      <c r="G335" s="157" t="s">
        <v>1299</v>
      </c>
      <c r="H335" s="157"/>
      <c r="I335" s="158">
        <v>15.334056</v>
      </c>
      <c r="J335" s="158">
        <v>47.134111</v>
      </c>
      <c r="K335" s="157" t="s">
        <v>1300</v>
      </c>
      <c r="L335" s="157" t="s">
        <v>648</v>
      </c>
      <c r="M335" s="158">
        <v>2022.0</v>
      </c>
      <c r="N335" s="157" t="s">
        <v>123</v>
      </c>
      <c r="O335" s="157" t="s">
        <v>722</v>
      </c>
      <c r="P335" s="161" t="b">
        <v>1</v>
      </c>
      <c r="Q335" s="158">
        <v>0.31</v>
      </c>
      <c r="R335" s="158">
        <v>0.134135775</v>
      </c>
      <c r="S335" s="158">
        <v>0.175864225</v>
      </c>
      <c r="T335" s="157" t="s">
        <v>123</v>
      </c>
      <c r="U335" s="46" t="s">
        <v>651</v>
      </c>
      <c r="V335" s="46" t="b">
        <v>1</v>
      </c>
      <c r="W335" s="46">
        <v>0.95</v>
      </c>
      <c r="X335" s="46">
        <v>0.12742898625</v>
      </c>
      <c r="Y335" s="46" t="s">
        <v>640</v>
      </c>
      <c r="Z335" s="46" t="b">
        <v>0</v>
      </c>
      <c r="AA335" s="46" t="b">
        <v>0</v>
      </c>
    </row>
    <row r="336">
      <c r="A336" s="157" t="s">
        <v>566</v>
      </c>
      <c r="B336" s="158">
        <v>5.0</v>
      </c>
      <c r="C336" s="157" t="s">
        <v>652</v>
      </c>
      <c r="D336" s="157" t="s">
        <v>653</v>
      </c>
      <c r="E336" s="157" t="s">
        <v>654</v>
      </c>
      <c r="F336" s="157" t="s">
        <v>1301</v>
      </c>
      <c r="G336" s="157" t="s">
        <v>1302</v>
      </c>
      <c r="H336" s="157"/>
      <c r="I336" s="158">
        <v>20.08016014</v>
      </c>
      <c r="J336" s="158">
        <v>50.058815</v>
      </c>
      <c r="K336" s="157" t="s">
        <v>1303</v>
      </c>
      <c r="L336" s="157" t="s">
        <v>648</v>
      </c>
      <c r="M336" s="158">
        <v>2022.0</v>
      </c>
      <c r="N336" s="157" t="s">
        <v>116</v>
      </c>
      <c r="O336" s="157" t="s">
        <v>658</v>
      </c>
      <c r="P336" s="161" t="b">
        <v>1</v>
      </c>
      <c r="Q336" s="158">
        <v>0.243</v>
      </c>
      <c r="R336" s="158">
        <v>0.13365</v>
      </c>
      <c r="S336" s="158">
        <v>0.10935</v>
      </c>
      <c r="T336" s="157" t="s">
        <v>116</v>
      </c>
      <c r="U336" s="46" t="s">
        <v>651</v>
      </c>
      <c r="V336" s="46" t="b">
        <v>1</v>
      </c>
      <c r="W336" s="46">
        <v>0.95</v>
      </c>
      <c r="X336" s="46">
        <v>0.126967499999999</v>
      </c>
      <c r="Y336" s="46" t="s">
        <v>640</v>
      </c>
      <c r="Z336" s="46" t="b">
        <v>0</v>
      </c>
      <c r="AA336" s="46" t="b">
        <v>0</v>
      </c>
    </row>
    <row r="337">
      <c r="A337" s="157" t="s">
        <v>566</v>
      </c>
      <c r="B337" s="158">
        <v>1.0</v>
      </c>
      <c r="C337" s="157" t="s">
        <v>642</v>
      </c>
      <c r="D337" s="157" t="s">
        <v>643</v>
      </c>
      <c r="E337" s="157" t="s">
        <v>644</v>
      </c>
      <c r="F337" s="157" t="s">
        <v>1304</v>
      </c>
      <c r="G337" s="157" t="s">
        <v>1305</v>
      </c>
      <c r="H337" s="157"/>
      <c r="I337" s="158">
        <v>20.99627876</v>
      </c>
      <c r="J337" s="158">
        <v>52.29538727</v>
      </c>
      <c r="K337" s="157" t="s">
        <v>1036</v>
      </c>
      <c r="L337" s="157" t="s">
        <v>648</v>
      </c>
      <c r="M337" s="158">
        <v>2022.0</v>
      </c>
      <c r="N337" s="157" t="s">
        <v>649</v>
      </c>
      <c r="O337" s="157" t="s">
        <v>650</v>
      </c>
      <c r="P337" s="161" t="b">
        <v>0</v>
      </c>
      <c r="Q337" s="158">
        <v>1.84</v>
      </c>
      <c r="R337" s="158">
        <v>0.133448571</v>
      </c>
      <c r="S337" s="158">
        <v>1.706551429</v>
      </c>
      <c r="T337" s="157" t="s">
        <v>594</v>
      </c>
      <c r="U337" s="46" t="s">
        <v>651</v>
      </c>
      <c r="V337" s="46" t="b">
        <v>1</v>
      </c>
      <c r="W337" s="46">
        <v>0.95</v>
      </c>
      <c r="X337" s="46">
        <v>0.12677614245</v>
      </c>
      <c r="Y337" s="46">
        <v>100.759635567927</v>
      </c>
      <c r="Z337" s="46" t="b">
        <v>0</v>
      </c>
      <c r="AA337" s="46" t="b">
        <v>0</v>
      </c>
    </row>
    <row r="338">
      <c r="A338" s="157" t="s">
        <v>559</v>
      </c>
      <c r="B338" s="158">
        <v>1.0</v>
      </c>
      <c r="C338" s="157" t="s">
        <v>642</v>
      </c>
      <c r="D338" s="157" t="s">
        <v>643</v>
      </c>
      <c r="E338" s="157" t="s">
        <v>644</v>
      </c>
      <c r="F338" s="157" t="s">
        <v>1306</v>
      </c>
      <c r="G338" s="157" t="s">
        <v>1307</v>
      </c>
      <c r="H338" s="157"/>
      <c r="I338" s="158">
        <v>15.2808</v>
      </c>
      <c r="J338" s="158">
        <v>38.2019</v>
      </c>
      <c r="K338" s="157" t="s">
        <v>1308</v>
      </c>
      <c r="L338" s="157" t="s">
        <v>648</v>
      </c>
      <c r="M338" s="158">
        <v>2022.0</v>
      </c>
      <c r="N338" s="157" t="s">
        <v>649</v>
      </c>
      <c r="O338" s="157" t="s">
        <v>650</v>
      </c>
      <c r="P338" s="161" t="b">
        <v>0</v>
      </c>
      <c r="Q338" s="158">
        <v>1.838448879</v>
      </c>
      <c r="R338" s="158">
        <v>0.133336073</v>
      </c>
      <c r="S338" s="158">
        <v>1.705112806</v>
      </c>
      <c r="T338" s="157" t="s">
        <v>594</v>
      </c>
      <c r="U338" s="46" t="s">
        <v>651</v>
      </c>
      <c r="V338" s="46" t="b">
        <v>1</v>
      </c>
      <c r="W338" s="46">
        <v>0.95</v>
      </c>
      <c r="X338" s="46">
        <v>0.12666926935</v>
      </c>
      <c r="Y338" s="46" t="s">
        <v>640</v>
      </c>
      <c r="Z338" s="46" t="b">
        <v>0</v>
      </c>
      <c r="AA338" s="46" t="b">
        <v>0</v>
      </c>
    </row>
    <row r="339">
      <c r="A339" s="157" t="s">
        <v>554</v>
      </c>
      <c r="B339" s="158">
        <v>1.0</v>
      </c>
      <c r="C339" s="157" t="s">
        <v>642</v>
      </c>
      <c r="D339" s="157" t="s">
        <v>643</v>
      </c>
      <c r="E339" s="157" t="s">
        <v>644</v>
      </c>
      <c r="F339" s="157" t="s">
        <v>1309</v>
      </c>
      <c r="G339" s="157" t="s">
        <v>1310</v>
      </c>
      <c r="H339" s="157"/>
      <c r="I339" s="158">
        <v>12.02754</v>
      </c>
      <c r="J339" s="158">
        <v>57.72902</v>
      </c>
      <c r="K339" s="157" t="s">
        <v>879</v>
      </c>
      <c r="L339" s="157" t="s">
        <v>648</v>
      </c>
      <c r="M339" s="158">
        <v>2022.0</v>
      </c>
      <c r="N339" s="157" t="s">
        <v>649</v>
      </c>
      <c r="O339" s="157" t="s">
        <v>650</v>
      </c>
      <c r="P339" s="161" t="b">
        <v>0</v>
      </c>
      <c r="Q339" s="158">
        <v>0.139</v>
      </c>
      <c r="R339" s="158">
        <v>0.13306</v>
      </c>
      <c r="S339" s="158">
        <v>0.00594</v>
      </c>
      <c r="T339" s="157" t="s">
        <v>117</v>
      </c>
      <c r="U339" s="46" t="s">
        <v>651</v>
      </c>
      <c r="V339" s="46" t="b">
        <v>1</v>
      </c>
      <c r="W339" s="46">
        <v>0.95</v>
      </c>
      <c r="X339" s="46">
        <v>0.126407</v>
      </c>
      <c r="Y339" s="46">
        <v>139.979251703992</v>
      </c>
      <c r="Z339" s="46" t="b">
        <v>0</v>
      </c>
      <c r="AA339" s="46" t="b">
        <v>0</v>
      </c>
    </row>
    <row r="340">
      <c r="A340" s="157" t="s">
        <v>563</v>
      </c>
      <c r="B340" s="158">
        <v>5.0</v>
      </c>
      <c r="C340" s="157" t="s">
        <v>652</v>
      </c>
      <c r="D340" s="157" t="s">
        <v>895</v>
      </c>
      <c r="E340" s="157" t="s">
        <v>896</v>
      </c>
      <c r="F340" s="157" t="s">
        <v>1311</v>
      </c>
      <c r="G340" s="157" t="s">
        <v>1312</v>
      </c>
      <c r="H340" s="157"/>
      <c r="I340" s="158">
        <v>-0.146744</v>
      </c>
      <c r="J340" s="158">
        <v>51.38594</v>
      </c>
      <c r="K340" s="157" t="s">
        <v>1313</v>
      </c>
      <c r="L340" s="157" t="s">
        <v>648</v>
      </c>
      <c r="M340" s="158">
        <v>2019.0</v>
      </c>
      <c r="N340" s="157" t="s">
        <v>116</v>
      </c>
      <c r="O340" s="157" t="s">
        <v>900</v>
      </c>
      <c r="P340" s="161" t="b">
        <v>1</v>
      </c>
      <c r="Q340" s="158">
        <v>0.263</v>
      </c>
      <c r="R340" s="158">
        <v>0.133</v>
      </c>
      <c r="S340" s="158">
        <v>0.13</v>
      </c>
      <c r="T340" s="157" t="s">
        <v>116</v>
      </c>
      <c r="U340" s="46" t="s">
        <v>651</v>
      </c>
      <c r="V340" s="46" t="b">
        <v>1</v>
      </c>
      <c r="W340" s="46">
        <v>0.95</v>
      </c>
      <c r="X340" s="46">
        <v>0.12635</v>
      </c>
      <c r="Y340" s="46">
        <v>188.09268223513</v>
      </c>
      <c r="Z340" s="46" t="b">
        <v>0</v>
      </c>
      <c r="AA340" s="46" t="b">
        <v>0</v>
      </c>
    </row>
    <row r="341">
      <c r="A341" s="157" t="s">
        <v>556</v>
      </c>
      <c r="B341" s="158">
        <v>6.0</v>
      </c>
      <c r="C341" s="157" t="s">
        <v>659</v>
      </c>
      <c r="D341" s="157" t="s">
        <v>660</v>
      </c>
      <c r="E341" s="157" t="s">
        <v>661</v>
      </c>
      <c r="F341" s="157" t="s">
        <v>1314</v>
      </c>
      <c r="G341" s="157" t="s">
        <v>1315</v>
      </c>
      <c r="H341" s="157"/>
      <c r="I341" s="158">
        <v>3.41373</v>
      </c>
      <c r="J341" s="158">
        <v>49.36547</v>
      </c>
      <c r="K341" s="157" t="s">
        <v>1316</v>
      </c>
      <c r="L341" s="157" t="s">
        <v>648</v>
      </c>
      <c r="M341" s="158">
        <v>2022.0</v>
      </c>
      <c r="N341" s="157" t="s">
        <v>123</v>
      </c>
      <c r="O341" s="157" t="s">
        <v>665</v>
      </c>
      <c r="P341" s="161" t="b">
        <v>1</v>
      </c>
      <c r="Q341" s="158">
        <v>0.14</v>
      </c>
      <c r="R341" s="158">
        <v>0.131150933</v>
      </c>
      <c r="S341" s="158">
        <v>0.008849067</v>
      </c>
      <c r="T341" s="157" t="s">
        <v>123</v>
      </c>
      <c r="U341" s="46" t="s">
        <v>651</v>
      </c>
      <c r="V341" s="46" t="b">
        <v>1</v>
      </c>
      <c r="W341" s="46">
        <v>0.95</v>
      </c>
      <c r="X341" s="46">
        <v>0.124593386349999</v>
      </c>
      <c r="Y341" s="46">
        <v>87.4416251881264</v>
      </c>
      <c r="Z341" s="46" t="b">
        <v>0</v>
      </c>
      <c r="AA341" s="46" t="b">
        <v>1</v>
      </c>
    </row>
    <row r="342">
      <c r="A342" s="157" t="s">
        <v>563</v>
      </c>
      <c r="B342" s="158">
        <v>5.0</v>
      </c>
      <c r="C342" s="157" t="s">
        <v>652</v>
      </c>
      <c r="D342" s="157" t="s">
        <v>653</v>
      </c>
      <c r="E342" s="157" t="s">
        <v>654</v>
      </c>
      <c r="F342" s="157" t="s">
        <v>1317</v>
      </c>
      <c r="G342" s="157" t="s">
        <v>1318</v>
      </c>
      <c r="H342" s="157"/>
      <c r="I342" s="158">
        <v>-1.215424</v>
      </c>
      <c r="J342" s="158">
        <v>51.932956</v>
      </c>
      <c r="K342" s="157" t="s">
        <v>1319</v>
      </c>
      <c r="L342" s="157" t="s">
        <v>648</v>
      </c>
      <c r="M342" s="158">
        <v>2019.0</v>
      </c>
      <c r="N342" s="157" t="s">
        <v>116</v>
      </c>
      <c r="O342" s="157" t="s">
        <v>658</v>
      </c>
      <c r="P342" s="161" t="b">
        <v>1</v>
      </c>
      <c r="Q342" s="158">
        <v>0.269</v>
      </c>
      <c r="R342" s="158">
        <v>0.131</v>
      </c>
      <c r="S342" s="158">
        <v>0.138</v>
      </c>
      <c r="T342" s="157" t="s">
        <v>116</v>
      </c>
      <c r="U342" s="46" t="s">
        <v>651</v>
      </c>
      <c r="V342" s="46" t="b">
        <v>1</v>
      </c>
      <c r="W342" s="46">
        <v>0.95</v>
      </c>
      <c r="X342" s="46">
        <v>0.12445</v>
      </c>
      <c r="Y342" s="46" t="s">
        <v>640</v>
      </c>
      <c r="Z342" s="46" t="b">
        <v>0</v>
      </c>
      <c r="AA342" s="46" t="b">
        <v>0</v>
      </c>
    </row>
    <row r="343">
      <c r="A343" s="157" t="s">
        <v>559</v>
      </c>
      <c r="B343" s="158">
        <v>1.0</v>
      </c>
      <c r="C343" s="157" t="s">
        <v>642</v>
      </c>
      <c r="D343" s="157" t="s">
        <v>643</v>
      </c>
      <c r="E343" s="157" t="s">
        <v>644</v>
      </c>
      <c r="F343" s="157" t="s">
        <v>1320</v>
      </c>
      <c r="G343" s="157" t="s">
        <v>1321</v>
      </c>
      <c r="H343" s="157"/>
      <c r="I343" s="158">
        <v>12.236944</v>
      </c>
      <c r="J343" s="158">
        <v>44.448611</v>
      </c>
      <c r="K343" s="157" t="s">
        <v>1322</v>
      </c>
      <c r="L343" s="157" t="s">
        <v>648</v>
      </c>
      <c r="M343" s="158">
        <v>2022.0</v>
      </c>
      <c r="N343" s="157" t="s">
        <v>649</v>
      </c>
      <c r="O343" s="157" t="s">
        <v>650</v>
      </c>
      <c r="P343" s="161" t="b">
        <v>0</v>
      </c>
      <c r="Q343" s="158">
        <v>1.793923</v>
      </c>
      <c r="R343" s="158">
        <v>0.130106772</v>
      </c>
      <c r="S343" s="158">
        <v>1.663816228</v>
      </c>
      <c r="T343" s="157" t="s">
        <v>594</v>
      </c>
      <c r="U343" s="46" t="s">
        <v>651</v>
      </c>
      <c r="V343" s="46" t="b">
        <v>1</v>
      </c>
      <c r="W343" s="46">
        <v>0.95</v>
      </c>
      <c r="X343" s="46">
        <v>0.1236014334</v>
      </c>
      <c r="Y343" s="46">
        <v>6.93121429108697</v>
      </c>
      <c r="Z343" s="46" t="b">
        <v>1</v>
      </c>
      <c r="AA343" s="46" t="b">
        <v>1</v>
      </c>
    </row>
    <row r="344">
      <c r="A344" s="157" t="s">
        <v>574</v>
      </c>
      <c r="B344" s="158">
        <v>1.0</v>
      </c>
      <c r="C344" s="157" t="s">
        <v>642</v>
      </c>
      <c r="D344" s="157" t="s">
        <v>643</v>
      </c>
      <c r="E344" s="157" t="s">
        <v>644</v>
      </c>
      <c r="F344" s="162" t="s">
        <v>1323</v>
      </c>
      <c r="G344" s="157" t="s">
        <v>1324</v>
      </c>
      <c r="H344" s="157"/>
      <c r="I344" s="158">
        <v>18.532067</v>
      </c>
      <c r="J344" s="158">
        <v>48.693671</v>
      </c>
      <c r="K344" s="157" t="s">
        <v>1325</v>
      </c>
      <c r="L344" s="157" t="s">
        <v>648</v>
      </c>
      <c r="M344" s="158">
        <v>2017.0</v>
      </c>
      <c r="N344" s="157" t="s">
        <v>649</v>
      </c>
      <c r="O344" s="157" t="s">
        <v>650</v>
      </c>
      <c r="P344" s="161" t="b">
        <v>0</v>
      </c>
      <c r="Q344" s="158">
        <v>1.79</v>
      </c>
      <c r="R344" s="158">
        <v>0.129822251</v>
      </c>
      <c r="S344" s="158">
        <v>1.660177749</v>
      </c>
      <c r="T344" s="157" t="s">
        <v>594</v>
      </c>
      <c r="U344" s="46" t="s">
        <v>651</v>
      </c>
      <c r="V344" s="46" t="b">
        <v>1</v>
      </c>
      <c r="W344" s="46">
        <v>0.95</v>
      </c>
      <c r="X344" s="46">
        <v>0.123331138449999</v>
      </c>
      <c r="Y344" s="46" t="s">
        <v>640</v>
      </c>
      <c r="Z344" s="46" t="b">
        <v>0</v>
      </c>
      <c r="AA344" s="46" t="b">
        <v>0</v>
      </c>
    </row>
    <row r="345">
      <c r="A345" s="157" t="s">
        <v>556</v>
      </c>
      <c r="B345" s="158">
        <v>5.0</v>
      </c>
      <c r="C345" s="157" t="s">
        <v>652</v>
      </c>
      <c r="D345" s="157" t="s">
        <v>653</v>
      </c>
      <c r="E345" s="157" t="s">
        <v>654</v>
      </c>
      <c r="F345" s="157" t="s">
        <v>1326</v>
      </c>
      <c r="G345" s="157" t="s">
        <v>1327</v>
      </c>
      <c r="H345" s="157"/>
      <c r="I345" s="158">
        <v>1.39859</v>
      </c>
      <c r="J345" s="158">
        <v>43.5583</v>
      </c>
      <c r="K345" s="157" t="s">
        <v>1328</v>
      </c>
      <c r="L345" s="157" t="s">
        <v>648</v>
      </c>
      <c r="M345" s="158">
        <v>2022.0</v>
      </c>
      <c r="N345" s="157" t="s">
        <v>116</v>
      </c>
      <c r="O345" s="157" t="s">
        <v>658</v>
      </c>
      <c r="P345" s="161" t="b">
        <v>1</v>
      </c>
      <c r="Q345" s="158">
        <v>0.234</v>
      </c>
      <c r="R345" s="158">
        <v>0.1287</v>
      </c>
      <c r="S345" s="158">
        <v>0.1053</v>
      </c>
      <c r="T345" s="157" t="s">
        <v>116</v>
      </c>
      <c r="U345" s="46" t="s">
        <v>651</v>
      </c>
      <c r="V345" s="46" t="b">
        <v>1</v>
      </c>
      <c r="W345" s="46">
        <v>0.95</v>
      </c>
      <c r="X345" s="46">
        <v>0.122265</v>
      </c>
      <c r="Y345" s="46">
        <v>16.259870399983</v>
      </c>
      <c r="Z345" s="46" t="b">
        <v>1</v>
      </c>
      <c r="AA345" s="46" t="b">
        <v>1</v>
      </c>
    </row>
    <row r="346">
      <c r="A346" s="157" t="s">
        <v>556</v>
      </c>
      <c r="B346" s="158">
        <v>1.0</v>
      </c>
      <c r="C346" s="157" t="s">
        <v>642</v>
      </c>
      <c r="D346" s="157" t="s">
        <v>643</v>
      </c>
      <c r="E346" s="157" t="s">
        <v>644</v>
      </c>
      <c r="F346" s="157" t="s">
        <v>1329</v>
      </c>
      <c r="G346" s="157" t="s">
        <v>1330</v>
      </c>
      <c r="H346" s="157"/>
      <c r="I346" s="158">
        <v>6.69598</v>
      </c>
      <c r="J346" s="158">
        <v>49.14768</v>
      </c>
      <c r="K346" s="157" t="s">
        <v>1331</v>
      </c>
      <c r="L346" s="157" t="s">
        <v>648</v>
      </c>
      <c r="M346" s="158">
        <v>2022.0</v>
      </c>
      <c r="N346" s="157" t="s">
        <v>649</v>
      </c>
      <c r="O346" s="157" t="s">
        <v>650</v>
      </c>
      <c r="P346" s="161" t="b">
        <v>0</v>
      </c>
      <c r="Q346" s="158">
        <v>1.774</v>
      </c>
      <c r="R346" s="158">
        <v>0.128661828</v>
      </c>
      <c r="S346" s="158">
        <v>1.645338172</v>
      </c>
      <c r="T346" s="157" t="s">
        <v>594</v>
      </c>
      <c r="U346" s="46" t="s">
        <v>651</v>
      </c>
      <c r="V346" s="46" t="b">
        <v>1</v>
      </c>
      <c r="W346" s="46">
        <v>0.95</v>
      </c>
      <c r="X346" s="46">
        <v>0.1222287366</v>
      </c>
      <c r="Y346" s="46">
        <v>9.17744658595539</v>
      </c>
      <c r="Z346" s="46" t="b">
        <v>1</v>
      </c>
      <c r="AA346" s="46" t="b">
        <v>1</v>
      </c>
    </row>
    <row r="347">
      <c r="A347" s="157" t="s">
        <v>566</v>
      </c>
      <c r="B347" s="158">
        <v>6.0</v>
      </c>
      <c r="C347" s="157" t="s">
        <v>659</v>
      </c>
      <c r="D347" s="157" t="s">
        <v>717</v>
      </c>
      <c r="E347" s="157" t="s">
        <v>718</v>
      </c>
      <c r="F347" s="157" t="s">
        <v>1332</v>
      </c>
      <c r="G347" s="157" t="s">
        <v>1333</v>
      </c>
      <c r="H347" s="157"/>
      <c r="I347" s="158">
        <v>21.47087479</v>
      </c>
      <c r="J347" s="158">
        <v>50.30701447</v>
      </c>
      <c r="K347" s="157" t="s">
        <v>1334</v>
      </c>
      <c r="L347" s="157" t="s">
        <v>648</v>
      </c>
      <c r="M347" s="158">
        <v>2022.0</v>
      </c>
      <c r="N347" s="157" t="s">
        <v>123</v>
      </c>
      <c r="O347" s="157" t="s">
        <v>722</v>
      </c>
      <c r="P347" s="161" t="b">
        <v>1</v>
      </c>
      <c r="Q347" s="158">
        <v>0.297</v>
      </c>
      <c r="R347" s="158">
        <v>0.128510727</v>
      </c>
      <c r="S347" s="158">
        <v>0.168489273</v>
      </c>
      <c r="T347" s="157" t="s">
        <v>123</v>
      </c>
      <c r="U347" s="46" t="s">
        <v>651</v>
      </c>
      <c r="V347" s="46" t="b">
        <v>1</v>
      </c>
      <c r="W347" s="46">
        <v>0.95</v>
      </c>
      <c r="X347" s="46">
        <v>0.122085190649999</v>
      </c>
      <c r="Y347" s="46" t="s">
        <v>640</v>
      </c>
      <c r="Z347" s="46" t="b">
        <v>0</v>
      </c>
      <c r="AA347" s="46" t="b">
        <v>0</v>
      </c>
    </row>
    <row r="348">
      <c r="A348" s="157" t="s">
        <v>561</v>
      </c>
      <c r="B348" s="158">
        <v>1.0</v>
      </c>
      <c r="C348" s="157" t="s">
        <v>642</v>
      </c>
      <c r="D348" s="157" t="s">
        <v>643</v>
      </c>
      <c r="E348" s="157" t="s">
        <v>644</v>
      </c>
      <c r="F348" s="157" t="s">
        <v>1335</v>
      </c>
      <c r="G348" s="157" t="s">
        <v>1336</v>
      </c>
      <c r="H348" s="157"/>
      <c r="I348" s="158">
        <v>-5.418414</v>
      </c>
      <c r="J348" s="158">
        <v>36.183696</v>
      </c>
      <c r="K348" s="157" t="s">
        <v>1337</v>
      </c>
      <c r="L348" s="157" t="s">
        <v>648</v>
      </c>
      <c r="M348" s="158">
        <v>2022.0</v>
      </c>
      <c r="N348" s="157" t="s">
        <v>649</v>
      </c>
      <c r="O348" s="157" t="s">
        <v>650</v>
      </c>
      <c r="P348" s="161" t="b">
        <v>0</v>
      </c>
      <c r="Q348" s="158">
        <v>1.77</v>
      </c>
      <c r="R348" s="158">
        <v>0.128371723</v>
      </c>
      <c r="S348" s="158">
        <v>1.641628277</v>
      </c>
      <c r="T348" s="157" t="s">
        <v>594</v>
      </c>
      <c r="U348" s="46" t="s">
        <v>651</v>
      </c>
      <c r="V348" s="46" t="b">
        <v>1</v>
      </c>
      <c r="W348" s="46">
        <v>0.95</v>
      </c>
      <c r="X348" s="46">
        <v>0.121953136849999</v>
      </c>
      <c r="Y348" s="46" t="s">
        <v>640</v>
      </c>
      <c r="Z348" s="46" t="b">
        <v>0</v>
      </c>
      <c r="AA348" s="46" t="b">
        <v>0</v>
      </c>
    </row>
    <row r="349">
      <c r="A349" s="157" t="s">
        <v>558</v>
      </c>
      <c r="B349" s="158">
        <v>1.0</v>
      </c>
      <c r="C349" s="157" t="s">
        <v>642</v>
      </c>
      <c r="D349" s="157" t="s">
        <v>643</v>
      </c>
      <c r="E349" s="157" t="s">
        <v>644</v>
      </c>
      <c r="F349" s="157" t="s">
        <v>1338</v>
      </c>
      <c r="G349" s="157" t="s">
        <v>1339</v>
      </c>
      <c r="H349" s="157"/>
      <c r="I349" s="158">
        <v>-8.11105</v>
      </c>
      <c r="J349" s="158">
        <v>39.46891</v>
      </c>
      <c r="K349" s="157" t="s">
        <v>1340</v>
      </c>
      <c r="L349" s="157" t="s">
        <v>648</v>
      </c>
      <c r="M349" s="158">
        <v>2022.0</v>
      </c>
      <c r="N349" s="157" t="s">
        <v>649</v>
      </c>
      <c r="O349" s="157" t="s">
        <v>650</v>
      </c>
      <c r="P349" s="161" t="b">
        <v>0</v>
      </c>
      <c r="Q349" s="158">
        <v>1.72</v>
      </c>
      <c r="R349" s="158">
        <v>0.124745403</v>
      </c>
      <c r="S349" s="158">
        <v>1.595254597</v>
      </c>
      <c r="T349" s="157" t="s">
        <v>594</v>
      </c>
      <c r="U349" s="46" t="s">
        <v>651</v>
      </c>
      <c r="V349" s="46" t="b">
        <v>1</v>
      </c>
      <c r="W349" s="46">
        <v>0.95</v>
      </c>
      <c r="X349" s="46">
        <v>0.11850813285</v>
      </c>
      <c r="Y349" s="46" t="s">
        <v>640</v>
      </c>
      <c r="Z349" s="46" t="b">
        <v>0</v>
      </c>
      <c r="AA349" s="46" t="b">
        <v>0</v>
      </c>
    </row>
    <row r="350">
      <c r="A350" s="157" t="s">
        <v>559</v>
      </c>
      <c r="B350" s="158">
        <v>1.0</v>
      </c>
      <c r="C350" s="157" t="s">
        <v>642</v>
      </c>
      <c r="D350" s="157" t="s">
        <v>643</v>
      </c>
      <c r="E350" s="157" t="s">
        <v>644</v>
      </c>
      <c r="F350" s="157" t="s">
        <v>1341</v>
      </c>
      <c r="G350" s="157" t="s">
        <v>1342</v>
      </c>
      <c r="H350" s="157"/>
      <c r="I350" s="158">
        <v>10.8354</v>
      </c>
      <c r="J350" s="158">
        <v>45.149</v>
      </c>
      <c r="K350" s="157" t="s">
        <v>1343</v>
      </c>
      <c r="L350" s="157" t="s">
        <v>648</v>
      </c>
      <c r="M350" s="158">
        <v>2022.0</v>
      </c>
      <c r="N350" s="157" t="s">
        <v>649</v>
      </c>
      <c r="O350" s="157" t="s">
        <v>650</v>
      </c>
      <c r="P350" s="161" t="b">
        <v>0</v>
      </c>
      <c r="Q350" s="158">
        <v>1.719017866</v>
      </c>
      <c r="R350" s="158">
        <v>0.124674172</v>
      </c>
      <c r="S350" s="158">
        <v>1.594343694</v>
      </c>
      <c r="T350" s="157" t="s">
        <v>594</v>
      </c>
      <c r="U350" s="46" t="s">
        <v>651</v>
      </c>
      <c r="V350" s="46" t="b">
        <v>1</v>
      </c>
      <c r="W350" s="46">
        <v>0.95</v>
      </c>
      <c r="X350" s="46">
        <v>0.1184404634</v>
      </c>
      <c r="Y350" s="46">
        <v>0.627254658799726</v>
      </c>
      <c r="Z350" s="46" t="b">
        <v>1</v>
      </c>
      <c r="AA350" s="46" t="b">
        <v>1</v>
      </c>
    </row>
    <row r="351">
      <c r="A351" s="157" t="s">
        <v>557</v>
      </c>
      <c r="B351" s="158">
        <v>5.0</v>
      </c>
      <c r="C351" s="157" t="s">
        <v>652</v>
      </c>
      <c r="D351" s="157" t="s">
        <v>653</v>
      </c>
      <c r="E351" s="157" t="s">
        <v>654</v>
      </c>
      <c r="F351" s="162" t="s">
        <v>1344</v>
      </c>
      <c r="G351" s="157" t="s">
        <v>1345</v>
      </c>
      <c r="H351" s="157"/>
      <c r="I351" s="158">
        <v>6.83473480185642</v>
      </c>
      <c r="J351" s="158">
        <v>49.2142779753116</v>
      </c>
      <c r="K351" s="157" t="s">
        <v>1346</v>
      </c>
      <c r="L351" s="157" t="s">
        <v>648</v>
      </c>
      <c r="M351" s="158">
        <v>2022.0</v>
      </c>
      <c r="N351" s="157" t="s">
        <v>116</v>
      </c>
      <c r="O351" s="157" t="s">
        <v>658</v>
      </c>
      <c r="P351" s="161" t="b">
        <v>1</v>
      </c>
      <c r="Q351" s="158">
        <v>0.229</v>
      </c>
      <c r="R351" s="158">
        <v>0.124</v>
      </c>
      <c r="S351" s="158">
        <v>0.105</v>
      </c>
      <c r="T351" s="157" t="s">
        <v>116</v>
      </c>
      <c r="U351" s="46" t="s">
        <v>651</v>
      </c>
      <c r="V351" s="46" t="b">
        <v>1</v>
      </c>
      <c r="W351" s="46">
        <v>0.95</v>
      </c>
      <c r="X351" s="46">
        <v>0.117799999999999</v>
      </c>
      <c r="Y351" s="46">
        <v>5.41421966308274</v>
      </c>
      <c r="Z351" s="46" t="b">
        <v>1</v>
      </c>
      <c r="AA351" s="46" t="b">
        <v>1</v>
      </c>
    </row>
    <row r="352">
      <c r="A352" s="157" t="s">
        <v>562</v>
      </c>
      <c r="B352" s="158">
        <v>5.0</v>
      </c>
      <c r="C352" s="157" t="s">
        <v>652</v>
      </c>
      <c r="D352" s="157" t="s">
        <v>653</v>
      </c>
      <c r="E352" s="157" t="s">
        <v>654</v>
      </c>
      <c r="F352" s="162" t="s">
        <v>1347</v>
      </c>
      <c r="G352" s="157" t="s">
        <v>1348</v>
      </c>
      <c r="H352" s="157"/>
      <c r="I352" s="158">
        <v>3.36109</v>
      </c>
      <c r="J352" s="158">
        <v>50.9201</v>
      </c>
      <c r="K352" s="157" t="s">
        <v>1349</v>
      </c>
      <c r="L352" s="157" t="s">
        <v>648</v>
      </c>
      <c r="M352" s="158">
        <v>2022.0</v>
      </c>
      <c r="N352" s="157" t="s">
        <v>116</v>
      </c>
      <c r="O352" s="157" t="s">
        <v>658</v>
      </c>
      <c r="P352" s="161" t="b">
        <v>1</v>
      </c>
      <c r="Q352" s="158">
        <v>0.225</v>
      </c>
      <c r="R352" s="158">
        <v>0.12375</v>
      </c>
      <c r="S352" s="158">
        <v>0.10125</v>
      </c>
      <c r="T352" s="157" t="s">
        <v>116</v>
      </c>
      <c r="U352" s="46" t="s">
        <v>651</v>
      </c>
      <c r="V352" s="46" t="b">
        <v>1</v>
      </c>
      <c r="W352" s="46">
        <v>0.95</v>
      </c>
      <c r="X352" s="46">
        <v>0.1175625</v>
      </c>
      <c r="Y352" s="46">
        <v>5.53550598318165</v>
      </c>
      <c r="Z352" s="46" t="b">
        <v>1</v>
      </c>
      <c r="AA352" s="46" t="b">
        <v>1</v>
      </c>
    </row>
    <row r="353">
      <c r="A353" s="157" t="s">
        <v>564</v>
      </c>
      <c r="B353" s="158">
        <v>5.0</v>
      </c>
      <c r="C353" s="157" t="s">
        <v>652</v>
      </c>
      <c r="D353" s="157" t="s">
        <v>653</v>
      </c>
      <c r="E353" s="157" t="s">
        <v>654</v>
      </c>
      <c r="F353" s="157" t="s">
        <v>1350</v>
      </c>
      <c r="G353" s="157" t="s">
        <v>1351</v>
      </c>
      <c r="H353" s="157"/>
      <c r="I353" s="158">
        <v>6.6392</v>
      </c>
      <c r="J353" s="158">
        <v>46.5277</v>
      </c>
      <c r="K353" s="157" t="s">
        <v>1352</v>
      </c>
      <c r="L353" s="157" t="s">
        <v>648</v>
      </c>
      <c r="M353" s="158">
        <v>2021.0</v>
      </c>
      <c r="N353" s="157" t="s">
        <v>116</v>
      </c>
      <c r="O353" s="157" t="s">
        <v>658</v>
      </c>
      <c r="P353" s="161" t="b">
        <v>1</v>
      </c>
      <c r="Q353" s="158">
        <v>0.223</v>
      </c>
      <c r="R353" s="158">
        <v>0.12265</v>
      </c>
      <c r="S353" s="158">
        <v>0.10035</v>
      </c>
      <c r="T353" s="157" t="s">
        <v>116</v>
      </c>
      <c r="U353" s="46" t="s">
        <v>651</v>
      </c>
      <c r="V353" s="46" t="b">
        <v>1</v>
      </c>
      <c r="W353" s="46">
        <v>0.95</v>
      </c>
      <c r="X353" s="46">
        <v>0.1165175</v>
      </c>
      <c r="Y353" s="46">
        <v>134.598366906396</v>
      </c>
      <c r="Z353" s="46" t="b">
        <v>0</v>
      </c>
      <c r="AA353" s="46" t="b">
        <v>0</v>
      </c>
    </row>
    <row r="354">
      <c r="A354" s="157" t="s">
        <v>554</v>
      </c>
      <c r="B354" s="158">
        <v>5.0</v>
      </c>
      <c r="C354" s="157" t="s">
        <v>652</v>
      </c>
      <c r="D354" s="157" t="s">
        <v>653</v>
      </c>
      <c r="E354" s="157" t="s">
        <v>654</v>
      </c>
      <c r="F354" s="157" t="s">
        <v>1353</v>
      </c>
      <c r="G354" s="157" t="s">
        <v>1354</v>
      </c>
      <c r="H354" s="157"/>
      <c r="I354" s="158">
        <v>12.76602</v>
      </c>
      <c r="J354" s="158">
        <v>56.06926</v>
      </c>
      <c r="K354" s="157" t="s">
        <v>1062</v>
      </c>
      <c r="L354" s="157" t="s">
        <v>648</v>
      </c>
      <c r="M354" s="158">
        <v>2022.0</v>
      </c>
      <c r="N354" s="157" t="s">
        <v>116</v>
      </c>
      <c r="O354" s="157" t="s">
        <v>658</v>
      </c>
      <c r="P354" s="161" t="b">
        <v>1</v>
      </c>
      <c r="Q354" s="158">
        <v>0.214</v>
      </c>
      <c r="R354" s="158">
        <v>0.1219</v>
      </c>
      <c r="S354" s="158">
        <v>0.0921</v>
      </c>
      <c r="T354" s="157" t="s">
        <v>116</v>
      </c>
      <c r="U354" s="46" t="s">
        <v>651</v>
      </c>
      <c r="V354" s="46" t="b">
        <v>1</v>
      </c>
      <c r="W354" s="46">
        <v>0.95</v>
      </c>
      <c r="X354" s="46">
        <v>0.115804999999999</v>
      </c>
      <c r="Y354" s="46">
        <v>41.2628215581255</v>
      </c>
      <c r="Z354" s="46" t="b">
        <v>1</v>
      </c>
      <c r="AA354" s="46" t="b">
        <v>1</v>
      </c>
    </row>
    <row r="355">
      <c r="A355" s="157" t="s">
        <v>565</v>
      </c>
      <c r="B355" s="158">
        <v>6.0</v>
      </c>
      <c r="C355" s="157" t="s">
        <v>659</v>
      </c>
      <c r="D355" s="157" t="s">
        <v>717</v>
      </c>
      <c r="E355" s="157" t="s">
        <v>718</v>
      </c>
      <c r="F355" s="157" t="s">
        <v>1355</v>
      </c>
      <c r="G355" s="157" t="s">
        <v>1356</v>
      </c>
      <c r="H355" s="157"/>
      <c r="I355" s="158">
        <v>15.60364155</v>
      </c>
      <c r="J355" s="158">
        <v>49.42393788</v>
      </c>
      <c r="K355" s="157" t="s">
        <v>1101</v>
      </c>
      <c r="L355" s="157" t="s">
        <v>648</v>
      </c>
      <c r="M355" s="158">
        <v>2020.0</v>
      </c>
      <c r="N355" s="157" t="s">
        <v>123</v>
      </c>
      <c r="O355" s="157" t="s">
        <v>722</v>
      </c>
      <c r="P355" s="161" t="b">
        <v>1</v>
      </c>
      <c r="Q355" s="158">
        <v>0.12876154</v>
      </c>
      <c r="R355" s="158">
        <v>0.121464135</v>
      </c>
      <c r="S355" s="158">
        <v>0.007297405</v>
      </c>
      <c r="T355" s="157" t="s">
        <v>123</v>
      </c>
      <c r="U355" s="46" t="s">
        <v>651</v>
      </c>
      <c r="V355" s="46" t="b">
        <v>1</v>
      </c>
      <c r="W355" s="46">
        <v>0.95</v>
      </c>
      <c r="X355" s="46">
        <v>0.11539092825</v>
      </c>
      <c r="Y355" s="46" t="s">
        <v>640</v>
      </c>
      <c r="Z355" s="46" t="b">
        <v>0</v>
      </c>
      <c r="AA355" s="46" t="b">
        <v>0</v>
      </c>
    </row>
    <row r="356">
      <c r="A356" s="157" t="s">
        <v>560</v>
      </c>
      <c r="B356" s="158">
        <v>5.0</v>
      </c>
      <c r="C356" s="157" t="s">
        <v>652</v>
      </c>
      <c r="D356" s="157" t="s">
        <v>653</v>
      </c>
      <c r="E356" s="157" t="s">
        <v>654</v>
      </c>
      <c r="F356" s="157" t="s">
        <v>1357</v>
      </c>
      <c r="G356" s="157" t="s">
        <v>1358</v>
      </c>
      <c r="H356" s="157"/>
      <c r="I356" s="158">
        <v>13.799917</v>
      </c>
      <c r="J356" s="158">
        <v>47.992333</v>
      </c>
      <c r="K356" s="157" t="s">
        <v>1359</v>
      </c>
      <c r="L356" s="157" t="s">
        <v>648</v>
      </c>
      <c r="M356" s="158">
        <v>2022.0</v>
      </c>
      <c r="N356" s="157" t="s">
        <v>116</v>
      </c>
      <c r="O356" s="157" t="s">
        <v>658</v>
      </c>
      <c r="P356" s="161" t="b">
        <v>1</v>
      </c>
      <c r="Q356" s="158">
        <v>0.22</v>
      </c>
      <c r="R356" s="158">
        <v>0.121</v>
      </c>
      <c r="S356" s="158">
        <v>0.099</v>
      </c>
      <c r="T356" s="157" t="s">
        <v>116</v>
      </c>
      <c r="U356" s="46" t="s">
        <v>651</v>
      </c>
      <c r="V356" s="46" t="b">
        <v>1</v>
      </c>
      <c r="W356" s="46">
        <v>0.95</v>
      </c>
      <c r="X356" s="46">
        <v>0.11495</v>
      </c>
      <c r="Y356" s="46">
        <v>14.5607764451665</v>
      </c>
      <c r="Z356" s="46" t="b">
        <v>1</v>
      </c>
      <c r="AA356" s="46" t="b">
        <v>1</v>
      </c>
    </row>
    <row r="357">
      <c r="A357" s="157" t="s">
        <v>556</v>
      </c>
      <c r="B357" s="158">
        <v>5.0</v>
      </c>
      <c r="C357" s="157" t="s">
        <v>652</v>
      </c>
      <c r="D357" s="157" t="s">
        <v>653</v>
      </c>
      <c r="E357" s="157" t="s">
        <v>654</v>
      </c>
      <c r="F357" s="157" t="s">
        <v>1360</v>
      </c>
      <c r="G357" s="157" t="s">
        <v>1361</v>
      </c>
      <c r="H357" s="157"/>
      <c r="I357" s="158">
        <v>4.837</v>
      </c>
      <c r="J357" s="158">
        <v>45.724</v>
      </c>
      <c r="K357" s="157" t="s">
        <v>1362</v>
      </c>
      <c r="L357" s="157" t="s">
        <v>648</v>
      </c>
      <c r="M357" s="158">
        <v>2022.0</v>
      </c>
      <c r="N357" s="157" t="s">
        <v>116</v>
      </c>
      <c r="O357" s="157" t="s">
        <v>658</v>
      </c>
      <c r="P357" s="161" t="b">
        <v>1</v>
      </c>
      <c r="Q357" s="158">
        <v>0.22</v>
      </c>
      <c r="R357" s="158">
        <v>0.121</v>
      </c>
      <c r="S357" s="158">
        <v>0.099</v>
      </c>
      <c r="T357" s="157" t="s">
        <v>116</v>
      </c>
      <c r="U357" s="46" t="s">
        <v>651</v>
      </c>
      <c r="V357" s="46" t="b">
        <v>1</v>
      </c>
      <c r="W357" s="46">
        <v>0.95</v>
      </c>
      <c r="X357" s="46">
        <v>0.11495</v>
      </c>
      <c r="Y357" s="46">
        <v>1.44879743751806</v>
      </c>
      <c r="Z357" s="46" t="b">
        <v>1</v>
      </c>
      <c r="AA357" s="46" t="b">
        <v>1</v>
      </c>
    </row>
    <row r="358">
      <c r="A358" s="157" t="s">
        <v>559</v>
      </c>
      <c r="B358" s="158">
        <v>1.0</v>
      </c>
      <c r="C358" s="157" t="s">
        <v>642</v>
      </c>
      <c r="D358" s="157" t="s">
        <v>643</v>
      </c>
      <c r="E358" s="157" t="s">
        <v>644</v>
      </c>
      <c r="F358" s="157" t="s">
        <v>1363</v>
      </c>
      <c r="G358" s="157" t="s">
        <v>1364</v>
      </c>
      <c r="H358" s="157"/>
      <c r="I358" s="158">
        <v>13.2897</v>
      </c>
      <c r="J358" s="158">
        <v>45.8169</v>
      </c>
      <c r="K358" s="157" t="s">
        <v>1365</v>
      </c>
      <c r="L358" s="157" t="s">
        <v>648</v>
      </c>
      <c r="M358" s="158">
        <v>2022.0</v>
      </c>
      <c r="N358" s="157" t="s">
        <v>649</v>
      </c>
      <c r="O358" s="157" t="s">
        <v>650</v>
      </c>
      <c r="P358" s="161" t="b">
        <v>0</v>
      </c>
      <c r="Q358" s="158">
        <v>1.663817</v>
      </c>
      <c r="R358" s="158">
        <v>0.120670652</v>
      </c>
      <c r="S358" s="158">
        <v>1.543146348</v>
      </c>
      <c r="T358" s="157" t="s">
        <v>594</v>
      </c>
      <c r="U358" s="46" t="s">
        <v>651</v>
      </c>
      <c r="V358" s="46" t="b">
        <v>1</v>
      </c>
      <c r="W358" s="46">
        <v>0.95</v>
      </c>
      <c r="X358" s="46">
        <v>0.1146371194</v>
      </c>
      <c r="Y358" s="46">
        <v>86.68103393711</v>
      </c>
      <c r="Z358" s="46" t="b">
        <v>0</v>
      </c>
      <c r="AA358" s="46" t="b">
        <v>1</v>
      </c>
    </row>
    <row r="359">
      <c r="A359" s="157" t="s">
        <v>554</v>
      </c>
      <c r="B359" s="158">
        <v>1.0</v>
      </c>
      <c r="C359" s="157" t="s">
        <v>642</v>
      </c>
      <c r="D359" s="157" t="s">
        <v>643</v>
      </c>
      <c r="E359" s="157" t="s">
        <v>644</v>
      </c>
      <c r="F359" s="157" t="s">
        <v>1366</v>
      </c>
      <c r="G359" s="157" t="s">
        <v>1367</v>
      </c>
      <c r="H359" s="157"/>
      <c r="I359" s="158">
        <v>14.5435</v>
      </c>
      <c r="J359" s="158">
        <v>59.34484</v>
      </c>
      <c r="K359" s="157" t="s">
        <v>1368</v>
      </c>
      <c r="L359" s="157" t="s">
        <v>648</v>
      </c>
      <c r="M359" s="158">
        <v>2022.0</v>
      </c>
      <c r="N359" s="157" t="s">
        <v>649</v>
      </c>
      <c r="O359" s="157" t="s">
        <v>650</v>
      </c>
      <c r="P359" s="161" t="b">
        <v>0</v>
      </c>
      <c r="Q359" s="158">
        <v>0.146</v>
      </c>
      <c r="R359" s="158">
        <v>0.1204</v>
      </c>
      <c r="S359" s="158">
        <v>0.0256</v>
      </c>
      <c r="T359" s="157" t="s">
        <v>117</v>
      </c>
      <c r="U359" s="46" t="s">
        <v>651</v>
      </c>
      <c r="V359" s="46" t="b">
        <v>1</v>
      </c>
      <c r="W359" s="46">
        <v>0.95</v>
      </c>
      <c r="X359" s="46">
        <v>0.114379999999999</v>
      </c>
      <c r="Y359" s="46" t="s">
        <v>640</v>
      </c>
      <c r="Z359" s="46" t="b">
        <v>0</v>
      </c>
      <c r="AA359" s="46" t="b">
        <v>0</v>
      </c>
    </row>
    <row r="360">
      <c r="A360" s="157" t="s">
        <v>566</v>
      </c>
      <c r="B360" s="158">
        <v>1.0</v>
      </c>
      <c r="C360" s="157" t="s">
        <v>642</v>
      </c>
      <c r="D360" s="157" t="s">
        <v>643</v>
      </c>
      <c r="E360" s="157" t="s">
        <v>644</v>
      </c>
      <c r="F360" s="157" t="s">
        <v>1369</v>
      </c>
      <c r="G360" s="157" t="s">
        <v>1370</v>
      </c>
      <c r="H360" s="157"/>
      <c r="I360" s="158">
        <v>20.01033401</v>
      </c>
      <c r="J360" s="158">
        <v>50.05347061</v>
      </c>
      <c r="K360" s="157" t="s">
        <v>1303</v>
      </c>
      <c r="L360" s="157" t="s">
        <v>648</v>
      </c>
      <c r="M360" s="158">
        <v>2022.0</v>
      </c>
      <c r="N360" s="157" t="s">
        <v>649</v>
      </c>
      <c r="O360" s="157" t="s">
        <v>650</v>
      </c>
      <c r="P360" s="161" t="b">
        <v>0</v>
      </c>
      <c r="Q360" s="158">
        <v>1.66</v>
      </c>
      <c r="R360" s="158">
        <v>0.120393819</v>
      </c>
      <c r="S360" s="158">
        <v>1.539606181</v>
      </c>
      <c r="T360" s="157" t="s">
        <v>594</v>
      </c>
      <c r="U360" s="46" t="s">
        <v>651</v>
      </c>
      <c r="V360" s="46" t="b">
        <v>1</v>
      </c>
      <c r="W360" s="46">
        <v>0.95</v>
      </c>
      <c r="X360" s="46">
        <v>0.11437412805</v>
      </c>
      <c r="Y360" s="46" t="s">
        <v>640</v>
      </c>
      <c r="Z360" s="46" t="b">
        <v>0</v>
      </c>
      <c r="AA360" s="46" t="b">
        <v>0</v>
      </c>
    </row>
    <row r="361">
      <c r="A361" s="157" t="s">
        <v>578</v>
      </c>
      <c r="B361" s="158">
        <v>3.0</v>
      </c>
      <c r="C361" s="157" t="s">
        <v>1215</v>
      </c>
      <c r="D361" s="157" t="s">
        <v>1371</v>
      </c>
      <c r="E361" s="157" t="s">
        <v>1372</v>
      </c>
      <c r="F361" s="157" t="s">
        <v>1373</v>
      </c>
      <c r="G361" s="157" t="s">
        <v>1374</v>
      </c>
      <c r="H361" s="157"/>
      <c r="I361" s="158">
        <v>33.3164</v>
      </c>
      <c r="J361" s="158">
        <v>34.7217</v>
      </c>
      <c r="K361" s="157" t="s">
        <v>1375</v>
      </c>
      <c r="L361" s="157" t="s">
        <v>648</v>
      </c>
      <c r="M361" s="158">
        <v>2022.0</v>
      </c>
      <c r="N361" s="157" t="s">
        <v>114</v>
      </c>
      <c r="O361" s="157" t="s">
        <v>1376</v>
      </c>
      <c r="P361" s="161" t="b">
        <v>1</v>
      </c>
      <c r="Q361" s="158">
        <v>1.31</v>
      </c>
      <c r="R361" s="158">
        <v>0.12</v>
      </c>
      <c r="S361" s="158">
        <v>1.19</v>
      </c>
      <c r="T361" s="157" t="s">
        <v>114</v>
      </c>
      <c r="U361" s="46" t="s">
        <v>651</v>
      </c>
      <c r="V361" s="46" t="b">
        <v>1</v>
      </c>
      <c r="W361" s="46">
        <v>0.95</v>
      </c>
      <c r="X361" s="46">
        <v>0.113999999999999</v>
      </c>
      <c r="Y361" s="46" t="s">
        <v>640</v>
      </c>
      <c r="Z361" s="46" t="b">
        <v>0</v>
      </c>
      <c r="AA361" s="46" t="b">
        <v>0</v>
      </c>
    </row>
    <row r="362">
      <c r="A362" s="157" t="s">
        <v>556</v>
      </c>
      <c r="B362" s="158">
        <v>5.0</v>
      </c>
      <c r="C362" s="157" t="s">
        <v>652</v>
      </c>
      <c r="D362" s="157" t="s">
        <v>653</v>
      </c>
      <c r="E362" s="157" t="s">
        <v>654</v>
      </c>
      <c r="F362" s="157" t="s">
        <v>1377</v>
      </c>
      <c r="G362" s="157" t="s">
        <v>1378</v>
      </c>
      <c r="H362" s="157"/>
      <c r="I362" s="158">
        <v>7.78884</v>
      </c>
      <c r="J362" s="158">
        <v>48.5184</v>
      </c>
      <c r="K362" s="157" t="s">
        <v>1193</v>
      </c>
      <c r="L362" s="157" t="s">
        <v>648</v>
      </c>
      <c r="M362" s="158">
        <v>2022.0</v>
      </c>
      <c r="N362" s="157" t="s">
        <v>116</v>
      </c>
      <c r="O362" s="157" t="s">
        <v>658</v>
      </c>
      <c r="P362" s="161" t="b">
        <v>1</v>
      </c>
      <c r="Q362" s="158">
        <v>0.218</v>
      </c>
      <c r="R362" s="158">
        <v>0.1199</v>
      </c>
      <c r="S362" s="158">
        <v>0.0981</v>
      </c>
      <c r="T362" s="157" t="s">
        <v>116</v>
      </c>
      <c r="U362" s="46" t="s">
        <v>651</v>
      </c>
      <c r="V362" s="46" t="b">
        <v>1</v>
      </c>
      <c r="W362" s="46">
        <v>0.95</v>
      </c>
      <c r="X362" s="46">
        <v>0.113905</v>
      </c>
      <c r="Y362" s="46">
        <v>32.3036077074874</v>
      </c>
      <c r="Z362" s="46" t="b">
        <v>1</v>
      </c>
      <c r="AA362" s="46" t="b">
        <v>1</v>
      </c>
    </row>
    <row r="363">
      <c r="A363" s="157" t="s">
        <v>564</v>
      </c>
      <c r="B363" s="158">
        <v>5.0</v>
      </c>
      <c r="C363" s="157" t="s">
        <v>652</v>
      </c>
      <c r="D363" s="157" t="s">
        <v>653</v>
      </c>
      <c r="E363" s="157" t="s">
        <v>654</v>
      </c>
      <c r="F363" s="157" t="s">
        <v>1379</v>
      </c>
      <c r="G363" s="157" t="s">
        <v>1380</v>
      </c>
      <c r="H363" s="157"/>
      <c r="I363" s="158">
        <v>8.7525</v>
      </c>
      <c r="J363" s="158">
        <v>47.4981</v>
      </c>
      <c r="K363" s="157" t="s">
        <v>1381</v>
      </c>
      <c r="L363" s="157" t="s">
        <v>648</v>
      </c>
      <c r="M363" s="158">
        <v>2021.0</v>
      </c>
      <c r="N363" s="157" t="s">
        <v>116</v>
      </c>
      <c r="O363" s="157" t="s">
        <v>658</v>
      </c>
      <c r="P363" s="161" t="b">
        <v>1</v>
      </c>
      <c r="Q363" s="158">
        <v>0.218</v>
      </c>
      <c r="R363" s="158">
        <v>0.1199</v>
      </c>
      <c r="S363" s="158">
        <v>0.0981</v>
      </c>
      <c r="T363" s="157" t="s">
        <v>116</v>
      </c>
      <c r="U363" s="46" t="s">
        <v>651</v>
      </c>
      <c r="V363" s="46" t="b">
        <v>1</v>
      </c>
      <c r="W363" s="46">
        <v>0.95</v>
      </c>
      <c r="X363" s="46">
        <v>0.113905</v>
      </c>
      <c r="Y363" s="46">
        <v>52.7729554237032</v>
      </c>
      <c r="Z363" s="46" t="b">
        <v>0</v>
      </c>
      <c r="AA363" s="46" t="b">
        <v>1</v>
      </c>
    </row>
    <row r="364">
      <c r="A364" s="157" t="s">
        <v>555</v>
      </c>
      <c r="B364" s="158">
        <v>1.0</v>
      </c>
      <c r="C364" s="157" t="s">
        <v>642</v>
      </c>
      <c r="D364" s="157" t="s">
        <v>643</v>
      </c>
      <c r="E364" s="157" t="s">
        <v>644</v>
      </c>
      <c r="F364" s="162" t="s">
        <v>1382</v>
      </c>
      <c r="G364" s="157" t="s">
        <v>1383</v>
      </c>
      <c r="H364" s="157"/>
      <c r="I364" s="158">
        <v>26.91692</v>
      </c>
      <c r="J364" s="158">
        <v>60.47105</v>
      </c>
      <c r="K364" s="157" t="s">
        <v>772</v>
      </c>
      <c r="L364" s="157" t="s">
        <v>648</v>
      </c>
      <c r="M364" s="158">
        <v>2022.0</v>
      </c>
      <c r="N364" s="157" t="s">
        <v>649</v>
      </c>
      <c r="O364" s="157" t="s">
        <v>650</v>
      </c>
      <c r="P364" s="161" t="b">
        <v>0</v>
      </c>
      <c r="Q364" s="158">
        <v>0.175</v>
      </c>
      <c r="R364" s="158">
        <v>0.1197</v>
      </c>
      <c r="S364" s="158">
        <v>0.0553</v>
      </c>
      <c r="T364" s="157" t="s">
        <v>117</v>
      </c>
      <c r="U364" s="46" t="s">
        <v>651</v>
      </c>
      <c r="V364" s="46" t="b">
        <v>1</v>
      </c>
      <c r="W364" s="46">
        <v>0.95</v>
      </c>
      <c r="X364" s="46">
        <v>0.113715</v>
      </c>
      <c r="Y364" s="46" t="s">
        <v>640</v>
      </c>
      <c r="Z364" s="46" t="b">
        <v>0</v>
      </c>
      <c r="AA364" s="46" t="b">
        <v>0</v>
      </c>
    </row>
    <row r="365">
      <c r="A365" s="157" t="s">
        <v>555</v>
      </c>
      <c r="B365" s="158">
        <v>1.0</v>
      </c>
      <c r="C365" s="157" t="s">
        <v>642</v>
      </c>
      <c r="D365" s="157" t="s">
        <v>643</v>
      </c>
      <c r="E365" s="157" t="s">
        <v>644</v>
      </c>
      <c r="F365" s="162" t="s">
        <v>1384</v>
      </c>
      <c r="G365" s="157" t="s">
        <v>1385</v>
      </c>
      <c r="H365" s="157"/>
      <c r="I365" s="158">
        <v>28.92253</v>
      </c>
      <c r="J365" s="158">
        <v>61.85967</v>
      </c>
      <c r="K365" s="157" t="s">
        <v>1386</v>
      </c>
      <c r="L365" s="157" t="s">
        <v>648</v>
      </c>
      <c r="M365" s="158">
        <v>2022.0</v>
      </c>
      <c r="N365" s="157" t="s">
        <v>649</v>
      </c>
      <c r="O365" s="157" t="s">
        <v>650</v>
      </c>
      <c r="P365" s="161" t="b">
        <v>0</v>
      </c>
      <c r="Q365" s="158">
        <v>0.119</v>
      </c>
      <c r="R365" s="158">
        <v>0.118888</v>
      </c>
      <c r="S365" s="158">
        <v>1.12E-4</v>
      </c>
      <c r="T365" s="157" t="s">
        <v>117</v>
      </c>
      <c r="U365" s="46" t="s">
        <v>651</v>
      </c>
      <c r="V365" s="46" t="b">
        <v>1</v>
      </c>
      <c r="W365" s="46">
        <v>0.95</v>
      </c>
      <c r="X365" s="46">
        <v>0.112943599999999</v>
      </c>
      <c r="Y365" s="46" t="s">
        <v>640</v>
      </c>
      <c r="Z365" s="46" t="b">
        <v>0</v>
      </c>
      <c r="AA365" s="46" t="b">
        <v>0</v>
      </c>
    </row>
    <row r="366">
      <c r="A366" s="157" t="s">
        <v>564</v>
      </c>
      <c r="B366" s="158">
        <v>5.0</v>
      </c>
      <c r="C366" s="157" t="s">
        <v>652</v>
      </c>
      <c r="D366" s="157" t="s">
        <v>653</v>
      </c>
      <c r="E366" s="157" t="s">
        <v>654</v>
      </c>
      <c r="F366" s="157" t="s">
        <v>1387</v>
      </c>
      <c r="G366" s="157" t="s">
        <v>1388</v>
      </c>
      <c r="H366" s="157"/>
      <c r="I366" s="158">
        <v>8.8206</v>
      </c>
      <c r="J366" s="158">
        <v>47.3083</v>
      </c>
      <c r="K366" s="157" t="s">
        <v>1389</v>
      </c>
      <c r="L366" s="157" t="s">
        <v>648</v>
      </c>
      <c r="M366" s="158">
        <v>2021.0</v>
      </c>
      <c r="N366" s="157" t="s">
        <v>116</v>
      </c>
      <c r="O366" s="157" t="s">
        <v>658</v>
      </c>
      <c r="P366" s="161" t="b">
        <v>1</v>
      </c>
      <c r="Q366" s="158">
        <v>0.216</v>
      </c>
      <c r="R366" s="158">
        <v>0.1188</v>
      </c>
      <c r="S366" s="158">
        <v>0.0972</v>
      </c>
      <c r="T366" s="157" t="s">
        <v>116</v>
      </c>
      <c r="U366" s="46" t="s">
        <v>651</v>
      </c>
      <c r="V366" s="46" t="b">
        <v>1</v>
      </c>
      <c r="W366" s="46">
        <v>0.95</v>
      </c>
      <c r="X366" s="46">
        <v>0.11286</v>
      </c>
      <c r="Y366" s="46">
        <v>57.512986376</v>
      </c>
      <c r="Z366" s="46" t="b">
        <v>0</v>
      </c>
      <c r="AA366" s="46" t="b">
        <v>1</v>
      </c>
    </row>
    <row r="367">
      <c r="A367" s="157" t="s">
        <v>561</v>
      </c>
      <c r="B367" s="158">
        <v>1.0</v>
      </c>
      <c r="C367" s="157" t="s">
        <v>642</v>
      </c>
      <c r="D367" s="157" t="s">
        <v>643</v>
      </c>
      <c r="E367" s="157" t="s">
        <v>644</v>
      </c>
      <c r="F367" s="157" t="s">
        <v>1390</v>
      </c>
      <c r="G367" s="157" t="s">
        <v>1391</v>
      </c>
      <c r="H367" s="157"/>
      <c r="I367" s="158">
        <v>-5.87316</v>
      </c>
      <c r="J367" s="158">
        <v>43.31161</v>
      </c>
      <c r="K367" s="157" t="s">
        <v>1392</v>
      </c>
      <c r="L367" s="157" t="s">
        <v>648</v>
      </c>
      <c r="M367" s="158">
        <v>2022.0</v>
      </c>
      <c r="N367" s="157" t="s">
        <v>649</v>
      </c>
      <c r="O367" s="157" t="s">
        <v>650</v>
      </c>
      <c r="P367" s="161" t="b">
        <v>0</v>
      </c>
      <c r="Q367" s="158">
        <v>1.61</v>
      </c>
      <c r="R367" s="158">
        <v>0.116767499</v>
      </c>
      <c r="S367" s="158">
        <v>1.493232501</v>
      </c>
      <c r="T367" s="157" t="s">
        <v>594</v>
      </c>
      <c r="U367" s="46" t="s">
        <v>651</v>
      </c>
      <c r="V367" s="46" t="b">
        <v>1</v>
      </c>
      <c r="W367" s="46">
        <v>0.95</v>
      </c>
      <c r="X367" s="46">
        <v>0.11092912405</v>
      </c>
      <c r="Y367" s="46" t="s">
        <v>640</v>
      </c>
      <c r="Z367" s="46" t="b">
        <v>0</v>
      </c>
      <c r="AA367" s="46" t="b">
        <v>0</v>
      </c>
    </row>
    <row r="368">
      <c r="A368" s="157" t="s">
        <v>561</v>
      </c>
      <c r="B368" s="158">
        <v>1.0</v>
      </c>
      <c r="C368" s="157" t="s">
        <v>642</v>
      </c>
      <c r="D368" s="157" t="s">
        <v>643</v>
      </c>
      <c r="E368" s="157" t="s">
        <v>644</v>
      </c>
      <c r="F368" s="157" t="s">
        <v>1393</v>
      </c>
      <c r="G368" s="157" t="s">
        <v>1394</v>
      </c>
      <c r="H368" s="157"/>
      <c r="I368" s="158">
        <v>-0.939224</v>
      </c>
      <c r="J368" s="158">
        <v>37.573222</v>
      </c>
      <c r="K368" s="157" t="s">
        <v>1395</v>
      </c>
      <c r="L368" s="157" t="s">
        <v>648</v>
      </c>
      <c r="M368" s="158">
        <v>2022.0</v>
      </c>
      <c r="N368" s="157" t="s">
        <v>649</v>
      </c>
      <c r="O368" s="157" t="s">
        <v>650</v>
      </c>
      <c r="P368" s="161" t="b">
        <v>0</v>
      </c>
      <c r="Q368" s="158">
        <v>1.6</v>
      </c>
      <c r="R368" s="158">
        <v>0.116042235</v>
      </c>
      <c r="S368" s="158">
        <v>1.483957765</v>
      </c>
      <c r="T368" s="157" t="s">
        <v>594</v>
      </c>
      <c r="U368" s="46" t="s">
        <v>651</v>
      </c>
      <c r="V368" s="46" t="b">
        <v>1</v>
      </c>
      <c r="W368" s="46">
        <v>0.95</v>
      </c>
      <c r="X368" s="46">
        <v>0.110240123249999</v>
      </c>
      <c r="Y368" s="46" t="s">
        <v>640</v>
      </c>
      <c r="Z368" s="46" t="b">
        <v>0</v>
      </c>
      <c r="AA368" s="46" t="b">
        <v>0</v>
      </c>
    </row>
    <row r="369">
      <c r="A369" s="157" t="s">
        <v>556</v>
      </c>
      <c r="B369" s="158">
        <v>1.0</v>
      </c>
      <c r="C369" s="157" t="s">
        <v>642</v>
      </c>
      <c r="D369" s="157" t="s">
        <v>643</v>
      </c>
      <c r="E369" s="157" t="s">
        <v>644</v>
      </c>
      <c r="F369" s="157" t="s">
        <v>1396</v>
      </c>
      <c r="G369" s="157" t="s">
        <v>1397</v>
      </c>
      <c r="H369" s="157"/>
      <c r="I369" s="158">
        <v>-1.79271</v>
      </c>
      <c r="J369" s="158">
        <v>47.27406</v>
      </c>
      <c r="K369" s="157" t="s">
        <v>1398</v>
      </c>
      <c r="L369" s="157" t="s">
        <v>648</v>
      </c>
      <c r="M369" s="158">
        <v>2022.0</v>
      </c>
      <c r="N369" s="157" t="s">
        <v>649</v>
      </c>
      <c r="O369" s="157" t="s">
        <v>650</v>
      </c>
      <c r="P369" s="161" t="b">
        <v>0</v>
      </c>
      <c r="Q369" s="158">
        <v>1.592999936</v>
      </c>
      <c r="R369" s="158">
        <v>0.115534546</v>
      </c>
      <c r="S369" s="158">
        <v>1.47746539</v>
      </c>
      <c r="T369" s="157" t="s">
        <v>594</v>
      </c>
      <c r="U369" s="46" t="s">
        <v>651</v>
      </c>
      <c r="V369" s="46" t="b">
        <v>1</v>
      </c>
      <c r="W369" s="46">
        <v>0.95</v>
      </c>
      <c r="X369" s="46">
        <v>0.1097578187</v>
      </c>
      <c r="Y369" s="46">
        <v>21.3383790000368</v>
      </c>
      <c r="Z369" s="46" t="b">
        <v>1</v>
      </c>
      <c r="AA369" s="46" t="b">
        <v>1</v>
      </c>
    </row>
    <row r="370">
      <c r="A370" s="157" t="s">
        <v>561</v>
      </c>
      <c r="B370" s="158">
        <v>1.0</v>
      </c>
      <c r="C370" s="157" t="s">
        <v>642</v>
      </c>
      <c r="D370" s="157" t="s">
        <v>643</v>
      </c>
      <c r="E370" s="157" t="s">
        <v>644</v>
      </c>
      <c r="F370" s="157" t="s">
        <v>1399</v>
      </c>
      <c r="G370" s="157" t="s">
        <v>1400</v>
      </c>
      <c r="H370" s="157"/>
      <c r="I370" s="158">
        <v>-15.435877</v>
      </c>
      <c r="J370" s="158">
        <v>27.804006</v>
      </c>
      <c r="K370" s="157" t="s">
        <v>1401</v>
      </c>
      <c r="L370" s="157" t="s">
        <v>648</v>
      </c>
      <c r="M370" s="158">
        <v>2022.0</v>
      </c>
      <c r="N370" s="157" t="s">
        <v>649</v>
      </c>
      <c r="O370" s="157" t="s">
        <v>650</v>
      </c>
      <c r="P370" s="161" t="b">
        <v>0</v>
      </c>
      <c r="Q370" s="158">
        <v>1.59</v>
      </c>
      <c r="R370" s="158">
        <v>0.115316971</v>
      </c>
      <c r="S370" s="158">
        <v>1.474683029</v>
      </c>
      <c r="T370" s="157" t="s">
        <v>594</v>
      </c>
      <c r="U370" s="46" t="s">
        <v>651</v>
      </c>
      <c r="V370" s="46" t="b">
        <v>1</v>
      </c>
      <c r="W370" s="46">
        <v>0.95</v>
      </c>
      <c r="X370" s="46">
        <v>0.10955112245</v>
      </c>
      <c r="Y370" s="46" t="s">
        <v>640</v>
      </c>
      <c r="Z370" s="46" t="b">
        <v>0</v>
      </c>
      <c r="AA370" s="46" t="b">
        <v>0</v>
      </c>
    </row>
    <row r="371">
      <c r="A371" s="157" t="s">
        <v>564</v>
      </c>
      <c r="B371" s="158">
        <v>5.0</v>
      </c>
      <c r="C371" s="157" t="s">
        <v>652</v>
      </c>
      <c r="D371" s="157" t="s">
        <v>653</v>
      </c>
      <c r="E371" s="157" t="s">
        <v>654</v>
      </c>
      <c r="F371" s="157" t="s">
        <v>1402</v>
      </c>
      <c r="G371" s="157" t="s">
        <v>1403</v>
      </c>
      <c r="H371" s="157"/>
      <c r="I371" s="158">
        <v>9.4836</v>
      </c>
      <c r="J371" s="158">
        <v>47.1756</v>
      </c>
      <c r="K371" s="157" t="s">
        <v>1404</v>
      </c>
      <c r="L371" s="157" t="s">
        <v>648</v>
      </c>
      <c r="M371" s="158">
        <v>2021.0</v>
      </c>
      <c r="N371" s="157" t="s">
        <v>116</v>
      </c>
      <c r="O371" s="157" t="s">
        <v>658</v>
      </c>
      <c r="P371" s="161" t="b">
        <v>1</v>
      </c>
      <c r="Q371" s="158">
        <v>0.209</v>
      </c>
      <c r="R371" s="158">
        <v>0.11495</v>
      </c>
      <c r="S371" s="158">
        <v>0.09405</v>
      </c>
      <c r="T371" s="157" t="s">
        <v>116</v>
      </c>
      <c r="U371" s="46" t="s">
        <v>651</v>
      </c>
      <c r="V371" s="46" t="b">
        <v>1</v>
      </c>
      <c r="W371" s="46">
        <v>0.95</v>
      </c>
      <c r="X371" s="46">
        <v>0.1092025</v>
      </c>
      <c r="Y371" s="46">
        <v>107.920695681772</v>
      </c>
      <c r="Z371" s="46" t="b">
        <v>0</v>
      </c>
      <c r="AA371" s="46" t="b">
        <v>0</v>
      </c>
    </row>
    <row r="372">
      <c r="A372" s="157" t="s">
        <v>559</v>
      </c>
      <c r="B372" s="158">
        <v>5.0</v>
      </c>
      <c r="C372" s="157" t="s">
        <v>652</v>
      </c>
      <c r="D372" s="157" t="s">
        <v>653</v>
      </c>
      <c r="E372" s="157" t="s">
        <v>654</v>
      </c>
      <c r="F372" s="157" t="s">
        <v>1405</v>
      </c>
      <c r="G372" s="157" t="s">
        <v>1406</v>
      </c>
      <c r="H372" s="157"/>
      <c r="I372" s="158">
        <v>10.9439</v>
      </c>
      <c r="J372" s="158">
        <v>44.6714</v>
      </c>
      <c r="K372" s="157" t="s">
        <v>1407</v>
      </c>
      <c r="L372" s="157" t="s">
        <v>648</v>
      </c>
      <c r="M372" s="158">
        <v>2022.0</v>
      </c>
      <c r="N372" s="157" t="s">
        <v>116</v>
      </c>
      <c r="O372" s="157" t="s">
        <v>658</v>
      </c>
      <c r="P372" s="161" t="b">
        <v>1</v>
      </c>
      <c r="Q372" s="158">
        <v>0.208570579</v>
      </c>
      <c r="R372" s="158">
        <v>0.114713819</v>
      </c>
      <c r="S372" s="158">
        <v>0.093856761</v>
      </c>
      <c r="T372" s="157" t="s">
        <v>116</v>
      </c>
      <c r="U372" s="46" t="s">
        <v>651</v>
      </c>
      <c r="V372" s="46" t="b">
        <v>1</v>
      </c>
      <c r="W372" s="46">
        <v>0.95</v>
      </c>
      <c r="X372" s="46">
        <v>0.108978128049999</v>
      </c>
      <c r="Y372" s="46">
        <v>44.4602584357158</v>
      </c>
      <c r="Z372" s="46" t="b">
        <v>1</v>
      </c>
      <c r="AA372" s="46" t="b">
        <v>1</v>
      </c>
    </row>
    <row r="373">
      <c r="A373" s="157" t="s">
        <v>559</v>
      </c>
      <c r="B373" s="158">
        <v>1.0</v>
      </c>
      <c r="C373" s="157" t="s">
        <v>642</v>
      </c>
      <c r="D373" s="157" t="s">
        <v>643</v>
      </c>
      <c r="E373" s="157" t="s">
        <v>644</v>
      </c>
      <c r="F373" s="157" t="s">
        <v>1408</v>
      </c>
      <c r="G373" s="157" t="s">
        <v>1409</v>
      </c>
      <c r="H373" s="157"/>
      <c r="I373" s="158">
        <v>11.1387</v>
      </c>
      <c r="J373" s="158">
        <v>45.0593</v>
      </c>
      <c r="K373" s="157" t="s">
        <v>1410</v>
      </c>
      <c r="L373" s="157" t="s">
        <v>648</v>
      </c>
      <c r="M373" s="158">
        <v>2022.0</v>
      </c>
      <c r="N373" s="157" t="s">
        <v>649</v>
      </c>
      <c r="O373" s="157" t="s">
        <v>650</v>
      </c>
      <c r="P373" s="161" t="b">
        <v>0</v>
      </c>
      <c r="Q373" s="158">
        <v>1.57671573</v>
      </c>
      <c r="R373" s="158">
        <v>0.114353511</v>
      </c>
      <c r="S373" s="158">
        <v>1.462362219</v>
      </c>
      <c r="T373" s="157" t="s">
        <v>594</v>
      </c>
      <c r="U373" s="46" t="s">
        <v>651</v>
      </c>
      <c r="V373" s="46" t="b">
        <v>1</v>
      </c>
      <c r="W373" s="46">
        <v>0.95</v>
      </c>
      <c r="X373" s="46">
        <v>0.10863583545</v>
      </c>
      <c r="Y373" s="46">
        <v>1.05031751144903</v>
      </c>
      <c r="Z373" s="46" t="b">
        <v>1</v>
      </c>
      <c r="AA373" s="46" t="b">
        <v>1</v>
      </c>
    </row>
    <row r="374">
      <c r="A374" s="157" t="s">
        <v>559</v>
      </c>
      <c r="B374" s="158">
        <v>1.0</v>
      </c>
      <c r="C374" s="157" t="s">
        <v>642</v>
      </c>
      <c r="D374" s="157" t="s">
        <v>643</v>
      </c>
      <c r="E374" s="157" t="s">
        <v>644</v>
      </c>
      <c r="F374" s="157" t="s">
        <v>1411</v>
      </c>
      <c r="G374" s="157" t="s">
        <v>1412</v>
      </c>
      <c r="H374" s="157"/>
      <c r="I374" s="158">
        <v>9.4794</v>
      </c>
      <c r="J374" s="158">
        <v>45.0899</v>
      </c>
      <c r="K374" s="157" t="s">
        <v>1413</v>
      </c>
      <c r="L374" s="157" t="s">
        <v>648</v>
      </c>
      <c r="M374" s="158">
        <v>2022.0</v>
      </c>
      <c r="N374" s="157" t="s">
        <v>649</v>
      </c>
      <c r="O374" s="157" t="s">
        <v>650</v>
      </c>
      <c r="P374" s="161" t="b">
        <v>0</v>
      </c>
      <c r="Q374" s="158">
        <v>1.572811891</v>
      </c>
      <c r="R374" s="158">
        <v>0.11407038</v>
      </c>
      <c r="S374" s="158">
        <v>1.458741511</v>
      </c>
      <c r="T374" s="157" t="s">
        <v>594</v>
      </c>
      <c r="U374" s="46" t="s">
        <v>651</v>
      </c>
      <c r="V374" s="46" t="b">
        <v>1</v>
      </c>
      <c r="W374" s="46">
        <v>0.95</v>
      </c>
      <c r="X374" s="46">
        <v>0.108366861</v>
      </c>
      <c r="Y374" s="46">
        <v>0.760354885234881</v>
      </c>
      <c r="Z374" s="46" t="b">
        <v>1</v>
      </c>
      <c r="AA374" s="46" t="b">
        <v>1</v>
      </c>
    </row>
    <row r="375">
      <c r="A375" s="157" t="s">
        <v>562</v>
      </c>
      <c r="B375" s="158">
        <v>5.0</v>
      </c>
      <c r="C375" s="157" t="s">
        <v>652</v>
      </c>
      <c r="D375" s="157" t="s">
        <v>653</v>
      </c>
      <c r="E375" s="157" t="s">
        <v>654</v>
      </c>
      <c r="F375" s="162" t="s">
        <v>1414</v>
      </c>
      <c r="G375" s="157" t="s">
        <v>1415</v>
      </c>
      <c r="H375" s="157"/>
      <c r="I375" s="158">
        <v>2.9953</v>
      </c>
      <c r="J375" s="158">
        <v>51.21008</v>
      </c>
      <c r="K375" s="157" t="s">
        <v>1416</v>
      </c>
      <c r="L375" s="157" t="s">
        <v>648</v>
      </c>
      <c r="M375" s="158">
        <v>2022.0</v>
      </c>
      <c r="N375" s="157" t="s">
        <v>116</v>
      </c>
      <c r="O375" s="157" t="s">
        <v>658</v>
      </c>
      <c r="P375" s="161" t="b">
        <v>1</v>
      </c>
      <c r="Q375" s="158">
        <v>0.207</v>
      </c>
      <c r="R375" s="158">
        <v>0.11385</v>
      </c>
      <c r="S375" s="158">
        <v>0.09315</v>
      </c>
      <c r="T375" s="157" t="s">
        <v>116</v>
      </c>
      <c r="U375" s="46" t="s">
        <v>651</v>
      </c>
      <c r="V375" s="46" t="b">
        <v>1</v>
      </c>
      <c r="W375" s="46">
        <v>0.95</v>
      </c>
      <c r="X375" s="46">
        <v>0.1081575</v>
      </c>
      <c r="Y375" s="46">
        <v>17.2138074619347</v>
      </c>
      <c r="Z375" s="46" t="b">
        <v>1</v>
      </c>
      <c r="AA375" s="46" t="b">
        <v>1</v>
      </c>
    </row>
    <row r="376">
      <c r="A376" s="157" t="s">
        <v>557</v>
      </c>
      <c r="B376" s="158">
        <v>5.0</v>
      </c>
      <c r="C376" s="157" t="s">
        <v>652</v>
      </c>
      <c r="D376" s="157" t="s">
        <v>653</v>
      </c>
      <c r="E376" s="157" t="s">
        <v>654</v>
      </c>
      <c r="F376" s="162" t="s">
        <v>1417</v>
      </c>
      <c r="G376" s="157" t="s">
        <v>1418</v>
      </c>
      <c r="H376" s="157"/>
      <c r="I376" s="158">
        <v>6.57641307376497</v>
      </c>
      <c r="J376" s="158">
        <v>51.5188843593103</v>
      </c>
      <c r="K376" s="157" t="s">
        <v>1419</v>
      </c>
      <c r="L376" s="157" t="s">
        <v>648</v>
      </c>
      <c r="M376" s="158">
        <v>2022.0</v>
      </c>
      <c r="N376" s="157" t="s">
        <v>116</v>
      </c>
      <c r="O376" s="157" t="s">
        <v>658</v>
      </c>
      <c r="P376" s="161" t="b">
        <v>1</v>
      </c>
      <c r="Q376" s="158">
        <v>0.24</v>
      </c>
      <c r="R376" s="158">
        <v>0.113</v>
      </c>
      <c r="S376" s="158">
        <v>0.127</v>
      </c>
      <c r="T376" s="157" t="s">
        <v>116</v>
      </c>
      <c r="U376" s="46" t="s">
        <v>651</v>
      </c>
      <c r="V376" s="46" t="b">
        <v>1</v>
      </c>
      <c r="W376" s="46">
        <v>0.95</v>
      </c>
      <c r="X376" s="46">
        <v>0.10735</v>
      </c>
      <c r="Y376" s="46">
        <v>13.403849237415</v>
      </c>
      <c r="Z376" s="46" t="b">
        <v>1</v>
      </c>
      <c r="AA376" s="46" t="b">
        <v>1</v>
      </c>
    </row>
    <row r="377">
      <c r="A377" s="157" t="s">
        <v>554</v>
      </c>
      <c r="B377" s="158">
        <v>1.0</v>
      </c>
      <c r="C377" s="157" t="s">
        <v>642</v>
      </c>
      <c r="D377" s="157" t="s">
        <v>643</v>
      </c>
      <c r="E377" s="157" t="s">
        <v>644</v>
      </c>
      <c r="F377" s="157" t="s">
        <v>1420</v>
      </c>
      <c r="G377" s="157" t="s">
        <v>1421</v>
      </c>
      <c r="H377" s="157"/>
      <c r="I377" s="158">
        <v>17.39061</v>
      </c>
      <c r="J377" s="158">
        <v>62.40352</v>
      </c>
      <c r="K377" s="157" t="s">
        <v>1422</v>
      </c>
      <c r="L377" s="157" t="s">
        <v>648</v>
      </c>
      <c r="M377" s="158">
        <v>2022.0</v>
      </c>
      <c r="N377" s="157" t="s">
        <v>649</v>
      </c>
      <c r="O377" s="157" t="s">
        <v>650</v>
      </c>
      <c r="P377" s="161" t="b">
        <v>0</v>
      </c>
      <c r="Q377" s="158">
        <v>0.202</v>
      </c>
      <c r="R377" s="158">
        <v>0.1128</v>
      </c>
      <c r="S377" s="158">
        <v>0.0892</v>
      </c>
      <c r="T377" s="157" t="s">
        <v>117</v>
      </c>
      <c r="U377" s="46" t="s">
        <v>651</v>
      </c>
      <c r="V377" s="46" t="b">
        <v>1</v>
      </c>
      <c r="W377" s="46">
        <v>0.95</v>
      </c>
      <c r="X377" s="46">
        <v>0.107159999999999</v>
      </c>
      <c r="Y377" s="46" t="s">
        <v>640</v>
      </c>
      <c r="Z377" s="46" t="b">
        <v>0</v>
      </c>
      <c r="AA377" s="46" t="b">
        <v>0</v>
      </c>
    </row>
    <row r="378">
      <c r="A378" s="157" t="s">
        <v>572</v>
      </c>
      <c r="B378" s="158">
        <v>1.0</v>
      </c>
      <c r="C378" s="157" t="s">
        <v>642</v>
      </c>
      <c r="D378" s="157" t="s">
        <v>643</v>
      </c>
      <c r="E378" s="157" t="s">
        <v>644</v>
      </c>
      <c r="F378" s="157" t="s">
        <v>1423</v>
      </c>
      <c r="G378" s="157" t="s">
        <v>1424</v>
      </c>
      <c r="H378" s="157"/>
      <c r="I378" s="158">
        <v>22.06661</v>
      </c>
      <c r="J378" s="158">
        <v>37.41566</v>
      </c>
      <c r="K378" s="157" t="s">
        <v>1425</v>
      </c>
      <c r="L378" s="157" t="s">
        <v>648</v>
      </c>
      <c r="M378" s="158">
        <v>2022.0</v>
      </c>
      <c r="N378" s="157" t="s">
        <v>649</v>
      </c>
      <c r="O378" s="157" t="s">
        <v>650</v>
      </c>
      <c r="P378" s="161" t="b">
        <v>0</v>
      </c>
      <c r="Q378" s="158">
        <v>1.55</v>
      </c>
      <c r="R378" s="158">
        <v>0.112415915</v>
      </c>
      <c r="S378" s="158">
        <v>1.437584085</v>
      </c>
      <c r="T378" s="157" t="s">
        <v>594</v>
      </c>
      <c r="U378" s="46" t="s">
        <v>651</v>
      </c>
      <c r="V378" s="46" t="b">
        <v>1</v>
      </c>
      <c r="W378" s="46">
        <v>0.95</v>
      </c>
      <c r="X378" s="46">
        <v>0.10679511925</v>
      </c>
      <c r="Y378" s="46">
        <v>147.261353035982</v>
      </c>
      <c r="Z378" s="46" t="b">
        <v>0</v>
      </c>
      <c r="AA378" s="46" t="b">
        <v>0</v>
      </c>
    </row>
    <row r="379">
      <c r="A379" s="157" t="s">
        <v>562</v>
      </c>
      <c r="B379" s="158">
        <v>1.0</v>
      </c>
      <c r="C379" s="157" t="s">
        <v>642</v>
      </c>
      <c r="D379" s="157" t="s">
        <v>643</v>
      </c>
      <c r="E379" s="157" t="s">
        <v>644</v>
      </c>
      <c r="F379" s="162" t="s">
        <v>1426</v>
      </c>
      <c r="G379" s="157" t="s">
        <v>1427</v>
      </c>
      <c r="H379" s="157"/>
      <c r="I379" s="158">
        <v>3.77472</v>
      </c>
      <c r="J379" s="158">
        <v>51.13471</v>
      </c>
      <c r="K379" s="157" t="s">
        <v>855</v>
      </c>
      <c r="L379" s="157" t="s">
        <v>648</v>
      </c>
      <c r="M379" s="158">
        <v>2022.0</v>
      </c>
      <c r="N379" s="157" t="s">
        <v>649</v>
      </c>
      <c r="O379" s="157" t="s">
        <v>650</v>
      </c>
      <c r="P379" s="161" t="b">
        <v>0</v>
      </c>
      <c r="Q379" s="158">
        <v>1.54</v>
      </c>
      <c r="R379" s="158">
        <v>0.111690652</v>
      </c>
      <c r="S379" s="158">
        <v>1.428309348</v>
      </c>
      <c r="T379" s="157" t="s">
        <v>594</v>
      </c>
      <c r="U379" s="46" t="s">
        <v>651</v>
      </c>
      <c r="V379" s="46" t="b">
        <v>1</v>
      </c>
      <c r="W379" s="46">
        <v>0.95</v>
      </c>
      <c r="X379" s="46">
        <v>0.106106119399999</v>
      </c>
      <c r="Y379" s="46">
        <v>4.97271064510151</v>
      </c>
      <c r="Z379" s="46" t="b">
        <v>1</v>
      </c>
      <c r="AA379" s="46" t="b">
        <v>1</v>
      </c>
    </row>
    <row r="380">
      <c r="A380" s="157" t="s">
        <v>559</v>
      </c>
      <c r="B380" s="158">
        <v>1.0</v>
      </c>
      <c r="C380" s="157" t="s">
        <v>642</v>
      </c>
      <c r="D380" s="157" t="s">
        <v>643</v>
      </c>
      <c r="E380" s="157" t="s">
        <v>644</v>
      </c>
      <c r="F380" s="157" t="s">
        <v>1428</v>
      </c>
      <c r="G380" s="157" t="s">
        <v>1429</v>
      </c>
      <c r="H380" s="157"/>
      <c r="I380" s="158">
        <v>9.4359</v>
      </c>
      <c r="J380" s="158">
        <v>45.3345</v>
      </c>
      <c r="K380" s="157" t="s">
        <v>1430</v>
      </c>
      <c r="L380" s="157" t="s">
        <v>648</v>
      </c>
      <c r="M380" s="158">
        <v>2022.0</v>
      </c>
      <c r="N380" s="157" t="s">
        <v>649</v>
      </c>
      <c r="O380" s="157" t="s">
        <v>650</v>
      </c>
      <c r="P380" s="161" t="b">
        <v>0</v>
      </c>
      <c r="Q380" s="158">
        <v>1.536227</v>
      </c>
      <c r="R380" s="158">
        <v>0.111417009</v>
      </c>
      <c r="S380" s="158">
        <v>1.424809991</v>
      </c>
      <c r="T380" s="157" t="s">
        <v>594</v>
      </c>
      <c r="U380" s="46" t="s">
        <v>651</v>
      </c>
      <c r="V380" s="46" t="b">
        <v>1</v>
      </c>
      <c r="W380" s="46">
        <v>0.95</v>
      </c>
      <c r="X380" s="46">
        <v>0.105846158549999</v>
      </c>
      <c r="Y380" s="46">
        <v>12.4676581251484</v>
      </c>
      <c r="Z380" s="46" t="b">
        <v>1</v>
      </c>
      <c r="AA380" s="46" t="b">
        <v>1</v>
      </c>
    </row>
    <row r="381">
      <c r="A381" s="157" t="s">
        <v>556</v>
      </c>
      <c r="B381" s="158">
        <v>5.0</v>
      </c>
      <c r="C381" s="157" t="s">
        <v>652</v>
      </c>
      <c r="D381" s="157" t="s">
        <v>653</v>
      </c>
      <c r="E381" s="157" t="s">
        <v>654</v>
      </c>
      <c r="F381" s="157" t="s">
        <v>1431</v>
      </c>
      <c r="G381" s="157" t="s">
        <v>1432</v>
      </c>
      <c r="H381" s="157"/>
      <c r="I381" s="158">
        <v>-0.52971</v>
      </c>
      <c r="J381" s="158">
        <v>44.7974</v>
      </c>
      <c r="K381" s="157" t="s">
        <v>1433</v>
      </c>
      <c r="L381" s="157" t="s">
        <v>648</v>
      </c>
      <c r="M381" s="158">
        <v>2022.0</v>
      </c>
      <c r="N381" s="157" t="s">
        <v>116</v>
      </c>
      <c r="O381" s="157" t="s">
        <v>658</v>
      </c>
      <c r="P381" s="161" t="b">
        <v>1</v>
      </c>
      <c r="Q381" s="158">
        <v>0.202</v>
      </c>
      <c r="R381" s="158">
        <v>0.1111</v>
      </c>
      <c r="S381" s="158">
        <v>0.0909</v>
      </c>
      <c r="T381" s="157" t="s">
        <v>116</v>
      </c>
      <c r="U381" s="46" t="s">
        <v>651</v>
      </c>
      <c r="V381" s="46" t="b">
        <v>1</v>
      </c>
      <c r="W381" s="46">
        <v>0.95</v>
      </c>
      <c r="X381" s="46">
        <v>0.105545</v>
      </c>
      <c r="Y381" s="46">
        <v>7.59002725479197</v>
      </c>
      <c r="Z381" s="46" t="b">
        <v>1</v>
      </c>
      <c r="AA381" s="46" t="b">
        <v>1</v>
      </c>
    </row>
    <row r="382">
      <c r="A382" s="157" t="s">
        <v>560</v>
      </c>
      <c r="B382" s="158">
        <v>1.0</v>
      </c>
      <c r="C382" s="157" t="s">
        <v>642</v>
      </c>
      <c r="D382" s="157" t="s">
        <v>643</v>
      </c>
      <c r="E382" s="157" t="s">
        <v>644</v>
      </c>
      <c r="F382" s="157" t="s">
        <v>1434</v>
      </c>
      <c r="G382" s="157" t="s">
        <v>1138</v>
      </c>
      <c r="H382" s="157"/>
      <c r="I382" s="158">
        <v>16.432</v>
      </c>
      <c r="J382" s="158">
        <v>48.182</v>
      </c>
      <c r="K382" s="157" t="s">
        <v>1278</v>
      </c>
      <c r="L382" s="157" t="s">
        <v>648</v>
      </c>
      <c r="M382" s="158">
        <v>2022.0</v>
      </c>
      <c r="N382" s="157" t="s">
        <v>649</v>
      </c>
      <c r="O382" s="157" t="s">
        <v>650</v>
      </c>
      <c r="P382" s="161" t="b">
        <v>0</v>
      </c>
      <c r="Q382" s="158">
        <v>1.53</v>
      </c>
      <c r="R382" s="158">
        <v>0.110965388</v>
      </c>
      <c r="S382" s="158">
        <v>1.419034612</v>
      </c>
      <c r="T382" s="157" t="s">
        <v>594</v>
      </c>
      <c r="U382" s="46" t="s">
        <v>651</v>
      </c>
      <c r="V382" s="46" t="b">
        <v>1</v>
      </c>
      <c r="W382" s="46">
        <v>0.95</v>
      </c>
      <c r="X382" s="46">
        <v>0.1054171186</v>
      </c>
      <c r="Y382" s="46" t="s">
        <v>640</v>
      </c>
      <c r="Z382" s="46" t="b">
        <v>0</v>
      </c>
      <c r="AA382" s="46" t="b">
        <v>0</v>
      </c>
    </row>
    <row r="383">
      <c r="A383" s="157" t="s">
        <v>559</v>
      </c>
      <c r="B383" s="158">
        <v>5.0</v>
      </c>
      <c r="C383" s="157" t="s">
        <v>652</v>
      </c>
      <c r="D383" s="157" t="s">
        <v>653</v>
      </c>
      <c r="E383" s="157" t="s">
        <v>654</v>
      </c>
      <c r="F383" s="157" t="s">
        <v>1435</v>
      </c>
      <c r="G383" s="157" t="s">
        <v>1436</v>
      </c>
      <c r="H383" s="157"/>
      <c r="I383" s="158">
        <v>9.6097</v>
      </c>
      <c r="J383" s="158">
        <v>45.6356</v>
      </c>
      <c r="K383" s="157" t="s">
        <v>1437</v>
      </c>
      <c r="L383" s="157" t="s">
        <v>648</v>
      </c>
      <c r="M383" s="158">
        <v>2022.0</v>
      </c>
      <c r="N383" s="157" t="s">
        <v>116</v>
      </c>
      <c r="O383" s="157" t="s">
        <v>658</v>
      </c>
      <c r="P383" s="161" t="b">
        <v>1</v>
      </c>
      <c r="Q383" s="158">
        <v>0.2005487</v>
      </c>
      <c r="R383" s="158">
        <v>0.110301785</v>
      </c>
      <c r="S383" s="158">
        <v>0.090246915</v>
      </c>
      <c r="T383" s="157" t="s">
        <v>116</v>
      </c>
      <c r="U383" s="46" t="s">
        <v>651</v>
      </c>
      <c r="V383" s="46" t="b">
        <v>1</v>
      </c>
      <c r="W383" s="46">
        <v>0.95</v>
      </c>
      <c r="X383" s="46">
        <v>0.104786695749999</v>
      </c>
      <c r="Y383" s="46">
        <v>18.3388996439572</v>
      </c>
      <c r="Z383" s="46" t="b">
        <v>1</v>
      </c>
      <c r="AA383" s="46" t="b">
        <v>1</v>
      </c>
    </row>
    <row r="384">
      <c r="A384" s="157" t="s">
        <v>566</v>
      </c>
      <c r="B384" s="158">
        <v>1.0</v>
      </c>
      <c r="C384" s="157" t="s">
        <v>642</v>
      </c>
      <c r="D384" s="157" t="s">
        <v>643</v>
      </c>
      <c r="E384" s="157" t="s">
        <v>644</v>
      </c>
      <c r="F384" s="157" t="s">
        <v>1438</v>
      </c>
      <c r="G384" s="157" t="s">
        <v>1439</v>
      </c>
      <c r="H384" s="157"/>
      <c r="I384" s="158">
        <v>19.14166641</v>
      </c>
      <c r="J384" s="158">
        <v>50.34999847</v>
      </c>
      <c r="K384" s="157" t="s">
        <v>1440</v>
      </c>
      <c r="L384" s="157" t="s">
        <v>648</v>
      </c>
      <c r="M384" s="158">
        <v>2022.0</v>
      </c>
      <c r="N384" s="157" t="s">
        <v>649</v>
      </c>
      <c r="O384" s="157" t="s">
        <v>650</v>
      </c>
      <c r="P384" s="161" t="b">
        <v>0</v>
      </c>
      <c r="Q384" s="158">
        <v>1.52</v>
      </c>
      <c r="R384" s="158">
        <v>0.110240124</v>
      </c>
      <c r="S384" s="158">
        <v>1.409759876</v>
      </c>
      <c r="T384" s="157" t="s">
        <v>594</v>
      </c>
      <c r="U384" s="46" t="s">
        <v>651</v>
      </c>
      <c r="V384" s="46" t="b">
        <v>1</v>
      </c>
      <c r="W384" s="46">
        <v>0.95</v>
      </c>
      <c r="X384" s="46">
        <v>0.104728117799999</v>
      </c>
      <c r="Y384" s="46" t="s">
        <v>640</v>
      </c>
      <c r="Z384" s="46" t="b">
        <v>0</v>
      </c>
      <c r="AA384" s="46" t="b">
        <v>0</v>
      </c>
    </row>
    <row r="385">
      <c r="A385" s="157" t="s">
        <v>556</v>
      </c>
      <c r="B385" s="158">
        <v>5.0</v>
      </c>
      <c r="C385" s="157" t="s">
        <v>652</v>
      </c>
      <c r="D385" s="157" t="s">
        <v>653</v>
      </c>
      <c r="E385" s="157" t="s">
        <v>654</v>
      </c>
      <c r="F385" s="157" t="s">
        <v>1441</v>
      </c>
      <c r="G385" s="157" t="s">
        <v>1442</v>
      </c>
      <c r="H385" s="157"/>
      <c r="I385" s="158">
        <v>2.76435</v>
      </c>
      <c r="J385" s="158">
        <v>42.7344</v>
      </c>
      <c r="K385" s="157" t="s">
        <v>1443</v>
      </c>
      <c r="L385" s="157" t="s">
        <v>648</v>
      </c>
      <c r="M385" s="158">
        <v>2022.0</v>
      </c>
      <c r="N385" s="157" t="s">
        <v>116</v>
      </c>
      <c r="O385" s="157" t="s">
        <v>658</v>
      </c>
      <c r="P385" s="161" t="b">
        <v>1</v>
      </c>
      <c r="Q385" s="158">
        <v>0.2</v>
      </c>
      <c r="R385" s="158">
        <v>0.11</v>
      </c>
      <c r="S385" s="158">
        <v>0.09</v>
      </c>
      <c r="T385" s="157" t="s">
        <v>116</v>
      </c>
      <c r="U385" s="46" t="s">
        <v>651</v>
      </c>
      <c r="V385" s="46" t="b">
        <v>1</v>
      </c>
      <c r="W385" s="46">
        <v>0.95</v>
      </c>
      <c r="X385" s="46">
        <v>0.1045</v>
      </c>
      <c r="Y385" s="46">
        <v>47.3887017681789</v>
      </c>
      <c r="Z385" s="46" t="b">
        <v>1</v>
      </c>
      <c r="AA385" s="46" t="b">
        <v>1</v>
      </c>
    </row>
    <row r="386">
      <c r="A386" s="157" t="s">
        <v>565</v>
      </c>
      <c r="B386" s="158">
        <v>5.0</v>
      </c>
      <c r="C386" s="157" t="s">
        <v>652</v>
      </c>
      <c r="D386" s="157" t="s">
        <v>653</v>
      </c>
      <c r="E386" s="157" t="s">
        <v>654</v>
      </c>
      <c r="F386" s="157" t="s">
        <v>1444</v>
      </c>
      <c r="G386" s="157" t="s">
        <v>1445</v>
      </c>
      <c r="H386" s="157"/>
      <c r="I386" s="158">
        <v>14.54113899</v>
      </c>
      <c r="J386" s="158">
        <v>50.07892459</v>
      </c>
      <c r="K386" s="157" t="s">
        <v>1446</v>
      </c>
      <c r="L386" s="157" t="s">
        <v>648</v>
      </c>
      <c r="M386" s="158">
        <v>2020.0</v>
      </c>
      <c r="N386" s="157" t="s">
        <v>116</v>
      </c>
      <c r="O386" s="157" t="s">
        <v>658</v>
      </c>
      <c r="P386" s="161" t="b">
        <v>1</v>
      </c>
      <c r="Q386" s="158">
        <v>0.274830922</v>
      </c>
      <c r="R386" s="158">
        <v>0.10993237</v>
      </c>
      <c r="S386" s="158">
        <v>0.164898552</v>
      </c>
      <c r="T386" s="157" t="s">
        <v>116</v>
      </c>
      <c r="U386" s="46" t="s">
        <v>651</v>
      </c>
      <c r="V386" s="46" t="b">
        <v>1</v>
      </c>
      <c r="W386" s="46">
        <v>0.95</v>
      </c>
      <c r="X386" s="46">
        <v>0.1044357515</v>
      </c>
      <c r="Y386" s="46">
        <v>95.5031603239025</v>
      </c>
      <c r="Z386" s="46" t="b">
        <v>0</v>
      </c>
      <c r="AA386" s="46" t="b">
        <v>1</v>
      </c>
    </row>
    <row r="387">
      <c r="A387" s="157" t="s">
        <v>559</v>
      </c>
      <c r="B387" s="158">
        <v>5.0</v>
      </c>
      <c r="C387" s="157" t="s">
        <v>652</v>
      </c>
      <c r="D387" s="157" t="s">
        <v>653</v>
      </c>
      <c r="E387" s="157" t="s">
        <v>654</v>
      </c>
      <c r="F387" s="157" t="s">
        <v>1447</v>
      </c>
      <c r="G387" s="157" t="s">
        <v>1448</v>
      </c>
      <c r="H387" s="157"/>
      <c r="I387" s="158">
        <v>11.4311</v>
      </c>
      <c r="J387" s="158">
        <v>44.5239</v>
      </c>
      <c r="K387" s="157" t="s">
        <v>1449</v>
      </c>
      <c r="L387" s="157" t="s">
        <v>648</v>
      </c>
      <c r="M387" s="158">
        <v>2022.0</v>
      </c>
      <c r="N387" s="157" t="s">
        <v>116</v>
      </c>
      <c r="O387" s="157" t="s">
        <v>658</v>
      </c>
      <c r="P387" s="161" t="b">
        <v>1</v>
      </c>
      <c r="Q387" s="158">
        <v>0.1968092</v>
      </c>
      <c r="R387" s="158">
        <v>0.10824506</v>
      </c>
      <c r="S387" s="158">
        <v>0.08856414</v>
      </c>
      <c r="T387" s="157" t="s">
        <v>116</v>
      </c>
      <c r="U387" s="46" t="s">
        <v>651</v>
      </c>
      <c r="V387" s="46" t="b">
        <v>1</v>
      </c>
      <c r="W387" s="46">
        <v>0.95</v>
      </c>
      <c r="X387" s="46">
        <v>0.102832807</v>
      </c>
      <c r="Y387" s="46">
        <v>21.0588416556919</v>
      </c>
      <c r="Z387" s="46" t="b">
        <v>1</v>
      </c>
      <c r="AA387" s="46" t="b">
        <v>1</v>
      </c>
    </row>
    <row r="388">
      <c r="A388" s="157" t="s">
        <v>559</v>
      </c>
      <c r="B388" s="158">
        <v>5.0</v>
      </c>
      <c r="C388" s="157" t="s">
        <v>652</v>
      </c>
      <c r="D388" s="157" t="s">
        <v>653</v>
      </c>
      <c r="E388" s="157" t="s">
        <v>654</v>
      </c>
      <c r="F388" s="157" t="s">
        <v>1450</v>
      </c>
      <c r="G388" s="157" t="s">
        <v>1451</v>
      </c>
      <c r="H388" s="157"/>
      <c r="I388" s="158">
        <v>9.5078</v>
      </c>
      <c r="J388" s="158">
        <v>45.5936</v>
      </c>
      <c r="K388" s="157" t="s">
        <v>1452</v>
      </c>
      <c r="L388" s="157" t="s">
        <v>648</v>
      </c>
      <c r="M388" s="158">
        <v>2022.0</v>
      </c>
      <c r="N388" s="157" t="s">
        <v>116</v>
      </c>
      <c r="O388" s="157" t="s">
        <v>658</v>
      </c>
      <c r="P388" s="161" t="b">
        <v>1</v>
      </c>
      <c r="Q388" s="158">
        <v>0.195371</v>
      </c>
      <c r="R388" s="158">
        <v>0.10745405</v>
      </c>
      <c r="S388" s="158">
        <v>0.08791695</v>
      </c>
      <c r="T388" s="157" t="s">
        <v>116</v>
      </c>
      <c r="U388" s="46" t="s">
        <v>651</v>
      </c>
      <c r="V388" s="46" t="b">
        <v>1</v>
      </c>
      <c r="W388" s="46">
        <v>0.95</v>
      </c>
      <c r="X388" s="46">
        <v>0.102081347499999</v>
      </c>
      <c r="Y388" s="46">
        <v>27.0583775406213</v>
      </c>
      <c r="Z388" s="46" t="b">
        <v>1</v>
      </c>
      <c r="AA388" s="46" t="b">
        <v>1</v>
      </c>
    </row>
    <row r="389">
      <c r="A389" s="157" t="s">
        <v>559</v>
      </c>
      <c r="B389" s="158">
        <v>5.0</v>
      </c>
      <c r="C389" s="157" t="s">
        <v>652</v>
      </c>
      <c r="D389" s="157" t="s">
        <v>653</v>
      </c>
      <c r="E389" s="157" t="s">
        <v>654</v>
      </c>
      <c r="F389" s="157" t="s">
        <v>1453</v>
      </c>
      <c r="G389" s="157" t="s">
        <v>1454</v>
      </c>
      <c r="H389" s="157"/>
      <c r="I389" s="158">
        <v>11.9231</v>
      </c>
      <c r="J389" s="158">
        <v>45.4083</v>
      </c>
      <c r="K389" s="157" t="s">
        <v>1455</v>
      </c>
      <c r="L389" s="157" t="s">
        <v>648</v>
      </c>
      <c r="M389" s="158">
        <v>2022.0</v>
      </c>
      <c r="N389" s="157" t="s">
        <v>116</v>
      </c>
      <c r="O389" s="157" t="s">
        <v>658</v>
      </c>
      <c r="P389" s="161" t="b">
        <v>1</v>
      </c>
      <c r="Q389" s="158">
        <v>0.195232683</v>
      </c>
      <c r="R389" s="158">
        <v>0.107377976</v>
      </c>
      <c r="S389" s="158">
        <v>0.087854707</v>
      </c>
      <c r="T389" s="157" t="s">
        <v>116</v>
      </c>
      <c r="U389" s="46" t="s">
        <v>651</v>
      </c>
      <c r="V389" s="46" t="b">
        <v>1</v>
      </c>
      <c r="W389" s="46">
        <v>0.95</v>
      </c>
      <c r="X389" s="46">
        <v>0.102009077199999</v>
      </c>
      <c r="Y389" s="46">
        <v>5.85164917221072</v>
      </c>
      <c r="Z389" s="46" t="b">
        <v>1</v>
      </c>
      <c r="AA389" s="46" t="b">
        <v>1</v>
      </c>
    </row>
    <row r="390">
      <c r="A390" s="157" t="s">
        <v>564</v>
      </c>
      <c r="B390" s="158">
        <v>5.0</v>
      </c>
      <c r="C390" s="157" t="s">
        <v>652</v>
      </c>
      <c r="D390" s="157" t="s">
        <v>653</v>
      </c>
      <c r="E390" s="157" t="s">
        <v>654</v>
      </c>
      <c r="F390" s="157" t="s">
        <v>1456</v>
      </c>
      <c r="G390" s="157" t="s">
        <v>1457</v>
      </c>
      <c r="H390" s="157"/>
      <c r="I390" s="158">
        <v>8.9887</v>
      </c>
      <c r="J390" s="158">
        <v>46.1722</v>
      </c>
      <c r="K390" s="157" t="s">
        <v>1458</v>
      </c>
      <c r="L390" s="157" t="s">
        <v>648</v>
      </c>
      <c r="M390" s="158">
        <v>2021.0</v>
      </c>
      <c r="N390" s="157" t="s">
        <v>116</v>
      </c>
      <c r="O390" s="157" t="s">
        <v>658</v>
      </c>
      <c r="P390" s="161" t="b">
        <v>1</v>
      </c>
      <c r="Q390" s="158">
        <v>0.194</v>
      </c>
      <c r="R390" s="158">
        <v>0.1067</v>
      </c>
      <c r="S390" s="158">
        <v>0.0873</v>
      </c>
      <c r="T390" s="157" t="s">
        <v>116</v>
      </c>
      <c r="U390" s="46" t="s">
        <v>651</v>
      </c>
      <c r="V390" s="46" t="b">
        <v>1</v>
      </c>
      <c r="W390" s="46">
        <v>0.95</v>
      </c>
      <c r="X390" s="46">
        <v>0.101365</v>
      </c>
      <c r="Y390" s="46">
        <v>38.7070530498553</v>
      </c>
      <c r="Z390" s="46" t="b">
        <v>1</v>
      </c>
      <c r="AA390" s="46" t="b">
        <v>1</v>
      </c>
    </row>
    <row r="391">
      <c r="A391" s="157" t="s">
        <v>560</v>
      </c>
      <c r="B391" s="158">
        <v>6.0</v>
      </c>
      <c r="C391" s="157" t="s">
        <v>659</v>
      </c>
      <c r="D391" s="157" t="s">
        <v>717</v>
      </c>
      <c r="E391" s="157" t="s">
        <v>718</v>
      </c>
      <c r="F391" s="157" t="s">
        <v>1459</v>
      </c>
      <c r="G391" s="157" t="s">
        <v>1460</v>
      </c>
      <c r="H391" s="157"/>
      <c r="I391" s="158">
        <v>14.377222</v>
      </c>
      <c r="J391" s="158">
        <v>46.758111</v>
      </c>
      <c r="K391" s="157" t="s">
        <v>1461</v>
      </c>
      <c r="L391" s="157" t="s">
        <v>648</v>
      </c>
      <c r="M391" s="158">
        <v>2022.0</v>
      </c>
      <c r="N391" s="157" t="s">
        <v>123</v>
      </c>
      <c r="O391" s="157" t="s">
        <v>722</v>
      </c>
      <c r="P391" s="161" t="b">
        <v>1</v>
      </c>
      <c r="Q391" s="158">
        <v>0.246</v>
      </c>
      <c r="R391" s="158">
        <v>0.106443228</v>
      </c>
      <c r="S391" s="158">
        <v>0.139556772</v>
      </c>
      <c r="T391" s="157" t="s">
        <v>123</v>
      </c>
      <c r="U391" s="46" t="s">
        <v>651</v>
      </c>
      <c r="V391" s="46" t="b">
        <v>1</v>
      </c>
      <c r="W391" s="46">
        <v>0.95</v>
      </c>
      <c r="X391" s="46">
        <v>0.101121066599999</v>
      </c>
      <c r="Y391" s="46" t="s">
        <v>640</v>
      </c>
      <c r="Z391" s="46" t="b">
        <v>0</v>
      </c>
      <c r="AA391" s="46" t="b">
        <v>0</v>
      </c>
    </row>
    <row r="392">
      <c r="A392" s="157" t="s">
        <v>575</v>
      </c>
      <c r="B392" s="158">
        <v>5.0</v>
      </c>
      <c r="C392" s="157" t="s">
        <v>652</v>
      </c>
      <c r="D392" s="157" t="s">
        <v>653</v>
      </c>
      <c r="E392" s="157" t="s">
        <v>654</v>
      </c>
      <c r="F392" s="157" t="s">
        <v>1462</v>
      </c>
      <c r="G392" s="157" t="s">
        <v>1463</v>
      </c>
      <c r="H392" s="157"/>
      <c r="I392" s="158">
        <v>6.06991</v>
      </c>
      <c r="J392" s="158">
        <v>49.55374</v>
      </c>
      <c r="K392" s="157" t="s">
        <v>1464</v>
      </c>
      <c r="L392" s="157" t="s">
        <v>648</v>
      </c>
      <c r="M392" s="158">
        <v>2022.0</v>
      </c>
      <c r="N392" s="157" t="s">
        <v>116</v>
      </c>
      <c r="O392" s="157" t="s">
        <v>658</v>
      </c>
      <c r="P392" s="161" t="b">
        <v>1</v>
      </c>
      <c r="Q392" s="158">
        <v>0.193</v>
      </c>
      <c r="R392" s="158">
        <v>0.10615</v>
      </c>
      <c r="S392" s="158">
        <v>0.08685</v>
      </c>
      <c r="T392" s="157" t="s">
        <v>116</v>
      </c>
      <c r="U392" s="46" t="s">
        <v>651</v>
      </c>
      <c r="V392" s="46" t="b">
        <v>1</v>
      </c>
      <c r="W392" s="46">
        <v>0.95</v>
      </c>
      <c r="X392" s="46">
        <v>0.100842499999999</v>
      </c>
      <c r="Y392" s="46">
        <v>70.8747108629494</v>
      </c>
      <c r="Z392" s="46" t="b">
        <v>0</v>
      </c>
      <c r="AA392" s="46" t="b">
        <v>1</v>
      </c>
    </row>
    <row r="393">
      <c r="A393" s="157" t="s">
        <v>566</v>
      </c>
      <c r="B393" s="158">
        <v>1.0</v>
      </c>
      <c r="C393" s="157" t="s">
        <v>642</v>
      </c>
      <c r="D393" s="157" t="s">
        <v>643</v>
      </c>
      <c r="E393" s="157" t="s">
        <v>644</v>
      </c>
      <c r="F393" s="157" t="s">
        <v>1465</v>
      </c>
      <c r="G393" s="157" t="s">
        <v>1466</v>
      </c>
      <c r="H393" s="157"/>
      <c r="I393" s="158">
        <v>18.96845245</v>
      </c>
      <c r="J393" s="158">
        <v>50.30847549</v>
      </c>
      <c r="K393" s="157" t="s">
        <v>1467</v>
      </c>
      <c r="L393" s="157" t="s">
        <v>648</v>
      </c>
      <c r="M393" s="158">
        <v>2022.0</v>
      </c>
      <c r="N393" s="157" t="s">
        <v>649</v>
      </c>
      <c r="O393" s="157" t="s">
        <v>650</v>
      </c>
      <c r="P393" s="161" t="b">
        <v>0</v>
      </c>
      <c r="Q393" s="158">
        <v>1.45</v>
      </c>
      <c r="R393" s="158">
        <v>0.105163276</v>
      </c>
      <c r="S393" s="158">
        <v>1.344836724</v>
      </c>
      <c r="T393" s="157" t="s">
        <v>594</v>
      </c>
      <c r="U393" s="46" t="s">
        <v>651</v>
      </c>
      <c r="V393" s="46" t="b">
        <v>1</v>
      </c>
      <c r="W393" s="46">
        <v>0.95</v>
      </c>
      <c r="X393" s="46">
        <v>0.0999051121999999</v>
      </c>
      <c r="Y393" s="46" t="s">
        <v>640</v>
      </c>
      <c r="Z393" s="46" t="b">
        <v>0</v>
      </c>
      <c r="AA393" s="46" t="b">
        <v>0</v>
      </c>
    </row>
    <row r="394">
      <c r="A394" s="157" t="s">
        <v>561</v>
      </c>
      <c r="B394" s="158">
        <v>1.0</v>
      </c>
      <c r="C394" s="157" t="s">
        <v>642</v>
      </c>
      <c r="D394" s="157" t="s">
        <v>643</v>
      </c>
      <c r="E394" s="157" t="s">
        <v>644</v>
      </c>
      <c r="F394" s="157" t="s">
        <v>1468</v>
      </c>
      <c r="G394" s="157" t="s">
        <v>1469</v>
      </c>
      <c r="H394" s="157"/>
      <c r="I394" s="158">
        <v>-1.687775</v>
      </c>
      <c r="J394" s="158">
        <v>42.175109</v>
      </c>
      <c r="K394" s="157" t="s">
        <v>1470</v>
      </c>
      <c r="L394" s="157" t="s">
        <v>648</v>
      </c>
      <c r="M394" s="158">
        <v>2022.0</v>
      </c>
      <c r="N394" s="157" t="s">
        <v>649</v>
      </c>
      <c r="O394" s="157" t="s">
        <v>650</v>
      </c>
      <c r="P394" s="161" t="b">
        <v>0</v>
      </c>
      <c r="Q394" s="158">
        <v>1.45</v>
      </c>
      <c r="R394" s="158">
        <v>0.105163276</v>
      </c>
      <c r="S394" s="158">
        <v>1.344836724</v>
      </c>
      <c r="T394" s="157" t="s">
        <v>594</v>
      </c>
      <c r="U394" s="46" t="s">
        <v>651</v>
      </c>
      <c r="V394" s="46" t="b">
        <v>1</v>
      </c>
      <c r="W394" s="46">
        <v>0.95</v>
      </c>
      <c r="X394" s="46">
        <v>0.0999051121999999</v>
      </c>
      <c r="Y394" s="46">
        <v>164.148751827979</v>
      </c>
      <c r="Z394" s="46" t="b">
        <v>0</v>
      </c>
      <c r="AA394" s="46" t="b">
        <v>0</v>
      </c>
    </row>
    <row r="395">
      <c r="A395" s="157" t="s">
        <v>556</v>
      </c>
      <c r="B395" s="158">
        <v>5.0</v>
      </c>
      <c r="C395" s="157" t="s">
        <v>652</v>
      </c>
      <c r="D395" s="157" t="s">
        <v>653</v>
      </c>
      <c r="E395" s="157" t="s">
        <v>654</v>
      </c>
      <c r="F395" s="157" t="s">
        <v>1471</v>
      </c>
      <c r="G395" s="157" t="s">
        <v>1472</v>
      </c>
      <c r="H395" s="157"/>
      <c r="I395" s="158">
        <v>0.50569</v>
      </c>
      <c r="J395" s="158">
        <v>49.52291</v>
      </c>
      <c r="K395" s="157" t="s">
        <v>1473</v>
      </c>
      <c r="L395" s="157" t="s">
        <v>648</v>
      </c>
      <c r="M395" s="158">
        <v>2022.0</v>
      </c>
      <c r="N395" s="157" t="s">
        <v>116</v>
      </c>
      <c r="O395" s="157" t="s">
        <v>658</v>
      </c>
      <c r="P395" s="161" t="b">
        <v>1</v>
      </c>
      <c r="Q395" s="158">
        <v>0.191</v>
      </c>
      <c r="R395" s="158">
        <v>0.10505</v>
      </c>
      <c r="S395" s="158">
        <v>0.08595</v>
      </c>
      <c r="T395" s="157" t="s">
        <v>116</v>
      </c>
      <c r="U395" s="46" t="s">
        <v>651</v>
      </c>
      <c r="V395" s="46" t="b">
        <v>1</v>
      </c>
      <c r="W395" s="46">
        <v>0.95</v>
      </c>
      <c r="X395" s="46">
        <v>0.0997975</v>
      </c>
      <c r="Y395" s="46">
        <v>5.26895056460086</v>
      </c>
      <c r="Z395" s="46" t="b">
        <v>1</v>
      </c>
      <c r="AA395" s="46" t="b">
        <v>1</v>
      </c>
    </row>
    <row r="396">
      <c r="A396" s="157" t="s">
        <v>556</v>
      </c>
      <c r="B396" s="158">
        <v>1.0</v>
      </c>
      <c r="C396" s="157" t="s">
        <v>642</v>
      </c>
      <c r="D396" s="157" t="s">
        <v>643</v>
      </c>
      <c r="E396" s="157" t="s">
        <v>644</v>
      </c>
      <c r="F396" s="157" t="s">
        <v>1474</v>
      </c>
      <c r="G396" s="157" t="s">
        <v>1475</v>
      </c>
      <c r="H396" s="157"/>
      <c r="I396" s="158">
        <v>5.02812</v>
      </c>
      <c r="J396" s="158">
        <v>43.3531</v>
      </c>
      <c r="K396" s="157" t="s">
        <v>1476</v>
      </c>
      <c r="L396" s="157" t="s">
        <v>648</v>
      </c>
      <c r="M396" s="158">
        <v>2022.0</v>
      </c>
      <c r="N396" s="157" t="s">
        <v>649</v>
      </c>
      <c r="O396" s="157" t="s">
        <v>650</v>
      </c>
      <c r="P396" s="161" t="b">
        <v>0</v>
      </c>
      <c r="Q396" s="158">
        <v>1.446</v>
      </c>
      <c r="R396" s="158">
        <v>0.10487317</v>
      </c>
      <c r="S396" s="158">
        <v>1.34112683</v>
      </c>
      <c r="T396" s="157" t="s">
        <v>594</v>
      </c>
      <c r="U396" s="46" t="s">
        <v>651</v>
      </c>
      <c r="V396" s="46" t="b">
        <v>1</v>
      </c>
      <c r="W396" s="46">
        <v>0.95</v>
      </c>
      <c r="X396" s="46">
        <v>0.0996295115</v>
      </c>
      <c r="Y396" s="46">
        <v>31.0519569684754</v>
      </c>
      <c r="Z396" s="46" t="b">
        <v>1</v>
      </c>
      <c r="AA396" s="46" t="b">
        <v>1</v>
      </c>
    </row>
    <row r="397">
      <c r="A397" s="157" t="s">
        <v>558</v>
      </c>
      <c r="B397" s="158">
        <v>1.0</v>
      </c>
      <c r="C397" s="157" t="s">
        <v>642</v>
      </c>
      <c r="D397" s="157" t="s">
        <v>643</v>
      </c>
      <c r="E397" s="157" t="s">
        <v>644</v>
      </c>
      <c r="F397" s="157" t="s">
        <v>1477</v>
      </c>
      <c r="G397" s="157" t="s">
        <v>1478</v>
      </c>
      <c r="H397" s="157"/>
      <c r="I397" s="158">
        <v>-8.461053</v>
      </c>
      <c r="J397" s="158">
        <v>41.069609</v>
      </c>
      <c r="K397" s="157" t="s">
        <v>1479</v>
      </c>
      <c r="L397" s="157" t="s">
        <v>648</v>
      </c>
      <c r="M397" s="158">
        <v>2022.0</v>
      </c>
      <c r="N397" s="157" t="s">
        <v>649</v>
      </c>
      <c r="O397" s="157" t="s">
        <v>650</v>
      </c>
      <c r="P397" s="161" t="b">
        <v>0</v>
      </c>
      <c r="Q397" s="158">
        <v>1.44</v>
      </c>
      <c r="R397" s="158">
        <v>0.104438012</v>
      </c>
      <c r="S397" s="158">
        <v>1.335561988</v>
      </c>
      <c r="T397" s="157" t="s">
        <v>594</v>
      </c>
      <c r="U397" s="46" t="s">
        <v>651</v>
      </c>
      <c r="V397" s="46" t="b">
        <v>1</v>
      </c>
      <c r="W397" s="46">
        <v>0.95</v>
      </c>
      <c r="X397" s="46">
        <v>0.0992161113999999</v>
      </c>
      <c r="Y397" s="46" t="s">
        <v>640</v>
      </c>
      <c r="Z397" s="46" t="b">
        <v>0</v>
      </c>
      <c r="AA397" s="46" t="b">
        <v>0</v>
      </c>
    </row>
    <row r="398">
      <c r="A398" s="157" t="s">
        <v>564</v>
      </c>
      <c r="B398" s="158">
        <v>5.0</v>
      </c>
      <c r="C398" s="157" t="s">
        <v>652</v>
      </c>
      <c r="D398" s="157" t="s">
        <v>653</v>
      </c>
      <c r="E398" s="157" t="s">
        <v>654</v>
      </c>
      <c r="F398" s="157" t="s">
        <v>1480</v>
      </c>
      <c r="G398" s="157" t="s">
        <v>1481</v>
      </c>
      <c r="H398" s="157"/>
      <c r="I398" s="158">
        <v>7.4139</v>
      </c>
      <c r="J398" s="158">
        <v>46.9515</v>
      </c>
      <c r="K398" s="157" t="s">
        <v>1482</v>
      </c>
      <c r="L398" s="157" t="s">
        <v>648</v>
      </c>
      <c r="M398" s="158">
        <v>2021.0</v>
      </c>
      <c r="N398" s="157" t="s">
        <v>116</v>
      </c>
      <c r="O398" s="157" t="s">
        <v>658</v>
      </c>
      <c r="P398" s="161" t="b">
        <v>1</v>
      </c>
      <c r="Q398" s="158">
        <v>0.189</v>
      </c>
      <c r="R398" s="158">
        <v>0.10395</v>
      </c>
      <c r="S398" s="158">
        <v>0.08505</v>
      </c>
      <c r="T398" s="157" t="s">
        <v>116</v>
      </c>
      <c r="U398" s="46" t="s">
        <v>651</v>
      </c>
      <c r="V398" s="46" t="b">
        <v>1</v>
      </c>
      <c r="W398" s="46">
        <v>0.95</v>
      </c>
      <c r="X398" s="46">
        <v>0.0987525</v>
      </c>
      <c r="Y398" s="46">
        <v>59.0437174990867</v>
      </c>
      <c r="Z398" s="46" t="b">
        <v>0</v>
      </c>
      <c r="AA398" s="46" t="b">
        <v>1</v>
      </c>
    </row>
    <row r="399">
      <c r="A399" s="157" t="s">
        <v>566</v>
      </c>
      <c r="B399" s="158">
        <v>6.0</v>
      </c>
      <c r="C399" s="157" t="s">
        <v>659</v>
      </c>
      <c r="D399" s="157" t="s">
        <v>717</v>
      </c>
      <c r="E399" s="157" t="s">
        <v>718</v>
      </c>
      <c r="F399" s="157" t="s">
        <v>1483</v>
      </c>
      <c r="G399" s="157" t="s">
        <v>1484</v>
      </c>
      <c r="H399" s="157"/>
      <c r="I399" s="158">
        <v>18.09000015</v>
      </c>
      <c r="J399" s="158">
        <v>53.84944153</v>
      </c>
      <c r="K399" s="157" t="s">
        <v>1485</v>
      </c>
      <c r="L399" s="157" t="s">
        <v>648</v>
      </c>
      <c r="M399" s="158">
        <v>2022.0</v>
      </c>
      <c r="N399" s="157" t="s">
        <v>123</v>
      </c>
      <c r="O399" s="157" t="s">
        <v>722</v>
      </c>
      <c r="P399" s="161" t="b">
        <v>1</v>
      </c>
      <c r="Q399" s="158">
        <v>0.24</v>
      </c>
      <c r="R399" s="158">
        <v>0.103847052</v>
      </c>
      <c r="S399" s="158">
        <v>0.136152948</v>
      </c>
      <c r="T399" s="157" t="s">
        <v>123</v>
      </c>
      <c r="U399" s="46" t="s">
        <v>651</v>
      </c>
      <c r="V399" s="46" t="b">
        <v>1</v>
      </c>
      <c r="W399" s="46">
        <v>0.95</v>
      </c>
      <c r="X399" s="46">
        <v>0.0986546993999999</v>
      </c>
      <c r="Y399" s="46">
        <v>38.1887045884408</v>
      </c>
      <c r="Z399" s="46" t="b">
        <v>1</v>
      </c>
      <c r="AA399" s="46" t="b">
        <v>1</v>
      </c>
    </row>
    <row r="400">
      <c r="A400" s="157" t="s">
        <v>556</v>
      </c>
      <c r="B400" s="158">
        <v>5.0</v>
      </c>
      <c r="C400" s="157" t="s">
        <v>652</v>
      </c>
      <c r="D400" s="157" t="s">
        <v>653</v>
      </c>
      <c r="E400" s="157" t="s">
        <v>654</v>
      </c>
      <c r="F400" s="157" t="s">
        <v>1486</v>
      </c>
      <c r="G400" s="157" t="s">
        <v>1487</v>
      </c>
      <c r="H400" s="157"/>
      <c r="I400" s="158">
        <v>2.20525</v>
      </c>
      <c r="J400" s="158">
        <v>48.95867</v>
      </c>
      <c r="K400" s="157" t="s">
        <v>1488</v>
      </c>
      <c r="L400" s="157" t="s">
        <v>648</v>
      </c>
      <c r="M400" s="158">
        <v>2022.0</v>
      </c>
      <c r="N400" s="157" t="s">
        <v>116</v>
      </c>
      <c r="O400" s="157" t="s">
        <v>658</v>
      </c>
      <c r="P400" s="161" t="b">
        <v>1</v>
      </c>
      <c r="Q400" s="158">
        <v>0.188</v>
      </c>
      <c r="R400" s="158">
        <v>0.1034</v>
      </c>
      <c r="S400" s="158">
        <v>0.0846</v>
      </c>
      <c r="T400" s="157" t="s">
        <v>116</v>
      </c>
      <c r="U400" s="46" t="s">
        <v>651</v>
      </c>
      <c r="V400" s="46" t="b">
        <v>1</v>
      </c>
      <c r="W400" s="46">
        <v>0.95</v>
      </c>
      <c r="X400" s="46">
        <v>0.09823</v>
      </c>
      <c r="Y400" s="46">
        <v>0.497256946817893</v>
      </c>
      <c r="Z400" s="46" t="b">
        <v>1</v>
      </c>
      <c r="AA400" s="46" t="b">
        <v>1</v>
      </c>
    </row>
    <row r="401">
      <c r="A401" s="157" t="s">
        <v>561</v>
      </c>
      <c r="B401" s="158">
        <v>1.0</v>
      </c>
      <c r="C401" s="157" t="s">
        <v>642</v>
      </c>
      <c r="D401" s="157" t="s">
        <v>643</v>
      </c>
      <c r="E401" s="157" t="s">
        <v>644</v>
      </c>
      <c r="F401" s="157" t="s">
        <v>1489</v>
      </c>
      <c r="G401" s="157" t="s">
        <v>1490</v>
      </c>
      <c r="H401" s="157"/>
      <c r="I401" s="158">
        <v>-6.861228</v>
      </c>
      <c r="J401" s="158">
        <v>37.310089</v>
      </c>
      <c r="K401" s="157" t="s">
        <v>1491</v>
      </c>
      <c r="L401" s="157" t="s">
        <v>648</v>
      </c>
      <c r="M401" s="158">
        <v>2022.0</v>
      </c>
      <c r="N401" s="157" t="s">
        <v>649</v>
      </c>
      <c r="O401" s="157" t="s">
        <v>650</v>
      </c>
      <c r="P401" s="161" t="b">
        <v>0</v>
      </c>
      <c r="Q401" s="158">
        <v>1.41</v>
      </c>
      <c r="R401" s="158">
        <v>0.10226222</v>
      </c>
      <c r="S401" s="158">
        <v>1.30773778</v>
      </c>
      <c r="T401" s="157" t="s">
        <v>594</v>
      </c>
      <c r="U401" s="46" t="s">
        <v>651</v>
      </c>
      <c r="V401" s="46" t="b">
        <v>1</v>
      </c>
      <c r="W401" s="46">
        <v>0.95</v>
      </c>
      <c r="X401" s="46">
        <v>0.097149109</v>
      </c>
      <c r="Y401" s="46" t="s">
        <v>640</v>
      </c>
      <c r="Z401" s="46" t="b">
        <v>0</v>
      </c>
      <c r="AA401" s="46" t="b">
        <v>0</v>
      </c>
    </row>
    <row r="402">
      <c r="A402" s="157" t="s">
        <v>561</v>
      </c>
      <c r="B402" s="158">
        <v>6.0</v>
      </c>
      <c r="C402" s="157" t="s">
        <v>659</v>
      </c>
      <c r="D402" s="157" t="s">
        <v>717</v>
      </c>
      <c r="E402" s="157" t="s">
        <v>718</v>
      </c>
      <c r="F402" s="157" t="s">
        <v>1492</v>
      </c>
      <c r="G402" s="157" t="s">
        <v>1493</v>
      </c>
      <c r="H402" s="157"/>
      <c r="I402" s="158">
        <v>-1.28274</v>
      </c>
      <c r="J402" s="158">
        <v>42.591005</v>
      </c>
      <c r="K402" s="157" t="s">
        <v>1494</v>
      </c>
      <c r="L402" s="157" t="s">
        <v>648</v>
      </c>
      <c r="M402" s="158">
        <v>2022.0</v>
      </c>
      <c r="N402" s="157" t="s">
        <v>123</v>
      </c>
      <c r="O402" s="157" t="s">
        <v>722</v>
      </c>
      <c r="P402" s="161" t="b">
        <v>1</v>
      </c>
      <c r="Q402" s="158">
        <v>0.234</v>
      </c>
      <c r="R402" s="158">
        <v>0.101250876</v>
      </c>
      <c r="S402" s="158">
        <v>0.132749124</v>
      </c>
      <c r="T402" s="157" t="s">
        <v>123</v>
      </c>
      <c r="U402" s="46" t="s">
        <v>651</v>
      </c>
      <c r="V402" s="46" t="b">
        <v>1</v>
      </c>
      <c r="W402" s="46">
        <v>0.95</v>
      </c>
      <c r="X402" s="46">
        <v>0.0961883322</v>
      </c>
      <c r="Y402" s="46">
        <v>103.554355652693</v>
      </c>
      <c r="Z402" s="46" t="b">
        <v>0</v>
      </c>
      <c r="AA402" s="46" t="b">
        <v>0</v>
      </c>
    </row>
    <row r="403">
      <c r="A403" s="157" t="s">
        <v>559</v>
      </c>
      <c r="B403" s="158">
        <v>1.0</v>
      </c>
      <c r="C403" s="157" t="s">
        <v>642</v>
      </c>
      <c r="D403" s="157" t="s">
        <v>643</v>
      </c>
      <c r="E403" s="157" t="s">
        <v>644</v>
      </c>
      <c r="F403" s="157" t="s">
        <v>1495</v>
      </c>
      <c r="G403" s="157" t="s">
        <v>1496</v>
      </c>
      <c r="H403" s="157"/>
      <c r="I403" s="158">
        <v>16.6566</v>
      </c>
      <c r="J403" s="158">
        <v>38.875</v>
      </c>
      <c r="K403" s="157" t="s">
        <v>1497</v>
      </c>
      <c r="L403" s="157" t="s">
        <v>648</v>
      </c>
      <c r="M403" s="158">
        <v>2022.0</v>
      </c>
      <c r="N403" s="157" t="s">
        <v>649</v>
      </c>
      <c r="O403" s="157" t="s">
        <v>650</v>
      </c>
      <c r="P403" s="161" t="b">
        <v>0</v>
      </c>
      <c r="Q403" s="158">
        <v>1.392859</v>
      </c>
      <c r="R403" s="158">
        <v>0.101019045</v>
      </c>
      <c r="S403" s="158">
        <v>1.291839955</v>
      </c>
      <c r="T403" s="157" t="s">
        <v>594</v>
      </c>
      <c r="U403" s="46" t="s">
        <v>651</v>
      </c>
      <c r="V403" s="46" t="b">
        <v>1</v>
      </c>
      <c r="W403" s="46">
        <v>0.95</v>
      </c>
      <c r="X403" s="46">
        <v>0.09596809275</v>
      </c>
      <c r="Y403" s="46" t="s">
        <v>640</v>
      </c>
      <c r="Z403" s="46" t="b">
        <v>0</v>
      </c>
      <c r="AA403" s="46" t="b">
        <v>0</v>
      </c>
    </row>
    <row r="404">
      <c r="A404" s="157" t="s">
        <v>559</v>
      </c>
      <c r="B404" s="158">
        <v>1.0</v>
      </c>
      <c r="C404" s="157" t="s">
        <v>642</v>
      </c>
      <c r="D404" s="157" t="s">
        <v>643</v>
      </c>
      <c r="E404" s="157" t="s">
        <v>644</v>
      </c>
      <c r="F404" s="157" t="s">
        <v>1498</v>
      </c>
      <c r="G404" s="157" t="s">
        <v>1499</v>
      </c>
      <c r="H404" s="157"/>
      <c r="I404" s="158">
        <v>8.4008</v>
      </c>
      <c r="J404" s="158">
        <v>39.1962</v>
      </c>
      <c r="K404" s="157" t="s">
        <v>1500</v>
      </c>
      <c r="L404" s="157" t="s">
        <v>648</v>
      </c>
      <c r="M404" s="158">
        <v>2022.0</v>
      </c>
      <c r="N404" s="157" t="s">
        <v>649</v>
      </c>
      <c r="O404" s="157" t="s">
        <v>650</v>
      </c>
      <c r="P404" s="161" t="b">
        <v>0</v>
      </c>
      <c r="Q404" s="158">
        <v>1.389885</v>
      </c>
      <c r="R404" s="158">
        <v>0.100803351</v>
      </c>
      <c r="S404" s="158">
        <v>1.289081649</v>
      </c>
      <c r="T404" s="157" t="s">
        <v>594</v>
      </c>
      <c r="U404" s="46" t="s">
        <v>651</v>
      </c>
      <c r="V404" s="46" t="b">
        <v>1</v>
      </c>
      <c r="W404" s="46">
        <v>0.95</v>
      </c>
      <c r="X404" s="46">
        <v>0.09576318345</v>
      </c>
      <c r="Y404" s="46" t="s">
        <v>640</v>
      </c>
      <c r="Z404" s="46" t="b">
        <v>0</v>
      </c>
      <c r="AA404" s="46" t="b">
        <v>0</v>
      </c>
    </row>
    <row r="405">
      <c r="A405" s="157" t="s">
        <v>555</v>
      </c>
      <c r="B405" s="158">
        <v>1.0</v>
      </c>
      <c r="C405" s="157" t="s">
        <v>642</v>
      </c>
      <c r="D405" s="157" t="s">
        <v>643</v>
      </c>
      <c r="E405" s="157" t="s">
        <v>644</v>
      </c>
      <c r="F405" s="162" t="s">
        <v>1501</v>
      </c>
      <c r="G405" s="157" t="s">
        <v>1502</v>
      </c>
      <c r="H405" s="157"/>
      <c r="I405" s="158">
        <v>23.58147</v>
      </c>
      <c r="J405" s="158">
        <v>60.7877</v>
      </c>
      <c r="K405" s="157" t="s">
        <v>1503</v>
      </c>
      <c r="L405" s="157" t="s">
        <v>648</v>
      </c>
      <c r="M405" s="158">
        <v>2022.0</v>
      </c>
      <c r="N405" s="157" t="s">
        <v>649</v>
      </c>
      <c r="O405" s="157" t="s">
        <v>650</v>
      </c>
      <c r="P405" s="161" t="b">
        <v>0</v>
      </c>
      <c r="Q405" s="158">
        <v>0.101</v>
      </c>
      <c r="R405" s="158">
        <v>0.100431</v>
      </c>
      <c r="S405" s="158">
        <v>5.69E-4</v>
      </c>
      <c r="T405" s="157" t="s">
        <v>117</v>
      </c>
      <c r="U405" s="46" t="s">
        <v>651</v>
      </c>
      <c r="V405" s="46" t="b">
        <v>1</v>
      </c>
      <c r="W405" s="46">
        <v>0.95</v>
      </c>
      <c r="X405" s="46">
        <v>0.09540945</v>
      </c>
      <c r="Y405" s="46" t="s">
        <v>640</v>
      </c>
      <c r="Z405" s="46" t="b">
        <v>0</v>
      </c>
      <c r="AA405" s="46" t="b">
        <v>0</v>
      </c>
    </row>
    <row r="406">
      <c r="A406" s="157" t="s">
        <v>554</v>
      </c>
      <c r="B406" s="158">
        <v>6.0</v>
      </c>
      <c r="C406" s="157" t="s">
        <v>659</v>
      </c>
      <c r="D406" s="157" t="s">
        <v>660</v>
      </c>
      <c r="E406" s="157" t="s">
        <v>661</v>
      </c>
      <c r="F406" s="157" t="s">
        <v>1504</v>
      </c>
      <c r="G406" s="157" t="s">
        <v>1505</v>
      </c>
      <c r="H406" s="157"/>
      <c r="I406" s="158">
        <v>15.42088</v>
      </c>
      <c r="J406" s="158">
        <v>60.52322</v>
      </c>
      <c r="K406" s="157" t="s">
        <v>1506</v>
      </c>
      <c r="L406" s="157" t="s">
        <v>648</v>
      </c>
      <c r="M406" s="158">
        <v>2022.0</v>
      </c>
      <c r="N406" s="157" t="s">
        <v>123</v>
      </c>
      <c r="O406" s="157" t="s">
        <v>665</v>
      </c>
      <c r="P406" s="161" t="b">
        <v>1</v>
      </c>
      <c r="Q406" s="158">
        <v>0.105</v>
      </c>
      <c r="R406" s="158">
        <v>0.1004</v>
      </c>
      <c r="S406" s="158">
        <v>0.0046</v>
      </c>
      <c r="T406" s="157" t="s">
        <v>123</v>
      </c>
      <c r="U406" s="46" t="s">
        <v>651</v>
      </c>
      <c r="V406" s="46" t="b">
        <v>1</v>
      </c>
      <c r="W406" s="46">
        <v>0.95</v>
      </c>
      <c r="X406" s="46">
        <v>0.0953799999999999</v>
      </c>
      <c r="Y406" s="46" t="s">
        <v>640</v>
      </c>
      <c r="Z406" s="46" t="b">
        <v>0</v>
      </c>
      <c r="AA406" s="46" t="b">
        <v>0</v>
      </c>
    </row>
    <row r="407">
      <c r="A407" s="157" t="s">
        <v>555</v>
      </c>
      <c r="B407" s="158">
        <v>1.0</v>
      </c>
      <c r="C407" s="157" t="s">
        <v>642</v>
      </c>
      <c r="D407" s="157" t="s">
        <v>643</v>
      </c>
      <c r="E407" s="157" t="s">
        <v>644</v>
      </c>
      <c r="F407" s="162" t="s">
        <v>1507</v>
      </c>
      <c r="G407" s="157" t="s">
        <v>1508</v>
      </c>
      <c r="H407" s="157"/>
      <c r="I407" s="158">
        <v>25.83929</v>
      </c>
      <c r="J407" s="158">
        <v>62.57335</v>
      </c>
      <c r="K407" s="157" t="s">
        <v>664</v>
      </c>
      <c r="L407" s="157" t="s">
        <v>648</v>
      </c>
      <c r="M407" s="158">
        <v>2022.0</v>
      </c>
      <c r="N407" s="157" t="s">
        <v>649</v>
      </c>
      <c r="O407" s="157" t="s">
        <v>650</v>
      </c>
      <c r="P407" s="161" t="b">
        <v>0</v>
      </c>
      <c r="Q407" s="158">
        <v>0.101</v>
      </c>
      <c r="R407" s="158">
        <v>0.100353</v>
      </c>
      <c r="S407" s="158">
        <v>6.47E-4</v>
      </c>
      <c r="T407" s="157" t="s">
        <v>117</v>
      </c>
      <c r="U407" s="46" t="s">
        <v>651</v>
      </c>
      <c r="V407" s="46" t="b">
        <v>1</v>
      </c>
      <c r="W407" s="46">
        <v>0.95</v>
      </c>
      <c r="X407" s="46">
        <v>0.09533535</v>
      </c>
      <c r="Y407" s="46" t="s">
        <v>640</v>
      </c>
      <c r="Z407" s="46" t="b">
        <v>0</v>
      </c>
      <c r="AA407" s="46" t="b">
        <v>0</v>
      </c>
    </row>
    <row r="408">
      <c r="A408" s="157" t="s">
        <v>557</v>
      </c>
      <c r="B408" s="158">
        <v>3.0</v>
      </c>
      <c r="C408" s="157" t="s">
        <v>1215</v>
      </c>
      <c r="D408" s="157" t="s">
        <v>1371</v>
      </c>
      <c r="E408" s="157" t="s">
        <v>1372</v>
      </c>
      <c r="F408" s="162" t="s">
        <v>1509</v>
      </c>
      <c r="G408" s="157" t="s">
        <v>1510</v>
      </c>
      <c r="H408" s="157"/>
      <c r="I408" s="158">
        <v>10.4835682679806</v>
      </c>
      <c r="J408" s="158">
        <v>51.3627597328411</v>
      </c>
      <c r="K408" s="157" t="s">
        <v>1511</v>
      </c>
      <c r="L408" s="157" t="s">
        <v>648</v>
      </c>
      <c r="M408" s="158">
        <v>2022.0</v>
      </c>
      <c r="N408" s="157" t="s">
        <v>114</v>
      </c>
      <c r="O408" s="157" t="s">
        <v>1376</v>
      </c>
      <c r="P408" s="161" t="b">
        <v>1</v>
      </c>
      <c r="Q408" s="158">
        <v>1.14</v>
      </c>
      <c r="R408" s="158">
        <v>0.1</v>
      </c>
      <c r="S408" s="158">
        <v>1.04</v>
      </c>
      <c r="T408" s="157" t="s">
        <v>114</v>
      </c>
      <c r="U408" s="46" t="s">
        <v>651</v>
      </c>
      <c r="V408" s="46" t="b">
        <v>1</v>
      </c>
      <c r="W408" s="46">
        <v>0.95</v>
      </c>
      <c r="X408" s="46">
        <v>0.095</v>
      </c>
      <c r="Y408" s="46">
        <v>66.367628036455</v>
      </c>
      <c r="Z408" s="46" t="b">
        <v>0</v>
      </c>
      <c r="AA408" s="46" t="b">
        <v>1</v>
      </c>
    </row>
    <row r="409">
      <c r="A409" s="157" t="s">
        <v>555</v>
      </c>
      <c r="B409" s="158">
        <v>1.0</v>
      </c>
      <c r="C409" s="157" t="s">
        <v>642</v>
      </c>
      <c r="D409" s="157" t="s">
        <v>643</v>
      </c>
      <c r="E409" s="157" t="s">
        <v>644</v>
      </c>
      <c r="F409" s="162" t="s">
        <v>1512</v>
      </c>
      <c r="G409" s="157" t="s">
        <v>1513</v>
      </c>
      <c r="H409" s="157"/>
      <c r="I409" s="158">
        <v>22.7037</v>
      </c>
      <c r="J409" s="158">
        <v>63.7046</v>
      </c>
      <c r="K409" s="157" t="s">
        <v>1514</v>
      </c>
      <c r="L409" s="157" t="s">
        <v>648</v>
      </c>
      <c r="M409" s="158">
        <v>2022.0</v>
      </c>
      <c r="N409" s="157" t="s">
        <v>649</v>
      </c>
      <c r="O409" s="157" t="s">
        <v>650</v>
      </c>
      <c r="P409" s="161" t="b">
        <v>0</v>
      </c>
      <c r="Q409" s="158">
        <v>0.614</v>
      </c>
      <c r="R409" s="158">
        <v>0.1</v>
      </c>
      <c r="S409" s="158">
        <v>0.514</v>
      </c>
      <c r="T409" s="157" t="s">
        <v>117</v>
      </c>
      <c r="U409" s="46" t="s">
        <v>651</v>
      </c>
      <c r="V409" s="46" t="b">
        <v>1</v>
      </c>
      <c r="W409" s="46">
        <v>0.95</v>
      </c>
      <c r="X409" s="46">
        <v>0.095</v>
      </c>
      <c r="Y409" s="46" t="s">
        <v>640</v>
      </c>
      <c r="Z409" s="46" t="b">
        <v>0</v>
      </c>
      <c r="AA409" s="46" t="b">
        <v>0</v>
      </c>
    </row>
    <row r="410">
      <c r="A410" s="157" t="s">
        <v>556</v>
      </c>
      <c r="B410" s="158">
        <v>6.0</v>
      </c>
      <c r="C410" s="157" t="s">
        <v>659</v>
      </c>
      <c r="D410" s="157" t="s">
        <v>717</v>
      </c>
      <c r="E410" s="157" t="s">
        <v>718</v>
      </c>
      <c r="F410" s="157" t="s">
        <v>1515</v>
      </c>
      <c r="G410" s="157" t="s">
        <v>1516</v>
      </c>
      <c r="H410" s="157"/>
      <c r="I410" s="158">
        <v>6.41959</v>
      </c>
      <c r="J410" s="158">
        <v>48.21104</v>
      </c>
      <c r="K410" s="157" t="s">
        <v>1517</v>
      </c>
      <c r="L410" s="157" t="s">
        <v>648</v>
      </c>
      <c r="M410" s="158">
        <v>2022.0</v>
      </c>
      <c r="N410" s="157" t="s">
        <v>123</v>
      </c>
      <c r="O410" s="157" t="s">
        <v>722</v>
      </c>
      <c r="P410" s="161" t="b">
        <v>1</v>
      </c>
      <c r="Q410" s="158">
        <v>0.229</v>
      </c>
      <c r="R410" s="158">
        <v>0.099087395</v>
      </c>
      <c r="S410" s="158">
        <v>0.129912605</v>
      </c>
      <c r="T410" s="157" t="s">
        <v>123</v>
      </c>
      <c r="U410" s="46" t="s">
        <v>651</v>
      </c>
      <c r="V410" s="46" t="b">
        <v>1</v>
      </c>
      <c r="W410" s="46">
        <v>0.95</v>
      </c>
      <c r="X410" s="46">
        <v>0.0941330252499999</v>
      </c>
      <c r="Y410" s="46">
        <v>108.29156321734</v>
      </c>
      <c r="Z410" s="46" t="b">
        <v>0</v>
      </c>
      <c r="AA410" s="46" t="b">
        <v>0</v>
      </c>
    </row>
    <row r="411">
      <c r="A411" s="157" t="s">
        <v>556</v>
      </c>
      <c r="B411" s="158">
        <v>5.0</v>
      </c>
      <c r="C411" s="157" t="s">
        <v>652</v>
      </c>
      <c r="D411" s="157" t="s">
        <v>653</v>
      </c>
      <c r="E411" s="157" t="s">
        <v>654</v>
      </c>
      <c r="F411" s="157" t="s">
        <v>1518</v>
      </c>
      <c r="G411" s="157" t="s">
        <v>1519</v>
      </c>
      <c r="H411" s="157"/>
      <c r="I411" s="158">
        <v>5.88936</v>
      </c>
      <c r="J411" s="158">
        <v>43.1256</v>
      </c>
      <c r="K411" s="157" t="s">
        <v>1520</v>
      </c>
      <c r="L411" s="157" t="s">
        <v>648</v>
      </c>
      <c r="M411" s="158">
        <v>2022.0</v>
      </c>
      <c r="N411" s="157" t="s">
        <v>116</v>
      </c>
      <c r="O411" s="157" t="s">
        <v>658</v>
      </c>
      <c r="P411" s="161" t="b">
        <v>1</v>
      </c>
      <c r="Q411" s="158">
        <v>0.18</v>
      </c>
      <c r="R411" s="158">
        <v>0.099</v>
      </c>
      <c r="S411" s="158">
        <v>0.081</v>
      </c>
      <c r="T411" s="157" t="s">
        <v>116</v>
      </c>
      <c r="U411" s="46" t="s">
        <v>651</v>
      </c>
      <c r="V411" s="46" t="b">
        <v>1</v>
      </c>
      <c r="W411" s="46">
        <v>0.95</v>
      </c>
      <c r="X411" s="46">
        <v>0.09405</v>
      </c>
      <c r="Y411" s="46">
        <v>104.207554232254</v>
      </c>
      <c r="Z411" s="46" t="b">
        <v>0</v>
      </c>
      <c r="AA411" s="46" t="b">
        <v>0</v>
      </c>
    </row>
    <row r="412">
      <c r="A412" s="157" t="s">
        <v>561</v>
      </c>
      <c r="B412" s="158">
        <v>1.0</v>
      </c>
      <c r="C412" s="157" t="s">
        <v>642</v>
      </c>
      <c r="D412" s="157" t="s">
        <v>643</v>
      </c>
      <c r="E412" s="157" t="s">
        <v>644</v>
      </c>
      <c r="F412" s="157" t="s">
        <v>1521</v>
      </c>
      <c r="G412" s="157" t="s">
        <v>1522</v>
      </c>
      <c r="H412" s="157"/>
      <c r="I412" s="158">
        <v>-0.279673</v>
      </c>
      <c r="J412" s="158">
        <v>39.677606</v>
      </c>
      <c r="K412" s="157" t="s">
        <v>1523</v>
      </c>
      <c r="L412" s="157" t="s">
        <v>648</v>
      </c>
      <c r="M412" s="158">
        <v>2022.0</v>
      </c>
      <c r="N412" s="157" t="s">
        <v>649</v>
      </c>
      <c r="O412" s="157" t="s">
        <v>650</v>
      </c>
      <c r="P412" s="161" t="b">
        <v>0</v>
      </c>
      <c r="Q412" s="158">
        <v>1.36</v>
      </c>
      <c r="R412" s="158">
        <v>0.0986359</v>
      </c>
      <c r="S412" s="158">
        <v>1.2613641</v>
      </c>
      <c r="T412" s="157" t="s">
        <v>594</v>
      </c>
      <c r="U412" s="46" t="s">
        <v>651</v>
      </c>
      <c r="V412" s="46" t="b">
        <v>1</v>
      </c>
      <c r="W412" s="46">
        <v>0.95</v>
      </c>
      <c r="X412" s="46">
        <v>0.093704105</v>
      </c>
      <c r="Y412" s="46" t="s">
        <v>640</v>
      </c>
      <c r="Z412" s="46" t="b">
        <v>0</v>
      </c>
      <c r="AA412" s="46" t="b">
        <v>0</v>
      </c>
    </row>
    <row r="413">
      <c r="A413" s="157" t="s">
        <v>554</v>
      </c>
      <c r="B413" s="158">
        <v>1.0</v>
      </c>
      <c r="C413" s="157" t="s">
        <v>642</v>
      </c>
      <c r="D413" s="157" t="s">
        <v>643</v>
      </c>
      <c r="E413" s="157" t="s">
        <v>644</v>
      </c>
      <c r="F413" s="157" t="s">
        <v>1524</v>
      </c>
      <c r="G413" s="157" t="s">
        <v>1525</v>
      </c>
      <c r="H413" s="157"/>
      <c r="I413" s="158">
        <v>13.38407</v>
      </c>
      <c r="J413" s="158">
        <v>56.12483</v>
      </c>
      <c r="K413" s="157" t="s">
        <v>1526</v>
      </c>
      <c r="L413" s="157" t="s">
        <v>648</v>
      </c>
      <c r="M413" s="158">
        <v>2022.0</v>
      </c>
      <c r="N413" s="157" t="s">
        <v>649</v>
      </c>
      <c r="O413" s="157" t="s">
        <v>650</v>
      </c>
      <c r="P413" s="161" t="b">
        <v>0</v>
      </c>
      <c r="Q413" s="158">
        <v>0.116</v>
      </c>
      <c r="R413" s="158">
        <v>0.0986</v>
      </c>
      <c r="S413" s="158">
        <v>0.0174</v>
      </c>
      <c r="T413" s="157" t="s">
        <v>117</v>
      </c>
      <c r="U413" s="46" t="s">
        <v>651</v>
      </c>
      <c r="V413" s="46" t="b">
        <v>1</v>
      </c>
      <c r="W413" s="46">
        <v>0.95</v>
      </c>
      <c r="X413" s="46">
        <v>0.0936699999999999</v>
      </c>
      <c r="Y413" s="46">
        <v>67.7241817816782</v>
      </c>
      <c r="Z413" s="46" t="b">
        <v>0</v>
      </c>
      <c r="AA413" s="46" t="b">
        <v>1</v>
      </c>
    </row>
    <row r="414">
      <c r="A414" s="157" t="s">
        <v>568</v>
      </c>
      <c r="B414" s="158">
        <v>5.0</v>
      </c>
      <c r="C414" s="157" t="s">
        <v>652</v>
      </c>
      <c r="D414" s="157" t="s">
        <v>653</v>
      </c>
      <c r="E414" s="157" t="s">
        <v>654</v>
      </c>
      <c r="F414" s="157" t="s">
        <v>1527</v>
      </c>
      <c r="G414" s="157" t="s">
        <v>1528</v>
      </c>
      <c r="H414" s="157"/>
      <c r="I414" s="158">
        <v>10.1580121341436</v>
      </c>
      <c r="J414" s="158">
        <v>56.2276273295549</v>
      </c>
      <c r="K414" s="157" t="s">
        <v>1529</v>
      </c>
      <c r="L414" s="157" t="s">
        <v>648</v>
      </c>
      <c r="M414" s="158">
        <v>2022.0</v>
      </c>
      <c r="N414" s="157" t="s">
        <v>116</v>
      </c>
      <c r="O414" s="157" t="s">
        <v>658</v>
      </c>
      <c r="P414" s="161" t="b">
        <v>1</v>
      </c>
      <c r="Q414" s="158">
        <v>0.216672</v>
      </c>
      <c r="R414" s="158">
        <v>0.098178</v>
      </c>
      <c r="S414" s="158">
        <v>0.118494</v>
      </c>
      <c r="T414" s="157" t="s">
        <v>116</v>
      </c>
      <c r="U414" s="46" t="s">
        <v>651</v>
      </c>
      <c r="V414" s="46" t="b">
        <v>1</v>
      </c>
      <c r="W414" s="46">
        <v>0.95</v>
      </c>
      <c r="X414" s="46">
        <v>0.0932691</v>
      </c>
      <c r="Y414" s="46">
        <v>29.9686016920282</v>
      </c>
      <c r="Z414" s="46" t="b">
        <v>1</v>
      </c>
      <c r="AA414" s="46" t="b">
        <v>1</v>
      </c>
    </row>
    <row r="415">
      <c r="A415" s="157" t="s">
        <v>559</v>
      </c>
      <c r="B415" s="158">
        <v>1.0</v>
      </c>
      <c r="C415" s="157" t="s">
        <v>642</v>
      </c>
      <c r="D415" s="157" t="s">
        <v>643</v>
      </c>
      <c r="E415" s="157" t="s">
        <v>644</v>
      </c>
      <c r="F415" s="157" t="s">
        <v>1530</v>
      </c>
      <c r="G415" s="157" t="s">
        <v>1531</v>
      </c>
      <c r="H415" s="157"/>
      <c r="I415" s="158">
        <v>13.7483</v>
      </c>
      <c r="J415" s="158">
        <v>37.9691</v>
      </c>
      <c r="K415" s="157" t="s">
        <v>1532</v>
      </c>
      <c r="L415" s="157" t="s">
        <v>648</v>
      </c>
      <c r="M415" s="158">
        <v>2022.0</v>
      </c>
      <c r="N415" s="157" t="s">
        <v>649</v>
      </c>
      <c r="O415" s="157" t="s">
        <v>650</v>
      </c>
      <c r="P415" s="161" t="b">
        <v>0</v>
      </c>
      <c r="Q415" s="158">
        <v>1.327576215</v>
      </c>
      <c r="R415" s="158">
        <v>0.09628432</v>
      </c>
      <c r="S415" s="158">
        <v>1.231291895</v>
      </c>
      <c r="T415" s="157" t="s">
        <v>594</v>
      </c>
      <c r="U415" s="46" t="s">
        <v>651</v>
      </c>
      <c r="V415" s="46" t="b">
        <v>1</v>
      </c>
      <c r="W415" s="46">
        <v>0.95</v>
      </c>
      <c r="X415" s="46">
        <v>0.091470104</v>
      </c>
      <c r="Y415" s="46" t="s">
        <v>640</v>
      </c>
      <c r="Z415" s="46" t="b">
        <v>0</v>
      </c>
      <c r="AA415" s="46" t="b">
        <v>0</v>
      </c>
    </row>
    <row r="416">
      <c r="A416" s="157" t="s">
        <v>557</v>
      </c>
      <c r="B416" s="158">
        <v>5.0</v>
      </c>
      <c r="C416" s="157" t="s">
        <v>652</v>
      </c>
      <c r="D416" s="157" t="s">
        <v>895</v>
      </c>
      <c r="E416" s="157" t="s">
        <v>896</v>
      </c>
      <c r="F416" s="162" t="s">
        <v>1533</v>
      </c>
      <c r="G416" s="157" t="s">
        <v>1534</v>
      </c>
      <c r="H416" s="157"/>
      <c r="I416" s="158">
        <v>7.46506019202167</v>
      </c>
      <c r="J416" s="158">
        <v>51.6111982803914</v>
      </c>
      <c r="K416" s="157" t="s">
        <v>1535</v>
      </c>
      <c r="L416" s="157" t="s">
        <v>648</v>
      </c>
      <c r="M416" s="158">
        <v>2022.0</v>
      </c>
      <c r="N416" s="157" t="s">
        <v>116</v>
      </c>
      <c r="O416" s="157" t="s">
        <v>900</v>
      </c>
      <c r="P416" s="161" t="b">
        <v>1</v>
      </c>
      <c r="Q416" s="158">
        <v>0.114</v>
      </c>
      <c r="R416" s="158">
        <v>0.0961</v>
      </c>
      <c r="S416" s="158">
        <v>0.0179</v>
      </c>
      <c r="T416" s="157" t="s">
        <v>116</v>
      </c>
      <c r="U416" s="46" t="s">
        <v>651</v>
      </c>
      <c r="V416" s="46" t="b">
        <v>1</v>
      </c>
      <c r="W416" s="46">
        <v>0.95</v>
      </c>
      <c r="X416" s="46">
        <v>0.091295</v>
      </c>
      <c r="Y416" s="164">
        <v>2.4092498712259E-7</v>
      </c>
      <c r="Z416" s="46" t="b">
        <v>1</v>
      </c>
      <c r="AA416" s="46" t="b">
        <v>1</v>
      </c>
    </row>
    <row r="417">
      <c r="A417" s="157" t="s">
        <v>564</v>
      </c>
      <c r="B417" s="158">
        <v>5.0</v>
      </c>
      <c r="C417" s="157" t="s">
        <v>652</v>
      </c>
      <c r="D417" s="157" t="s">
        <v>653</v>
      </c>
      <c r="E417" s="157" t="s">
        <v>654</v>
      </c>
      <c r="F417" s="157" t="s">
        <v>1536</v>
      </c>
      <c r="G417" s="157" t="s">
        <v>1537</v>
      </c>
      <c r="H417" s="157"/>
      <c r="I417" s="158">
        <v>6.96</v>
      </c>
      <c r="J417" s="158">
        <v>46.2781</v>
      </c>
      <c r="K417" s="157" t="s">
        <v>1538</v>
      </c>
      <c r="L417" s="157" t="s">
        <v>648</v>
      </c>
      <c r="M417" s="158">
        <v>2021.0</v>
      </c>
      <c r="N417" s="157" t="s">
        <v>116</v>
      </c>
      <c r="O417" s="157" t="s">
        <v>658</v>
      </c>
      <c r="P417" s="161" t="b">
        <v>1</v>
      </c>
      <c r="Q417" s="158">
        <v>0.174</v>
      </c>
      <c r="R417" s="158">
        <v>0.0957</v>
      </c>
      <c r="S417" s="158">
        <v>0.0783</v>
      </c>
      <c r="T417" s="157" t="s">
        <v>116</v>
      </c>
      <c r="U417" s="46" t="s">
        <v>651</v>
      </c>
      <c r="V417" s="46" t="b">
        <v>1</v>
      </c>
      <c r="W417" s="46">
        <v>0.95</v>
      </c>
      <c r="X417" s="46">
        <v>0.090915</v>
      </c>
      <c r="Y417" s="46">
        <v>136.522989243992</v>
      </c>
      <c r="Z417" s="46" t="b">
        <v>0</v>
      </c>
      <c r="AA417" s="46" t="b">
        <v>0</v>
      </c>
    </row>
    <row r="418">
      <c r="A418" s="157" t="s">
        <v>561</v>
      </c>
      <c r="B418" s="158">
        <v>6.0</v>
      </c>
      <c r="C418" s="157" t="s">
        <v>659</v>
      </c>
      <c r="D418" s="157" t="s">
        <v>660</v>
      </c>
      <c r="E418" s="157" t="s">
        <v>661</v>
      </c>
      <c r="F418" s="157" t="s">
        <v>1539</v>
      </c>
      <c r="G418" s="157" t="s">
        <v>1540</v>
      </c>
      <c r="H418" s="157"/>
      <c r="I418" s="158">
        <v>-0.825523</v>
      </c>
      <c r="J418" s="158">
        <v>41.693825</v>
      </c>
      <c r="K418" s="157" t="s">
        <v>1541</v>
      </c>
      <c r="L418" s="157" t="s">
        <v>648</v>
      </c>
      <c r="M418" s="158">
        <v>2022.0</v>
      </c>
      <c r="N418" s="157" t="s">
        <v>123</v>
      </c>
      <c r="O418" s="157" t="s">
        <v>665</v>
      </c>
      <c r="P418" s="161" t="b">
        <v>1</v>
      </c>
      <c r="Q418" s="158">
        <v>0.102</v>
      </c>
      <c r="R418" s="158">
        <v>0.095552823</v>
      </c>
      <c r="S418" s="158">
        <v>0.006447177</v>
      </c>
      <c r="T418" s="157" t="s">
        <v>123</v>
      </c>
      <c r="U418" s="46" t="s">
        <v>651</v>
      </c>
      <c r="V418" s="46" t="b">
        <v>1</v>
      </c>
      <c r="W418" s="46">
        <v>0.95</v>
      </c>
      <c r="X418" s="46">
        <v>0.09077518185</v>
      </c>
      <c r="Y418" s="46" t="s">
        <v>640</v>
      </c>
      <c r="Z418" s="46" t="b">
        <v>0</v>
      </c>
      <c r="AA418" s="46" t="b">
        <v>0</v>
      </c>
    </row>
    <row r="419">
      <c r="A419" s="157" t="s">
        <v>565</v>
      </c>
      <c r="B419" s="158">
        <v>3.0</v>
      </c>
      <c r="C419" s="157" t="s">
        <v>1215</v>
      </c>
      <c r="D419" s="157" t="s">
        <v>1371</v>
      </c>
      <c r="E419" s="157" t="s">
        <v>1372</v>
      </c>
      <c r="F419" s="157" t="s">
        <v>1542</v>
      </c>
      <c r="G419" s="157" t="s">
        <v>1543</v>
      </c>
      <c r="H419" s="157"/>
      <c r="I419" s="158">
        <v>17.76095556</v>
      </c>
      <c r="J419" s="158">
        <v>49.56116667</v>
      </c>
      <c r="K419" s="157" t="s">
        <v>1544</v>
      </c>
      <c r="L419" s="157" t="s">
        <v>648</v>
      </c>
      <c r="M419" s="158">
        <v>2020.0</v>
      </c>
      <c r="N419" s="157" t="s">
        <v>114</v>
      </c>
      <c r="O419" s="157" t="s">
        <v>1376</v>
      </c>
      <c r="P419" s="161" t="b">
        <v>1</v>
      </c>
      <c r="Q419" s="158">
        <v>0.639442</v>
      </c>
      <c r="R419" s="158">
        <v>0.095094</v>
      </c>
      <c r="S419" s="158">
        <v>0.544348</v>
      </c>
      <c r="T419" s="157" t="s">
        <v>114</v>
      </c>
      <c r="U419" s="46" t="s">
        <v>651</v>
      </c>
      <c r="V419" s="46" t="b">
        <v>1</v>
      </c>
      <c r="W419" s="46">
        <v>0.95</v>
      </c>
      <c r="X419" s="46">
        <v>0.0903393</v>
      </c>
      <c r="Y419" s="46" t="s">
        <v>640</v>
      </c>
      <c r="Z419" s="46" t="b">
        <v>0</v>
      </c>
      <c r="AA419" s="46" t="b">
        <v>0</v>
      </c>
    </row>
    <row r="420">
      <c r="A420" s="157" t="s">
        <v>567</v>
      </c>
      <c r="B420" s="158">
        <v>3.0</v>
      </c>
      <c r="C420" s="157" t="s">
        <v>1215</v>
      </c>
      <c r="D420" s="157" t="s">
        <v>1371</v>
      </c>
      <c r="E420" s="157" t="s">
        <v>1372</v>
      </c>
      <c r="F420" s="157" t="s">
        <v>1545</v>
      </c>
      <c r="G420" s="157" t="s">
        <v>1546</v>
      </c>
      <c r="H420" s="157"/>
      <c r="I420" s="158">
        <v>9.68933</v>
      </c>
      <c r="J420" s="158">
        <v>59.06192</v>
      </c>
      <c r="K420" s="157" t="s">
        <v>1547</v>
      </c>
      <c r="L420" s="157" t="s">
        <v>648</v>
      </c>
      <c r="M420" s="158">
        <v>2017.0</v>
      </c>
      <c r="N420" s="157" t="s">
        <v>114</v>
      </c>
      <c r="O420" s="157" t="s">
        <v>1376</v>
      </c>
      <c r="P420" s="161" t="b">
        <v>1</v>
      </c>
      <c r="Q420" s="158">
        <v>0.878</v>
      </c>
      <c r="R420" s="158">
        <v>0.095</v>
      </c>
      <c r="S420" s="158">
        <v>0.783</v>
      </c>
      <c r="T420" s="157" t="s">
        <v>114</v>
      </c>
      <c r="U420" s="46" t="s">
        <v>651</v>
      </c>
      <c r="V420" s="46" t="b">
        <v>1</v>
      </c>
      <c r="W420" s="46">
        <v>0.95</v>
      </c>
      <c r="X420" s="46">
        <v>0.09025</v>
      </c>
      <c r="Y420" s="46" t="s">
        <v>640</v>
      </c>
      <c r="Z420" s="46" t="b">
        <v>0</v>
      </c>
      <c r="AA420" s="46" t="b">
        <v>0</v>
      </c>
    </row>
    <row r="421">
      <c r="A421" s="157" t="s">
        <v>561</v>
      </c>
      <c r="B421" s="158">
        <v>6.0</v>
      </c>
      <c r="C421" s="157" t="s">
        <v>659</v>
      </c>
      <c r="D421" s="157" t="s">
        <v>717</v>
      </c>
      <c r="E421" s="157" t="s">
        <v>718</v>
      </c>
      <c r="F421" s="157" t="s">
        <v>1548</v>
      </c>
      <c r="G421" s="157" t="s">
        <v>1549</v>
      </c>
      <c r="H421" s="157"/>
      <c r="I421" s="158">
        <v>-0.871259</v>
      </c>
      <c r="J421" s="158">
        <v>41.670085</v>
      </c>
      <c r="K421" s="157" t="s">
        <v>1550</v>
      </c>
      <c r="L421" s="157" t="s">
        <v>648</v>
      </c>
      <c r="M421" s="158">
        <v>2022.0</v>
      </c>
      <c r="N421" s="157" t="s">
        <v>123</v>
      </c>
      <c r="O421" s="157" t="s">
        <v>722</v>
      </c>
      <c r="P421" s="161" t="b">
        <v>1</v>
      </c>
      <c r="Q421" s="158">
        <v>0.219</v>
      </c>
      <c r="R421" s="158">
        <v>0.094760435</v>
      </c>
      <c r="S421" s="158">
        <v>0.124239565</v>
      </c>
      <c r="T421" s="157" t="s">
        <v>123</v>
      </c>
      <c r="U421" s="46" t="s">
        <v>651</v>
      </c>
      <c r="V421" s="46" t="b">
        <v>1</v>
      </c>
      <c r="W421" s="46">
        <v>0.95</v>
      </c>
      <c r="X421" s="46">
        <v>0.09002241325</v>
      </c>
      <c r="Y421" s="46" t="s">
        <v>640</v>
      </c>
      <c r="Z421" s="46" t="b">
        <v>0</v>
      </c>
      <c r="AA421" s="46" t="b">
        <v>0</v>
      </c>
    </row>
    <row r="422">
      <c r="A422" s="157" t="s">
        <v>560</v>
      </c>
      <c r="B422" s="158">
        <v>5.0</v>
      </c>
      <c r="C422" s="157" t="s">
        <v>652</v>
      </c>
      <c r="D422" s="157" t="s">
        <v>653</v>
      </c>
      <c r="E422" s="157" t="s">
        <v>654</v>
      </c>
      <c r="F422" s="157" t="s">
        <v>1551</v>
      </c>
      <c r="G422" s="157" t="s">
        <v>1138</v>
      </c>
      <c r="H422" s="157"/>
      <c r="I422" s="158">
        <v>16.289472</v>
      </c>
      <c r="J422" s="158">
        <v>48.206944</v>
      </c>
      <c r="K422" s="157" t="s">
        <v>1552</v>
      </c>
      <c r="L422" s="157" t="s">
        <v>648</v>
      </c>
      <c r="M422" s="158">
        <v>2022.0</v>
      </c>
      <c r="N422" s="157" t="s">
        <v>116</v>
      </c>
      <c r="O422" s="157" t="s">
        <v>658</v>
      </c>
      <c r="P422" s="161" t="b">
        <v>1</v>
      </c>
      <c r="Q422" s="158">
        <v>0.172</v>
      </c>
      <c r="R422" s="158">
        <v>0.0946</v>
      </c>
      <c r="S422" s="158">
        <v>0.0774</v>
      </c>
      <c r="T422" s="157" t="s">
        <v>116</v>
      </c>
      <c r="U422" s="46" t="s">
        <v>651</v>
      </c>
      <c r="V422" s="46" t="b">
        <v>1</v>
      </c>
      <c r="W422" s="46">
        <v>0.95</v>
      </c>
      <c r="X422" s="46">
        <v>0.08987</v>
      </c>
      <c r="Y422" s="46" t="s">
        <v>640</v>
      </c>
      <c r="Z422" s="46" t="b">
        <v>0</v>
      </c>
      <c r="AA422" s="46" t="b">
        <v>0</v>
      </c>
    </row>
    <row r="423">
      <c r="A423" s="157" t="s">
        <v>579</v>
      </c>
      <c r="B423" s="158">
        <v>1.0</v>
      </c>
      <c r="C423" s="157" t="s">
        <v>642</v>
      </c>
      <c r="D423" s="157" t="s">
        <v>643</v>
      </c>
      <c r="E423" s="157" t="s">
        <v>644</v>
      </c>
      <c r="F423" s="157" t="s">
        <v>1553</v>
      </c>
      <c r="G423" s="157" t="s">
        <v>1554</v>
      </c>
      <c r="H423" s="157"/>
      <c r="I423" s="158">
        <v>14.16465</v>
      </c>
      <c r="J423" s="158">
        <v>45.13794</v>
      </c>
      <c r="K423" s="157" t="s">
        <v>1555</v>
      </c>
      <c r="L423" s="157" t="s">
        <v>648</v>
      </c>
      <c r="M423" s="158">
        <v>2022.0</v>
      </c>
      <c r="N423" s="157" t="s">
        <v>649</v>
      </c>
      <c r="O423" s="157" t="s">
        <v>650</v>
      </c>
      <c r="P423" s="161" t="b">
        <v>0</v>
      </c>
      <c r="Q423" s="158">
        <v>1.3</v>
      </c>
      <c r="R423" s="158">
        <v>0.094284316</v>
      </c>
      <c r="S423" s="158">
        <v>1.205715684</v>
      </c>
      <c r="T423" s="157" t="s">
        <v>594</v>
      </c>
      <c r="U423" s="46" t="s">
        <v>651</v>
      </c>
      <c r="V423" s="46" t="b">
        <v>1</v>
      </c>
      <c r="W423" s="46">
        <v>0.95</v>
      </c>
      <c r="X423" s="46">
        <v>0.0895701002</v>
      </c>
      <c r="Y423" s="46" t="s">
        <v>640</v>
      </c>
      <c r="Z423" s="46" t="b">
        <v>0</v>
      </c>
      <c r="AA423" s="46" t="b">
        <v>0</v>
      </c>
    </row>
    <row r="424">
      <c r="A424" s="157" t="s">
        <v>554</v>
      </c>
      <c r="B424" s="158">
        <v>1.0</v>
      </c>
      <c r="C424" s="157" t="s">
        <v>642</v>
      </c>
      <c r="D424" s="157" t="s">
        <v>643</v>
      </c>
      <c r="E424" s="157" t="s">
        <v>644</v>
      </c>
      <c r="F424" s="157" t="s">
        <v>1556</v>
      </c>
      <c r="G424" s="157" t="s">
        <v>1557</v>
      </c>
      <c r="H424" s="157"/>
      <c r="I424" s="158">
        <v>21.65303</v>
      </c>
      <c r="J424" s="158">
        <v>65.82875</v>
      </c>
      <c r="K424" s="157" t="s">
        <v>1558</v>
      </c>
      <c r="L424" s="157" t="s">
        <v>648</v>
      </c>
      <c r="M424" s="158">
        <v>2022.0</v>
      </c>
      <c r="N424" s="157" t="s">
        <v>649</v>
      </c>
      <c r="O424" s="157" t="s">
        <v>650</v>
      </c>
      <c r="P424" s="161" t="b">
        <v>0</v>
      </c>
      <c r="Q424" s="158">
        <v>0.156</v>
      </c>
      <c r="R424" s="158">
        <v>0.0927</v>
      </c>
      <c r="S424" s="158">
        <v>0.0633</v>
      </c>
      <c r="T424" s="157" t="s">
        <v>117</v>
      </c>
      <c r="U424" s="46" t="s">
        <v>651</v>
      </c>
      <c r="V424" s="46" t="b">
        <v>1</v>
      </c>
      <c r="W424" s="46">
        <v>0.95</v>
      </c>
      <c r="X424" s="46">
        <v>0.088065</v>
      </c>
      <c r="Y424" s="46" t="s">
        <v>640</v>
      </c>
      <c r="Z424" s="46" t="b">
        <v>0</v>
      </c>
      <c r="AA424" s="46" t="b">
        <v>0</v>
      </c>
    </row>
    <row r="425">
      <c r="A425" s="157" t="s">
        <v>556</v>
      </c>
      <c r="B425" s="158">
        <v>5.0</v>
      </c>
      <c r="C425" s="157" t="s">
        <v>652</v>
      </c>
      <c r="D425" s="157" t="s">
        <v>653</v>
      </c>
      <c r="E425" s="157" t="s">
        <v>654</v>
      </c>
      <c r="F425" s="157" t="s">
        <v>1559</v>
      </c>
      <c r="G425" s="157" t="s">
        <v>1560</v>
      </c>
      <c r="H425" s="157"/>
      <c r="I425" s="158">
        <v>4.89285</v>
      </c>
      <c r="J425" s="158">
        <v>43.9725</v>
      </c>
      <c r="K425" s="157" t="s">
        <v>1561</v>
      </c>
      <c r="L425" s="157" t="s">
        <v>648</v>
      </c>
      <c r="M425" s="158">
        <v>2022.0</v>
      </c>
      <c r="N425" s="157" t="s">
        <v>116</v>
      </c>
      <c r="O425" s="157" t="s">
        <v>658</v>
      </c>
      <c r="P425" s="161" t="b">
        <v>1</v>
      </c>
      <c r="Q425" s="158">
        <v>0.168</v>
      </c>
      <c r="R425" s="158">
        <v>0.0924</v>
      </c>
      <c r="S425" s="158">
        <v>0.0756</v>
      </c>
      <c r="T425" s="157" t="s">
        <v>116</v>
      </c>
      <c r="U425" s="46" t="s">
        <v>651</v>
      </c>
      <c r="V425" s="46" t="b">
        <v>1</v>
      </c>
      <c r="W425" s="46">
        <v>0.95</v>
      </c>
      <c r="X425" s="46">
        <v>0.08778</v>
      </c>
      <c r="Y425" s="46">
        <v>11.7638530753292</v>
      </c>
      <c r="Z425" s="46" t="b">
        <v>1</v>
      </c>
      <c r="AA425" s="46" t="b">
        <v>1</v>
      </c>
    </row>
    <row r="426">
      <c r="A426" s="157" t="s">
        <v>561</v>
      </c>
      <c r="B426" s="158">
        <v>1.0</v>
      </c>
      <c r="C426" s="157" t="s">
        <v>642</v>
      </c>
      <c r="D426" s="157" t="s">
        <v>643</v>
      </c>
      <c r="E426" s="157" t="s">
        <v>644</v>
      </c>
      <c r="F426" s="157" t="s">
        <v>1562</v>
      </c>
      <c r="G426" s="157" t="s">
        <v>1563</v>
      </c>
      <c r="H426" s="157"/>
      <c r="I426" s="158">
        <v>-5.39</v>
      </c>
      <c r="J426" s="158">
        <v>36.18</v>
      </c>
      <c r="K426" s="157" t="s">
        <v>1564</v>
      </c>
      <c r="L426" s="157" t="s">
        <v>648</v>
      </c>
      <c r="M426" s="158">
        <v>2022.0</v>
      </c>
      <c r="N426" s="157" t="s">
        <v>649</v>
      </c>
      <c r="O426" s="157" t="s">
        <v>650</v>
      </c>
      <c r="P426" s="161" t="b">
        <v>0</v>
      </c>
      <c r="Q426" s="158">
        <v>1.27</v>
      </c>
      <c r="R426" s="158">
        <v>0.092108524</v>
      </c>
      <c r="S426" s="158">
        <v>1.177891476</v>
      </c>
      <c r="T426" s="157" t="s">
        <v>594</v>
      </c>
      <c r="U426" s="46" t="s">
        <v>651</v>
      </c>
      <c r="V426" s="46" t="b">
        <v>1</v>
      </c>
      <c r="W426" s="46">
        <v>0.95</v>
      </c>
      <c r="X426" s="46">
        <v>0.0875030978</v>
      </c>
      <c r="Y426" s="46" t="s">
        <v>640</v>
      </c>
      <c r="Z426" s="46" t="b">
        <v>0</v>
      </c>
      <c r="AA426" s="46" t="b">
        <v>0</v>
      </c>
    </row>
    <row r="427">
      <c r="A427" s="157" t="s">
        <v>557</v>
      </c>
      <c r="B427" s="158">
        <v>5.0</v>
      </c>
      <c r="C427" s="157" t="s">
        <v>652</v>
      </c>
      <c r="D427" s="157" t="s">
        <v>895</v>
      </c>
      <c r="E427" s="157" t="s">
        <v>896</v>
      </c>
      <c r="F427" s="162" t="s">
        <v>1565</v>
      </c>
      <c r="G427" s="157" t="s">
        <v>1566</v>
      </c>
      <c r="H427" s="157"/>
      <c r="I427" s="158">
        <v>14.1120978412546</v>
      </c>
      <c r="J427" s="158">
        <v>51.4504368722986</v>
      </c>
      <c r="K427" s="157" t="s">
        <v>1567</v>
      </c>
      <c r="L427" s="157" t="s">
        <v>648</v>
      </c>
      <c r="M427" s="158">
        <v>2022.0</v>
      </c>
      <c r="N427" s="157" t="s">
        <v>116</v>
      </c>
      <c r="O427" s="157" t="s">
        <v>900</v>
      </c>
      <c r="P427" s="161" t="b">
        <v>1</v>
      </c>
      <c r="Q427" s="158">
        <v>0.177</v>
      </c>
      <c r="R427" s="158">
        <v>0.0915</v>
      </c>
      <c r="S427" s="158">
        <v>0.0855</v>
      </c>
      <c r="T427" s="157" t="s">
        <v>116</v>
      </c>
      <c r="U427" s="46" t="s">
        <v>651</v>
      </c>
      <c r="V427" s="46" t="b">
        <v>1</v>
      </c>
      <c r="W427" s="46">
        <v>0.95</v>
      </c>
      <c r="X427" s="46">
        <v>0.0869249999999999</v>
      </c>
      <c r="Y427" s="46">
        <v>11.596666542141</v>
      </c>
      <c r="Z427" s="46" t="b">
        <v>1</v>
      </c>
      <c r="AA427" s="46" t="b">
        <v>1</v>
      </c>
    </row>
    <row r="428">
      <c r="A428" s="157" t="s">
        <v>566</v>
      </c>
      <c r="B428" s="158">
        <v>1.0</v>
      </c>
      <c r="C428" s="157" t="s">
        <v>642</v>
      </c>
      <c r="D428" s="157" t="s">
        <v>643</v>
      </c>
      <c r="E428" s="157" t="s">
        <v>644</v>
      </c>
      <c r="F428" s="157" t="s">
        <v>1568</v>
      </c>
      <c r="G428" s="157" t="s">
        <v>1569</v>
      </c>
      <c r="H428" s="157"/>
      <c r="I428" s="158">
        <v>18.64043617</v>
      </c>
      <c r="J428" s="158">
        <v>54.37774277</v>
      </c>
      <c r="K428" s="157" t="s">
        <v>1570</v>
      </c>
      <c r="L428" s="157" t="s">
        <v>648</v>
      </c>
      <c r="M428" s="158">
        <v>2022.0</v>
      </c>
      <c r="N428" s="157" t="s">
        <v>649</v>
      </c>
      <c r="O428" s="157" t="s">
        <v>650</v>
      </c>
      <c r="P428" s="161" t="b">
        <v>0</v>
      </c>
      <c r="Q428" s="158">
        <v>1.25</v>
      </c>
      <c r="R428" s="158">
        <v>0.090657996</v>
      </c>
      <c r="S428" s="158">
        <v>1.159342004</v>
      </c>
      <c r="T428" s="157" t="s">
        <v>594</v>
      </c>
      <c r="U428" s="46" t="s">
        <v>651</v>
      </c>
      <c r="V428" s="46" t="b">
        <v>1</v>
      </c>
      <c r="W428" s="46">
        <v>0.95</v>
      </c>
      <c r="X428" s="46">
        <v>0.0861250962</v>
      </c>
      <c r="Y428" s="46">
        <v>7.69152319768076</v>
      </c>
      <c r="Z428" s="46" t="b">
        <v>1</v>
      </c>
      <c r="AA428" s="46" t="b">
        <v>1</v>
      </c>
    </row>
    <row r="429">
      <c r="A429" s="157" t="s">
        <v>560</v>
      </c>
      <c r="B429" s="158">
        <v>6.0</v>
      </c>
      <c r="C429" s="157" t="s">
        <v>659</v>
      </c>
      <c r="D429" s="157" t="s">
        <v>717</v>
      </c>
      <c r="E429" s="157" t="s">
        <v>718</v>
      </c>
      <c r="F429" s="157" t="s">
        <v>1571</v>
      </c>
      <c r="G429" s="157" t="s">
        <v>1572</v>
      </c>
      <c r="H429" s="157"/>
      <c r="I429" s="158">
        <v>15.691833</v>
      </c>
      <c r="J429" s="158">
        <v>48.259556</v>
      </c>
      <c r="K429" s="157" t="s">
        <v>1573</v>
      </c>
      <c r="L429" s="157" t="s">
        <v>648</v>
      </c>
      <c r="M429" s="158">
        <v>2022.0</v>
      </c>
      <c r="N429" s="157" t="s">
        <v>123</v>
      </c>
      <c r="O429" s="157" t="s">
        <v>722</v>
      </c>
      <c r="P429" s="161" t="b">
        <v>1</v>
      </c>
      <c r="Q429" s="158">
        <v>0.209</v>
      </c>
      <c r="R429" s="158">
        <v>0.090433474</v>
      </c>
      <c r="S429" s="158">
        <v>0.118566526</v>
      </c>
      <c r="T429" s="157" t="s">
        <v>123</v>
      </c>
      <c r="U429" s="46" t="s">
        <v>651</v>
      </c>
      <c r="V429" s="46" t="b">
        <v>1</v>
      </c>
      <c r="W429" s="46">
        <v>0.95</v>
      </c>
      <c r="X429" s="46">
        <v>0.0859118003</v>
      </c>
      <c r="Y429" s="46" t="s">
        <v>640</v>
      </c>
      <c r="Z429" s="46" t="b">
        <v>0</v>
      </c>
      <c r="AA429" s="46" t="b">
        <v>0</v>
      </c>
    </row>
    <row r="430">
      <c r="A430" s="157" t="s">
        <v>562</v>
      </c>
      <c r="B430" s="158">
        <v>6.0</v>
      </c>
      <c r="C430" s="157" t="s">
        <v>659</v>
      </c>
      <c r="D430" s="157" t="s">
        <v>717</v>
      </c>
      <c r="E430" s="157" t="s">
        <v>718</v>
      </c>
      <c r="F430" s="162" t="s">
        <v>1574</v>
      </c>
      <c r="G430" s="157" t="s">
        <v>1575</v>
      </c>
      <c r="H430" s="157"/>
      <c r="I430" s="158">
        <v>4.06802</v>
      </c>
      <c r="J430" s="158">
        <v>51.01564</v>
      </c>
      <c r="K430" s="157" t="s">
        <v>1576</v>
      </c>
      <c r="L430" s="157" t="s">
        <v>648</v>
      </c>
      <c r="M430" s="158">
        <v>2022.0</v>
      </c>
      <c r="N430" s="157" t="s">
        <v>123</v>
      </c>
      <c r="O430" s="157" t="s">
        <v>722</v>
      </c>
      <c r="P430" s="161" t="b">
        <v>1</v>
      </c>
      <c r="Q430" s="158">
        <v>0.208</v>
      </c>
      <c r="R430" s="158">
        <v>0.090000778</v>
      </c>
      <c r="S430" s="158">
        <v>0.117999222</v>
      </c>
      <c r="T430" s="157" t="s">
        <v>123</v>
      </c>
      <c r="U430" s="46" t="s">
        <v>651</v>
      </c>
      <c r="V430" s="46" t="b">
        <v>1</v>
      </c>
      <c r="W430" s="46">
        <v>0.95</v>
      </c>
      <c r="X430" s="46">
        <v>0.0855007391</v>
      </c>
      <c r="Y430" s="46">
        <v>17.5556076613175</v>
      </c>
      <c r="Z430" s="46" t="b">
        <v>1</v>
      </c>
      <c r="AA430" s="46" t="b">
        <v>1</v>
      </c>
    </row>
    <row r="431">
      <c r="A431" s="157" t="s">
        <v>561</v>
      </c>
      <c r="B431" s="158">
        <v>1.0</v>
      </c>
      <c r="C431" s="157" t="s">
        <v>642</v>
      </c>
      <c r="D431" s="157" t="s">
        <v>643</v>
      </c>
      <c r="E431" s="157" t="s">
        <v>644</v>
      </c>
      <c r="F431" s="157" t="s">
        <v>1577</v>
      </c>
      <c r="G431" s="157" t="s">
        <v>1578</v>
      </c>
      <c r="H431" s="157"/>
      <c r="I431" s="158">
        <v>2.228956</v>
      </c>
      <c r="J431" s="158">
        <v>41.420832</v>
      </c>
      <c r="K431" s="157" t="s">
        <v>1184</v>
      </c>
      <c r="L431" s="157" t="s">
        <v>648</v>
      </c>
      <c r="M431" s="158">
        <v>2022.0</v>
      </c>
      <c r="N431" s="157" t="s">
        <v>649</v>
      </c>
      <c r="O431" s="157" t="s">
        <v>650</v>
      </c>
      <c r="P431" s="161" t="b">
        <v>0</v>
      </c>
      <c r="Q431" s="158">
        <v>1.23</v>
      </c>
      <c r="R431" s="158">
        <v>0.089207468</v>
      </c>
      <c r="S431" s="158">
        <v>1.140792532</v>
      </c>
      <c r="T431" s="157" t="s">
        <v>594</v>
      </c>
      <c r="U431" s="46" t="s">
        <v>651</v>
      </c>
      <c r="V431" s="46" t="b">
        <v>1</v>
      </c>
      <c r="W431" s="46">
        <v>0.95</v>
      </c>
      <c r="X431" s="46">
        <v>0.0847470945999999</v>
      </c>
      <c r="Y431" s="46" t="s">
        <v>640</v>
      </c>
      <c r="Z431" s="46" t="b">
        <v>0</v>
      </c>
      <c r="AA431" s="46" t="b">
        <v>0</v>
      </c>
    </row>
    <row r="432">
      <c r="A432" s="157" t="s">
        <v>561</v>
      </c>
      <c r="B432" s="158">
        <v>1.0</v>
      </c>
      <c r="C432" s="157" t="s">
        <v>642</v>
      </c>
      <c r="D432" s="157" t="s">
        <v>643</v>
      </c>
      <c r="E432" s="157" t="s">
        <v>644</v>
      </c>
      <c r="F432" s="157" t="s">
        <v>1579</v>
      </c>
      <c r="G432" s="157" t="s">
        <v>1580</v>
      </c>
      <c r="H432" s="157"/>
      <c r="I432" s="158">
        <v>-7.862932</v>
      </c>
      <c r="J432" s="158">
        <v>43.447809</v>
      </c>
      <c r="K432" s="157" t="s">
        <v>1581</v>
      </c>
      <c r="L432" s="157" t="s">
        <v>648</v>
      </c>
      <c r="M432" s="158">
        <v>2022.0</v>
      </c>
      <c r="N432" s="157" t="s">
        <v>649</v>
      </c>
      <c r="O432" s="157" t="s">
        <v>650</v>
      </c>
      <c r="P432" s="161" t="b">
        <v>0</v>
      </c>
      <c r="Q432" s="158">
        <v>1.23</v>
      </c>
      <c r="R432" s="158">
        <v>0.089207468</v>
      </c>
      <c r="S432" s="158">
        <v>1.140792532</v>
      </c>
      <c r="T432" s="157" t="s">
        <v>594</v>
      </c>
      <c r="U432" s="46" t="s">
        <v>651</v>
      </c>
      <c r="V432" s="46" t="b">
        <v>1</v>
      </c>
      <c r="W432" s="46">
        <v>0.95</v>
      </c>
      <c r="X432" s="46">
        <v>0.0847470945999999</v>
      </c>
      <c r="Y432" s="46" t="s">
        <v>640</v>
      </c>
      <c r="Z432" s="46" t="b">
        <v>0</v>
      </c>
      <c r="AA432" s="46" t="b">
        <v>0</v>
      </c>
    </row>
    <row r="433">
      <c r="A433" s="157" t="s">
        <v>556</v>
      </c>
      <c r="B433" s="158">
        <v>5.0</v>
      </c>
      <c r="C433" s="157" t="s">
        <v>652</v>
      </c>
      <c r="D433" s="157" t="s">
        <v>653</v>
      </c>
      <c r="E433" s="157" t="s">
        <v>654</v>
      </c>
      <c r="F433" s="157" t="s">
        <v>1582</v>
      </c>
      <c r="G433" s="157" t="s">
        <v>1583</v>
      </c>
      <c r="H433" s="157"/>
      <c r="I433" s="158">
        <v>1.59807</v>
      </c>
      <c r="J433" s="158">
        <v>43.8008</v>
      </c>
      <c r="K433" s="157" t="s">
        <v>1584</v>
      </c>
      <c r="L433" s="157" t="s">
        <v>648</v>
      </c>
      <c r="M433" s="158">
        <v>2022.0</v>
      </c>
      <c r="N433" s="157" t="s">
        <v>116</v>
      </c>
      <c r="O433" s="157" t="s">
        <v>658</v>
      </c>
      <c r="P433" s="161" t="b">
        <v>1</v>
      </c>
      <c r="Q433" s="158">
        <v>0.16</v>
      </c>
      <c r="R433" s="158">
        <v>0.088</v>
      </c>
      <c r="S433" s="158">
        <v>0.072</v>
      </c>
      <c r="T433" s="157" t="s">
        <v>116</v>
      </c>
      <c r="U433" s="46" t="s">
        <v>651</v>
      </c>
      <c r="V433" s="46" t="b">
        <v>1</v>
      </c>
      <c r="W433" s="46">
        <v>0.95</v>
      </c>
      <c r="X433" s="46">
        <v>0.0836</v>
      </c>
      <c r="Y433" s="46">
        <v>15.0409956080989</v>
      </c>
      <c r="Z433" s="46" t="b">
        <v>1</v>
      </c>
      <c r="AA433" s="46" t="b">
        <v>1</v>
      </c>
    </row>
    <row r="434">
      <c r="A434" s="157" t="s">
        <v>572</v>
      </c>
      <c r="B434" s="158">
        <v>2.0</v>
      </c>
      <c r="C434" s="157" t="s">
        <v>916</v>
      </c>
      <c r="D434" s="157" t="s">
        <v>1585</v>
      </c>
      <c r="E434" s="157" t="s">
        <v>1586</v>
      </c>
      <c r="F434" s="157" t="s">
        <v>1587</v>
      </c>
      <c r="G434" s="157" t="s">
        <v>1588</v>
      </c>
      <c r="H434" s="157"/>
      <c r="I434" s="158">
        <v>22.69167</v>
      </c>
      <c r="J434" s="158">
        <v>38.36083</v>
      </c>
      <c r="K434" s="157" t="s">
        <v>1589</v>
      </c>
      <c r="L434" s="157" t="s">
        <v>648</v>
      </c>
      <c r="M434" s="158">
        <v>2022.0</v>
      </c>
      <c r="N434" s="157" t="s">
        <v>549</v>
      </c>
      <c r="O434" s="157" t="s">
        <v>1208</v>
      </c>
      <c r="P434" s="161" t="b">
        <v>1</v>
      </c>
      <c r="Q434" s="158">
        <v>1.299</v>
      </c>
      <c r="R434" s="158">
        <v>0.087240296</v>
      </c>
      <c r="S434" s="158">
        <v>1.211759704</v>
      </c>
      <c r="T434" s="157" t="s">
        <v>549</v>
      </c>
      <c r="U434" s="46" t="s">
        <v>651</v>
      </c>
      <c r="V434" s="46" t="b">
        <v>1</v>
      </c>
      <c r="W434" s="46">
        <v>0.95</v>
      </c>
      <c r="X434" s="46">
        <v>0.0828782811999999</v>
      </c>
      <c r="Y434" s="46">
        <v>29.364268460472</v>
      </c>
      <c r="Z434" s="46" t="b">
        <v>1</v>
      </c>
      <c r="AA434" s="46" t="b">
        <v>1</v>
      </c>
    </row>
    <row r="435">
      <c r="A435" s="157" t="s">
        <v>564</v>
      </c>
      <c r="B435" s="158">
        <v>5.0</v>
      </c>
      <c r="C435" s="157" t="s">
        <v>652</v>
      </c>
      <c r="D435" s="157" t="s">
        <v>653</v>
      </c>
      <c r="E435" s="157" t="s">
        <v>654</v>
      </c>
      <c r="F435" s="157" t="s">
        <v>1590</v>
      </c>
      <c r="G435" s="157" t="s">
        <v>1591</v>
      </c>
      <c r="H435" s="157"/>
      <c r="I435" s="158">
        <v>8.1035</v>
      </c>
      <c r="J435" s="158">
        <v>47.389</v>
      </c>
      <c r="K435" s="157" t="s">
        <v>1592</v>
      </c>
      <c r="L435" s="157" t="s">
        <v>648</v>
      </c>
      <c r="M435" s="158">
        <v>2021.0</v>
      </c>
      <c r="N435" s="157" t="s">
        <v>116</v>
      </c>
      <c r="O435" s="157" t="s">
        <v>658</v>
      </c>
      <c r="P435" s="161" t="b">
        <v>1</v>
      </c>
      <c r="Q435" s="158">
        <v>0.158</v>
      </c>
      <c r="R435" s="158">
        <v>0.0869</v>
      </c>
      <c r="S435" s="158">
        <v>0.0711</v>
      </c>
      <c r="T435" s="157" t="s">
        <v>116</v>
      </c>
      <c r="U435" s="46" t="s">
        <v>651</v>
      </c>
      <c r="V435" s="46" t="b">
        <v>1</v>
      </c>
      <c r="W435" s="46">
        <v>0.95</v>
      </c>
      <c r="X435" s="46">
        <v>0.082555</v>
      </c>
      <c r="Y435" s="46">
        <v>3.57024574867291</v>
      </c>
      <c r="Z435" s="46" t="b">
        <v>1</v>
      </c>
      <c r="AA435" s="46" t="b">
        <v>1</v>
      </c>
    </row>
    <row r="436">
      <c r="A436" s="157" t="s">
        <v>566</v>
      </c>
      <c r="B436" s="158">
        <v>5.0</v>
      </c>
      <c r="C436" s="157" t="s">
        <v>652</v>
      </c>
      <c r="D436" s="157" t="s">
        <v>653</v>
      </c>
      <c r="E436" s="157" t="s">
        <v>654</v>
      </c>
      <c r="F436" s="157" t="s">
        <v>1593</v>
      </c>
      <c r="G436" s="157" t="s">
        <v>1594</v>
      </c>
      <c r="H436" s="157"/>
      <c r="I436" s="158">
        <v>14.593734</v>
      </c>
      <c r="J436" s="158">
        <v>53.427043</v>
      </c>
      <c r="K436" s="157" t="s">
        <v>1595</v>
      </c>
      <c r="L436" s="157" t="s">
        <v>648</v>
      </c>
      <c r="M436" s="158">
        <v>2022.0</v>
      </c>
      <c r="N436" s="157" t="s">
        <v>116</v>
      </c>
      <c r="O436" s="157" t="s">
        <v>658</v>
      </c>
      <c r="P436" s="161" t="b">
        <v>1</v>
      </c>
      <c r="Q436" s="158">
        <v>0.157</v>
      </c>
      <c r="R436" s="158">
        <v>0.08635</v>
      </c>
      <c r="S436" s="158">
        <v>0.07065</v>
      </c>
      <c r="T436" s="157" t="s">
        <v>116</v>
      </c>
      <c r="U436" s="46" t="s">
        <v>651</v>
      </c>
      <c r="V436" s="46" t="b">
        <v>1</v>
      </c>
      <c r="W436" s="46">
        <v>0.95</v>
      </c>
      <c r="X436" s="46">
        <v>0.0820325</v>
      </c>
      <c r="Y436" s="46">
        <v>93.4254763810246</v>
      </c>
      <c r="Z436" s="46" t="b">
        <v>0</v>
      </c>
      <c r="AA436" s="46" t="b">
        <v>1</v>
      </c>
    </row>
    <row r="437">
      <c r="A437" s="157" t="s">
        <v>558</v>
      </c>
      <c r="B437" s="158">
        <v>1.0</v>
      </c>
      <c r="C437" s="157" t="s">
        <v>642</v>
      </c>
      <c r="D437" s="157" t="s">
        <v>643</v>
      </c>
      <c r="E437" s="157" t="s">
        <v>644</v>
      </c>
      <c r="F437" s="157" t="s">
        <v>1596</v>
      </c>
      <c r="G437" s="157" t="s">
        <v>1597</v>
      </c>
      <c r="H437" s="157"/>
      <c r="I437" s="158">
        <v>-8.950252</v>
      </c>
      <c r="J437" s="158">
        <v>39.011505</v>
      </c>
      <c r="K437" s="157" t="s">
        <v>1598</v>
      </c>
      <c r="L437" s="157" t="s">
        <v>648</v>
      </c>
      <c r="M437" s="158">
        <v>2022.0</v>
      </c>
      <c r="N437" s="157" t="s">
        <v>649</v>
      </c>
      <c r="O437" s="157" t="s">
        <v>650</v>
      </c>
      <c r="P437" s="161" t="b">
        <v>0</v>
      </c>
      <c r="Q437" s="158">
        <v>1.19</v>
      </c>
      <c r="R437" s="158">
        <v>0.086306413</v>
      </c>
      <c r="S437" s="158">
        <v>1.103693587</v>
      </c>
      <c r="T437" s="157" t="s">
        <v>594</v>
      </c>
      <c r="U437" s="46" t="s">
        <v>651</v>
      </c>
      <c r="V437" s="46" t="b">
        <v>1</v>
      </c>
      <c r="W437" s="46">
        <v>0.95</v>
      </c>
      <c r="X437" s="46">
        <v>0.0819910923499999</v>
      </c>
      <c r="Y437" s="46" t="s">
        <v>640</v>
      </c>
      <c r="Z437" s="46" t="b">
        <v>0</v>
      </c>
      <c r="AA437" s="46" t="b">
        <v>0</v>
      </c>
    </row>
    <row r="438">
      <c r="A438" s="157" t="s">
        <v>556</v>
      </c>
      <c r="B438" s="158">
        <v>1.0</v>
      </c>
      <c r="C438" s="157" t="s">
        <v>642</v>
      </c>
      <c r="D438" s="157" t="s">
        <v>643</v>
      </c>
      <c r="E438" s="157" t="s">
        <v>644</v>
      </c>
      <c r="F438" s="157" t="s">
        <v>1599</v>
      </c>
      <c r="G438" s="157" t="s">
        <v>1600</v>
      </c>
      <c r="H438" s="157"/>
      <c r="I438" s="158">
        <v>3.30532</v>
      </c>
      <c r="J438" s="158">
        <v>50.285</v>
      </c>
      <c r="K438" s="157" t="s">
        <v>1601</v>
      </c>
      <c r="L438" s="157" t="s">
        <v>648</v>
      </c>
      <c r="M438" s="158">
        <v>2022.0</v>
      </c>
      <c r="N438" s="157" t="s">
        <v>649</v>
      </c>
      <c r="O438" s="157" t="s">
        <v>650</v>
      </c>
      <c r="P438" s="161" t="b">
        <v>0</v>
      </c>
      <c r="Q438" s="158">
        <v>1.188</v>
      </c>
      <c r="R438" s="158">
        <v>0.08616136</v>
      </c>
      <c r="S438" s="158">
        <v>1.10183864</v>
      </c>
      <c r="T438" s="157" t="s">
        <v>594</v>
      </c>
      <c r="U438" s="46" t="s">
        <v>651</v>
      </c>
      <c r="V438" s="46" t="b">
        <v>1</v>
      </c>
      <c r="W438" s="46">
        <v>0.95</v>
      </c>
      <c r="X438" s="46">
        <v>0.081853292</v>
      </c>
      <c r="Y438" s="46">
        <v>42.2967988893276</v>
      </c>
      <c r="Z438" s="46" t="b">
        <v>1</v>
      </c>
      <c r="AA438" s="46" t="b">
        <v>1</v>
      </c>
    </row>
    <row r="439">
      <c r="A439" s="157" t="s">
        <v>557</v>
      </c>
      <c r="B439" s="158">
        <v>5.0</v>
      </c>
      <c r="C439" s="157" t="s">
        <v>652</v>
      </c>
      <c r="D439" s="157" t="s">
        <v>653</v>
      </c>
      <c r="E439" s="157" t="s">
        <v>654</v>
      </c>
      <c r="F439" s="162" t="s">
        <v>1602</v>
      </c>
      <c r="G439" s="157" t="s">
        <v>1603</v>
      </c>
      <c r="H439" s="157"/>
      <c r="I439" s="158">
        <v>10.3191428848763</v>
      </c>
      <c r="J439" s="158">
        <v>47.7588540291392</v>
      </c>
      <c r="K439" s="157" t="s">
        <v>1604</v>
      </c>
      <c r="L439" s="157" t="s">
        <v>648</v>
      </c>
      <c r="M439" s="158">
        <v>2022.0</v>
      </c>
      <c r="N439" s="157" t="s">
        <v>116</v>
      </c>
      <c r="O439" s="157" t="s">
        <v>658</v>
      </c>
      <c r="P439" s="161" t="b">
        <v>1</v>
      </c>
      <c r="Q439" s="158">
        <v>0.143</v>
      </c>
      <c r="R439" s="158">
        <v>0.0857</v>
      </c>
      <c r="S439" s="158">
        <v>0.0573</v>
      </c>
      <c r="T439" s="157" t="s">
        <v>116</v>
      </c>
      <c r="U439" s="46" t="s">
        <v>651</v>
      </c>
      <c r="V439" s="46" t="b">
        <v>1</v>
      </c>
      <c r="W439" s="46">
        <v>0.95</v>
      </c>
      <c r="X439" s="46">
        <v>0.081415</v>
      </c>
      <c r="Y439" s="46">
        <v>72.8001901577937</v>
      </c>
      <c r="Z439" s="46" t="b">
        <v>0</v>
      </c>
      <c r="AA439" s="46" t="b">
        <v>1</v>
      </c>
    </row>
    <row r="440">
      <c r="A440" s="157" t="s">
        <v>566</v>
      </c>
      <c r="B440" s="158">
        <v>1.0</v>
      </c>
      <c r="C440" s="157" t="s">
        <v>642</v>
      </c>
      <c r="D440" s="157" t="s">
        <v>643</v>
      </c>
      <c r="E440" s="157" t="s">
        <v>644</v>
      </c>
      <c r="F440" s="157" t="s">
        <v>1605</v>
      </c>
      <c r="G440" s="157" t="s">
        <v>1606</v>
      </c>
      <c r="H440" s="157"/>
      <c r="I440" s="158">
        <v>19.80194092</v>
      </c>
      <c r="J440" s="158">
        <v>49.97431183</v>
      </c>
      <c r="K440" s="157" t="s">
        <v>1607</v>
      </c>
      <c r="L440" s="157" t="s">
        <v>648</v>
      </c>
      <c r="M440" s="158">
        <v>2022.0</v>
      </c>
      <c r="N440" s="157" t="s">
        <v>649</v>
      </c>
      <c r="O440" s="157" t="s">
        <v>650</v>
      </c>
      <c r="P440" s="161" t="b">
        <v>0</v>
      </c>
      <c r="Q440" s="158">
        <v>1.18</v>
      </c>
      <c r="R440" s="158">
        <v>0.085581149</v>
      </c>
      <c r="S440" s="158">
        <v>1.094418851</v>
      </c>
      <c r="T440" s="157" t="s">
        <v>594</v>
      </c>
      <c r="U440" s="46" t="s">
        <v>651</v>
      </c>
      <c r="V440" s="46" t="b">
        <v>1</v>
      </c>
      <c r="W440" s="46">
        <v>0.95</v>
      </c>
      <c r="X440" s="46">
        <v>0.08130209155</v>
      </c>
      <c r="Y440" s="46" t="s">
        <v>640</v>
      </c>
      <c r="Z440" s="46" t="b">
        <v>0</v>
      </c>
      <c r="AA440" s="46" t="b">
        <v>0</v>
      </c>
    </row>
    <row r="441">
      <c r="A441" s="157" t="s">
        <v>566</v>
      </c>
      <c r="B441" s="158">
        <v>1.0</v>
      </c>
      <c r="C441" s="157" t="s">
        <v>642</v>
      </c>
      <c r="D441" s="157" t="s">
        <v>643</v>
      </c>
      <c r="E441" s="157" t="s">
        <v>644</v>
      </c>
      <c r="F441" s="157" t="s">
        <v>1608</v>
      </c>
      <c r="G441" s="157" t="s">
        <v>1609</v>
      </c>
      <c r="H441" s="157"/>
      <c r="I441" s="158">
        <v>18.23451996</v>
      </c>
      <c r="J441" s="158">
        <v>52.30110931</v>
      </c>
      <c r="K441" s="157" t="s">
        <v>1164</v>
      </c>
      <c r="L441" s="157" t="s">
        <v>648</v>
      </c>
      <c r="M441" s="158">
        <v>2022.0</v>
      </c>
      <c r="N441" s="157" t="s">
        <v>649</v>
      </c>
      <c r="O441" s="157" t="s">
        <v>650</v>
      </c>
      <c r="P441" s="161" t="b">
        <v>0</v>
      </c>
      <c r="Q441" s="158">
        <v>1.18</v>
      </c>
      <c r="R441" s="158">
        <v>0.085581149</v>
      </c>
      <c r="S441" s="158">
        <v>1.094418851</v>
      </c>
      <c r="T441" s="157" t="s">
        <v>594</v>
      </c>
      <c r="U441" s="46" t="s">
        <v>651</v>
      </c>
      <c r="V441" s="46" t="b">
        <v>1</v>
      </c>
      <c r="W441" s="46">
        <v>0.95</v>
      </c>
      <c r="X441" s="46">
        <v>0.08130209155</v>
      </c>
      <c r="Y441" s="46">
        <v>55.9768342298444</v>
      </c>
      <c r="Z441" s="46" t="b">
        <v>0</v>
      </c>
      <c r="AA441" s="46" t="b">
        <v>1</v>
      </c>
    </row>
    <row r="442">
      <c r="A442" s="157" t="s">
        <v>565</v>
      </c>
      <c r="B442" s="158">
        <v>3.0</v>
      </c>
      <c r="C442" s="157" t="s">
        <v>1215</v>
      </c>
      <c r="D442" s="157" t="s">
        <v>1371</v>
      </c>
      <c r="E442" s="157" t="s">
        <v>1372</v>
      </c>
      <c r="F442" s="157" t="s">
        <v>1610</v>
      </c>
      <c r="G442" s="157" t="s">
        <v>1611</v>
      </c>
      <c r="H442" s="157"/>
      <c r="I442" s="158">
        <v>14.04509457</v>
      </c>
      <c r="J442" s="158">
        <v>50.48952639</v>
      </c>
      <c r="K442" s="157" t="s">
        <v>1612</v>
      </c>
      <c r="L442" s="157" t="s">
        <v>648</v>
      </c>
      <c r="M442" s="158">
        <v>2020.0</v>
      </c>
      <c r="N442" s="157" t="s">
        <v>114</v>
      </c>
      <c r="O442" s="157" t="s">
        <v>1376</v>
      </c>
      <c r="P442" s="161" t="b">
        <v>1</v>
      </c>
      <c r="Q442" s="158">
        <v>0.561936</v>
      </c>
      <c r="R442" s="158">
        <v>0.085313</v>
      </c>
      <c r="S442" s="158">
        <v>0.476623</v>
      </c>
      <c r="T442" s="157" t="s">
        <v>114</v>
      </c>
      <c r="U442" s="46" t="s">
        <v>651</v>
      </c>
      <c r="V442" s="46" t="b">
        <v>1</v>
      </c>
      <c r="W442" s="46">
        <v>0.95</v>
      </c>
      <c r="X442" s="46">
        <v>0.0810473499999999</v>
      </c>
      <c r="Y442" s="46">
        <v>52.9983140934672</v>
      </c>
      <c r="Z442" s="46" t="b">
        <v>0</v>
      </c>
      <c r="AA442" s="46" t="b">
        <v>1</v>
      </c>
    </row>
    <row r="443">
      <c r="A443" s="157" t="s">
        <v>567</v>
      </c>
      <c r="B443" s="158">
        <v>6.0</v>
      </c>
      <c r="C443" s="157" t="s">
        <v>659</v>
      </c>
      <c r="D443" s="157" t="s">
        <v>660</v>
      </c>
      <c r="E443" s="157" t="s">
        <v>661</v>
      </c>
      <c r="F443" s="157" t="s">
        <v>1613</v>
      </c>
      <c r="G443" s="157" t="s">
        <v>1614</v>
      </c>
      <c r="H443" s="157"/>
      <c r="I443" s="158">
        <v>11.1162872</v>
      </c>
      <c r="J443" s="158">
        <v>59.2729225</v>
      </c>
      <c r="K443" s="157" t="s">
        <v>1615</v>
      </c>
      <c r="L443" s="157" t="s">
        <v>648</v>
      </c>
      <c r="M443" s="158">
        <v>2017.0</v>
      </c>
      <c r="N443" s="157" t="s">
        <v>123</v>
      </c>
      <c r="O443" s="157" t="s">
        <v>665</v>
      </c>
      <c r="P443" s="161" t="b">
        <v>1</v>
      </c>
      <c r="Q443" s="158">
        <v>0.166</v>
      </c>
      <c r="R443" s="158">
        <v>0.0852</v>
      </c>
      <c r="S443" s="158">
        <v>0.0808</v>
      </c>
      <c r="T443" s="157" t="s">
        <v>123</v>
      </c>
      <c r="U443" s="46" t="s">
        <v>651</v>
      </c>
      <c r="V443" s="46" t="b">
        <v>1</v>
      </c>
      <c r="W443" s="46">
        <v>0.95</v>
      </c>
      <c r="X443" s="46">
        <v>0.08094</v>
      </c>
      <c r="Y443" s="46" t="s">
        <v>640</v>
      </c>
      <c r="Z443" s="46" t="b">
        <v>0</v>
      </c>
      <c r="AA443" s="46" t="b">
        <v>0</v>
      </c>
    </row>
    <row r="444">
      <c r="A444" s="157" t="s">
        <v>559</v>
      </c>
      <c r="B444" s="158">
        <v>5.0</v>
      </c>
      <c r="C444" s="157" t="s">
        <v>652</v>
      </c>
      <c r="D444" s="157" t="s">
        <v>653</v>
      </c>
      <c r="E444" s="157" t="s">
        <v>654</v>
      </c>
      <c r="F444" s="157" t="s">
        <v>1616</v>
      </c>
      <c r="G444" s="157" t="s">
        <v>1617</v>
      </c>
      <c r="H444" s="157"/>
      <c r="I444" s="158">
        <v>11.3079</v>
      </c>
      <c r="J444" s="158">
        <v>46.4674</v>
      </c>
      <c r="K444" s="157" t="s">
        <v>1618</v>
      </c>
      <c r="L444" s="157" t="s">
        <v>648</v>
      </c>
      <c r="M444" s="158">
        <v>2022.0</v>
      </c>
      <c r="N444" s="157" t="s">
        <v>116</v>
      </c>
      <c r="O444" s="157" t="s">
        <v>658</v>
      </c>
      <c r="P444" s="161" t="b">
        <v>1</v>
      </c>
      <c r="Q444" s="158">
        <v>0.151232</v>
      </c>
      <c r="R444" s="158">
        <v>0.0831776</v>
      </c>
      <c r="S444" s="158">
        <v>0.0680544</v>
      </c>
      <c r="T444" s="157" t="s">
        <v>116</v>
      </c>
      <c r="U444" s="46" t="s">
        <v>651</v>
      </c>
      <c r="V444" s="46" t="b">
        <v>1</v>
      </c>
      <c r="W444" s="46">
        <v>0.95</v>
      </c>
      <c r="X444" s="46">
        <v>0.07901872</v>
      </c>
      <c r="Y444" s="46">
        <v>131.352092774066</v>
      </c>
      <c r="Z444" s="46" t="b">
        <v>0</v>
      </c>
      <c r="AA444" s="46" t="b">
        <v>0</v>
      </c>
    </row>
    <row r="445">
      <c r="A445" s="157" t="s">
        <v>557</v>
      </c>
      <c r="B445" s="158">
        <v>5.0</v>
      </c>
      <c r="C445" s="157" t="s">
        <v>652</v>
      </c>
      <c r="D445" s="157" t="s">
        <v>895</v>
      </c>
      <c r="E445" s="157" t="s">
        <v>896</v>
      </c>
      <c r="F445" s="162" t="s">
        <v>1619</v>
      </c>
      <c r="G445" s="157" t="s">
        <v>1620</v>
      </c>
      <c r="H445" s="157"/>
      <c r="I445" s="158">
        <v>7.40816324758141</v>
      </c>
      <c r="J445" s="158">
        <v>50.4320179048255</v>
      </c>
      <c r="K445" s="157" t="s">
        <v>1621</v>
      </c>
      <c r="L445" s="157" t="s">
        <v>648</v>
      </c>
      <c r="M445" s="158">
        <v>2022.0</v>
      </c>
      <c r="N445" s="157" t="s">
        <v>116</v>
      </c>
      <c r="O445" s="157" t="s">
        <v>900</v>
      </c>
      <c r="P445" s="161" t="b">
        <v>1</v>
      </c>
      <c r="Q445" s="158">
        <v>0.189</v>
      </c>
      <c r="R445" s="158">
        <v>0.083</v>
      </c>
      <c r="S445" s="158">
        <v>0.106</v>
      </c>
      <c r="T445" s="157" t="s">
        <v>116</v>
      </c>
      <c r="U445" s="46" t="s">
        <v>651</v>
      </c>
      <c r="V445" s="46" t="b">
        <v>1</v>
      </c>
      <c r="W445" s="46">
        <v>0.95</v>
      </c>
      <c r="X445" s="46">
        <v>0.07885</v>
      </c>
      <c r="Y445" s="46">
        <v>10.9789142100481</v>
      </c>
      <c r="Z445" s="46" t="b">
        <v>1</v>
      </c>
      <c r="AA445" s="46" t="b">
        <v>1</v>
      </c>
    </row>
    <row r="446">
      <c r="A446" s="157" t="s">
        <v>555</v>
      </c>
      <c r="B446" s="158">
        <v>1.0</v>
      </c>
      <c r="C446" s="157" t="s">
        <v>642</v>
      </c>
      <c r="D446" s="157" t="s">
        <v>643</v>
      </c>
      <c r="E446" s="157" t="s">
        <v>644</v>
      </c>
      <c r="F446" s="162" t="s">
        <v>1622</v>
      </c>
      <c r="G446" s="157" t="s">
        <v>1623</v>
      </c>
      <c r="H446" s="157"/>
      <c r="I446" s="158">
        <v>23.94552</v>
      </c>
      <c r="J446" s="158">
        <v>60.19051</v>
      </c>
      <c r="K446" s="157" t="s">
        <v>1624</v>
      </c>
      <c r="L446" s="157" t="s">
        <v>648</v>
      </c>
      <c r="M446" s="158">
        <v>2022.0</v>
      </c>
      <c r="N446" s="157" t="s">
        <v>649</v>
      </c>
      <c r="O446" s="157" t="s">
        <v>650</v>
      </c>
      <c r="P446" s="161" t="b">
        <v>0</v>
      </c>
      <c r="Q446" s="158">
        <v>0.331</v>
      </c>
      <c r="R446" s="158">
        <v>0.083</v>
      </c>
      <c r="S446" s="158">
        <v>0.248</v>
      </c>
      <c r="T446" s="157" t="s">
        <v>117</v>
      </c>
      <c r="U446" s="46" t="s">
        <v>651</v>
      </c>
      <c r="V446" s="46" t="b">
        <v>1</v>
      </c>
      <c r="W446" s="46">
        <v>0.95</v>
      </c>
      <c r="X446" s="46">
        <v>0.07885</v>
      </c>
      <c r="Y446" s="46" t="s">
        <v>640</v>
      </c>
      <c r="Z446" s="46" t="b">
        <v>0</v>
      </c>
      <c r="AA446" s="46" t="b">
        <v>0</v>
      </c>
    </row>
    <row r="447">
      <c r="A447" s="157" t="s">
        <v>559</v>
      </c>
      <c r="B447" s="158">
        <v>1.0</v>
      </c>
      <c r="C447" s="157" t="s">
        <v>642</v>
      </c>
      <c r="D447" s="157" t="s">
        <v>643</v>
      </c>
      <c r="E447" s="157" t="s">
        <v>644</v>
      </c>
      <c r="F447" s="157" t="s">
        <v>1625</v>
      </c>
      <c r="G447" s="157" t="s">
        <v>1626</v>
      </c>
      <c r="H447" s="157"/>
      <c r="I447" s="158">
        <v>16.2147</v>
      </c>
      <c r="J447" s="158">
        <v>39.7111</v>
      </c>
      <c r="K447" s="157" t="s">
        <v>1627</v>
      </c>
      <c r="L447" s="157" t="s">
        <v>648</v>
      </c>
      <c r="M447" s="158">
        <v>2022.0</v>
      </c>
      <c r="N447" s="157" t="s">
        <v>649</v>
      </c>
      <c r="O447" s="157" t="s">
        <v>650</v>
      </c>
      <c r="P447" s="161" t="b">
        <v>0</v>
      </c>
      <c r="Q447" s="158">
        <v>1.143418</v>
      </c>
      <c r="R447" s="158">
        <v>0.082927988</v>
      </c>
      <c r="S447" s="158">
        <v>1.060490012</v>
      </c>
      <c r="T447" s="157" t="s">
        <v>594</v>
      </c>
      <c r="U447" s="46" t="s">
        <v>651</v>
      </c>
      <c r="V447" s="46" t="b">
        <v>1</v>
      </c>
      <c r="W447" s="46">
        <v>0.95</v>
      </c>
      <c r="X447" s="46">
        <v>0.0787815886</v>
      </c>
      <c r="Y447" s="46" t="s">
        <v>640</v>
      </c>
      <c r="Z447" s="46" t="b">
        <v>0</v>
      </c>
      <c r="AA447" s="46" t="b">
        <v>0</v>
      </c>
    </row>
    <row r="448">
      <c r="A448" s="157" t="s">
        <v>559</v>
      </c>
      <c r="B448" s="158">
        <v>1.0</v>
      </c>
      <c r="C448" s="157" t="s">
        <v>642</v>
      </c>
      <c r="D448" s="157" t="s">
        <v>643</v>
      </c>
      <c r="E448" s="157" t="s">
        <v>644</v>
      </c>
      <c r="F448" s="157" t="s">
        <v>1628</v>
      </c>
      <c r="G448" s="157" t="s">
        <v>1629</v>
      </c>
      <c r="H448" s="157"/>
      <c r="I448" s="158">
        <v>12.2661</v>
      </c>
      <c r="J448" s="158">
        <v>44.4844</v>
      </c>
      <c r="K448" s="157" t="s">
        <v>1322</v>
      </c>
      <c r="L448" s="157" t="s">
        <v>648</v>
      </c>
      <c r="M448" s="158">
        <v>2022.0</v>
      </c>
      <c r="N448" s="157" t="s">
        <v>649</v>
      </c>
      <c r="O448" s="157" t="s">
        <v>650</v>
      </c>
      <c r="P448" s="161" t="b">
        <v>0</v>
      </c>
      <c r="Q448" s="158">
        <v>1.138840737</v>
      </c>
      <c r="R448" s="158">
        <v>0.082596016</v>
      </c>
      <c r="S448" s="158">
        <v>1.056244721</v>
      </c>
      <c r="T448" s="157" t="s">
        <v>594</v>
      </c>
      <c r="U448" s="46" t="s">
        <v>651</v>
      </c>
      <c r="V448" s="46" t="b">
        <v>1</v>
      </c>
      <c r="W448" s="46">
        <v>0.95</v>
      </c>
      <c r="X448" s="46">
        <v>0.0784662152</v>
      </c>
      <c r="Y448" s="46">
        <v>11.5361107193539</v>
      </c>
      <c r="Z448" s="46" t="b">
        <v>1</v>
      </c>
      <c r="AA448" s="46" t="b">
        <v>1</v>
      </c>
    </row>
    <row r="449">
      <c r="A449" s="157" t="s">
        <v>559</v>
      </c>
      <c r="B449" s="158">
        <v>1.0</v>
      </c>
      <c r="C449" s="157" t="s">
        <v>642</v>
      </c>
      <c r="D449" s="157" t="s">
        <v>643</v>
      </c>
      <c r="E449" s="157" t="s">
        <v>644</v>
      </c>
      <c r="F449" s="157" t="s">
        <v>1630</v>
      </c>
      <c r="G449" s="157" t="s">
        <v>1631</v>
      </c>
      <c r="H449" s="157"/>
      <c r="I449" s="158">
        <v>7.6763</v>
      </c>
      <c r="J449" s="158">
        <v>44.9925</v>
      </c>
      <c r="K449" s="157" t="s">
        <v>1632</v>
      </c>
      <c r="L449" s="157" t="s">
        <v>648</v>
      </c>
      <c r="M449" s="158">
        <v>2022.0</v>
      </c>
      <c r="N449" s="157" t="s">
        <v>649</v>
      </c>
      <c r="O449" s="157" t="s">
        <v>650</v>
      </c>
      <c r="P449" s="161" t="b">
        <v>0</v>
      </c>
      <c r="Q449" s="158">
        <v>1.137974</v>
      </c>
      <c r="R449" s="158">
        <v>0.082533154</v>
      </c>
      <c r="S449" s="158">
        <v>1.055440846</v>
      </c>
      <c r="T449" s="157" t="s">
        <v>594</v>
      </c>
      <c r="U449" s="46" t="s">
        <v>651</v>
      </c>
      <c r="V449" s="46" t="b">
        <v>1</v>
      </c>
      <c r="W449" s="46">
        <v>0.95</v>
      </c>
      <c r="X449" s="46">
        <v>0.0784064962999999</v>
      </c>
      <c r="Y449" s="46">
        <v>94.47332871499</v>
      </c>
      <c r="Z449" s="46" t="b">
        <v>0</v>
      </c>
      <c r="AA449" s="46" t="b">
        <v>1</v>
      </c>
    </row>
    <row r="450">
      <c r="A450" s="157" t="s">
        <v>560</v>
      </c>
      <c r="B450" s="158">
        <v>5.0</v>
      </c>
      <c r="C450" s="157" t="s">
        <v>652</v>
      </c>
      <c r="D450" s="157" t="s">
        <v>653</v>
      </c>
      <c r="E450" s="157" t="s">
        <v>654</v>
      </c>
      <c r="F450" s="157" t="s">
        <v>1633</v>
      </c>
      <c r="G450" s="157" t="s">
        <v>1634</v>
      </c>
      <c r="H450" s="157"/>
      <c r="I450" s="158">
        <v>16.783472</v>
      </c>
      <c r="J450" s="158">
        <v>48.548083</v>
      </c>
      <c r="K450" s="157" t="s">
        <v>1635</v>
      </c>
      <c r="L450" s="157" t="s">
        <v>648</v>
      </c>
      <c r="M450" s="158">
        <v>2022.0</v>
      </c>
      <c r="N450" s="157" t="s">
        <v>116</v>
      </c>
      <c r="O450" s="157" t="s">
        <v>658</v>
      </c>
      <c r="P450" s="161" t="b">
        <v>1</v>
      </c>
      <c r="Q450" s="158">
        <v>0.149</v>
      </c>
      <c r="R450" s="158">
        <v>0.08195</v>
      </c>
      <c r="S450" s="158">
        <v>0.06705</v>
      </c>
      <c r="T450" s="157" t="s">
        <v>116</v>
      </c>
      <c r="U450" s="46" t="s">
        <v>651</v>
      </c>
      <c r="V450" s="46" t="b">
        <v>1</v>
      </c>
      <c r="W450" s="46">
        <v>0.95</v>
      </c>
      <c r="X450" s="46">
        <v>0.0778524999999999</v>
      </c>
      <c r="Y450" s="46" t="s">
        <v>640</v>
      </c>
      <c r="Z450" s="46" t="b">
        <v>0</v>
      </c>
      <c r="AA450" s="46" t="b">
        <v>0</v>
      </c>
    </row>
    <row r="451">
      <c r="A451" s="157" t="s">
        <v>554</v>
      </c>
      <c r="B451" s="158">
        <v>5.0</v>
      </c>
      <c r="C451" s="157" t="s">
        <v>652</v>
      </c>
      <c r="D451" s="157" t="s">
        <v>653</v>
      </c>
      <c r="E451" s="157" t="s">
        <v>654</v>
      </c>
      <c r="F451" s="157" t="s">
        <v>1636</v>
      </c>
      <c r="G451" s="157" t="s">
        <v>1637</v>
      </c>
      <c r="H451" s="157"/>
      <c r="I451" s="158">
        <v>12.90604</v>
      </c>
      <c r="J451" s="158">
        <v>56.69214</v>
      </c>
      <c r="K451" s="157" t="s">
        <v>1638</v>
      </c>
      <c r="L451" s="157" t="s">
        <v>648</v>
      </c>
      <c r="M451" s="158">
        <v>2022.0</v>
      </c>
      <c r="N451" s="157" t="s">
        <v>116</v>
      </c>
      <c r="O451" s="157" t="s">
        <v>658</v>
      </c>
      <c r="P451" s="161" t="b">
        <v>1</v>
      </c>
      <c r="Q451" s="158">
        <v>0.165</v>
      </c>
      <c r="R451" s="158">
        <v>0.0819</v>
      </c>
      <c r="S451" s="158">
        <v>0.0831</v>
      </c>
      <c r="T451" s="157" t="s">
        <v>116</v>
      </c>
      <c r="U451" s="46" t="s">
        <v>651</v>
      </c>
      <c r="V451" s="46" t="b">
        <v>1</v>
      </c>
      <c r="W451" s="46">
        <v>0.95</v>
      </c>
      <c r="X451" s="46">
        <v>0.077805</v>
      </c>
      <c r="Y451" s="46">
        <v>110.84465878897</v>
      </c>
      <c r="Z451" s="46" t="b">
        <v>0</v>
      </c>
      <c r="AA451" s="46" t="b">
        <v>0</v>
      </c>
    </row>
    <row r="452">
      <c r="A452" s="157" t="s">
        <v>559</v>
      </c>
      <c r="B452" s="158">
        <v>1.0</v>
      </c>
      <c r="C452" s="157" t="s">
        <v>642</v>
      </c>
      <c r="D452" s="157" t="s">
        <v>643</v>
      </c>
      <c r="E452" s="157" t="s">
        <v>644</v>
      </c>
      <c r="F452" s="157" t="s">
        <v>1639</v>
      </c>
      <c r="G452" s="157" t="s">
        <v>1640</v>
      </c>
      <c r="H452" s="157"/>
      <c r="I452" s="158">
        <v>7.9005</v>
      </c>
      <c r="J452" s="158">
        <v>45.1854</v>
      </c>
      <c r="K452" s="157" t="s">
        <v>1641</v>
      </c>
      <c r="L452" s="157" t="s">
        <v>648</v>
      </c>
      <c r="M452" s="158">
        <v>2022.0</v>
      </c>
      <c r="N452" s="157" t="s">
        <v>649</v>
      </c>
      <c r="O452" s="157" t="s">
        <v>650</v>
      </c>
      <c r="P452" s="161" t="b">
        <v>0</v>
      </c>
      <c r="Q452" s="158">
        <v>1.122827935</v>
      </c>
      <c r="R452" s="158">
        <v>0.081434665</v>
      </c>
      <c r="S452" s="158">
        <v>1.04139327</v>
      </c>
      <c r="T452" s="157" t="s">
        <v>594</v>
      </c>
      <c r="U452" s="46" t="s">
        <v>651</v>
      </c>
      <c r="V452" s="46" t="b">
        <v>1</v>
      </c>
      <c r="W452" s="46">
        <v>0.95</v>
      </c>
      <c r="X452" s="46">
        <v>0.07736293175</v>
      </c>
      <c r="Y452" s="46">
        <v>80.0133854081751</v>
      </c>
      <c r="Z452" s="46" t="b">
        <v>0</v>
      </c>
      <c r="AA452" s="46" t="b">
        <v>1</v>
      </c>
    </row>
    <row r="453">
      <c r="A453" s="157" t="s">
        <v>559</v>
      </c>
      <c r="B453" s="158">
        <v>5.0</v>
      </c>
      <c r="C453" s="157" t="s">
        <v>652</v>
      </c>
      <c r="D453" s="157" t="s">
        <v>653</v>
      </c>
      <c r="E453" s="157" t="s">
        <v>654</v>
      </c>
      <c r="F453" s="157" t="s">
        <v>1642</v>
      </c>
      <c r="G453" s="157" t="s">
        <v>1643</v>
      </c>
      <c r="H453" s="157"/>
      <c r="I453" s="158">
        <v>12.6615</v>
      </c>
      <c r="J453" s="158">
        <v>42.5806</v>
      </c>
      <c r="K453" s="157" t="s">
        <v>1644</v>
      </c>
      <c r="L453" s="157" t="s">
        <v>648</v>
      </c>
      <c r="M453" s="158">
        <v>2022.0</v>
      </c>
      <c r="N453" s="157" t="s">
        <v>116</v>
      </c>
      <c r="O453" s="157" t="s">
        <v>658</v>
      </c>
      <c r="P453" s="161" t="b">
        <v>1</v>
      </c>
      <c r="Q453" s="158">
        <v>0.14671817</v>
      </c>
      <c r="R453" s="158">
        <v>0.080694994</v>
      </c>
      <c r="S453" s="158">
        <v>0.066023177</v>
      </c>
      <c r="T453" s="157" t="s">
        <v>116</v>
      </c>
      <c r="U453" s="46" t="s">
        <v>651</v>
      </c>
      <c r="V453" s="46" t="b">
        <v>1</v>
      </c>
      <c r="W453" s="46">
        <v>0.95</v>
      </c>
      <c r="X453" s="46">
        <v>0.0766602443</v>
      </c>
      <c r="Y453" s="46" t="s">
        <v>640</v>
      </c>
      <c r="Z453" s="46" t="b">
        <v>0</v>
      </c>
      <c r="AA453" s="46" t="b">
        <v>0</v>
      </c>
    </row>
    <row r="454">
      <c r="A454" s="157" t="s">
        <v>572</v>
      </c>
      <c r="B454" s="158">
        <v>1.0</v>
      </c>
      <c r="C454" s="157" t="s">
        <v>642</v>
      </c>
      <c r="D454" s="157" t="s">
        <v>643</v>
      </c>
      <c r="E454" s="157" t="s">
        <v>644</v>
      </c>
      <c r="F454" s="157" t="s">
        <v>1645</v>
      </c>
      <c r="G454" s="157" t="s">
        <v>1646</v>
      </c>
      <c r="H454" s="157"/>
      <c r="I454" s="158">
        <v>22.06661</v>
      </c>
      <c r="J454" s="158">
        <v>37.41566</v>
      </c>
      <c r="K454" s="157" t="s">
        <v>1425</v>
      </c>
      <c r="L454" s="157" t="s">
        <v>648</v>
      </c>
      <c r="M454" s="158">
        <v>2022.0</v>
      </c>
      <c r="N454" s="157" t="s">
        <v>649</v>
      </c>
      <c r="O454" s="157" t="s">
        <v>650</v>
      </c>
      <c r="P454" s="161" t="b">
        <v>0</v>
      </c>
      <c r="Q454" s="158">
        <v>1.103</v>
      </c>
      <c r="R454" s="158">
        <v>0.079996616</v>
      </c>
      <c r="S454" s="158">
        <v>1.023003384</v>
      </c>
      <c r="T454" s="157" t="s">
        <v>594</v>
      </c>
      <c r="U454" s="46" t="s">
        <v>651</v>
      </c>
      <c r="V454" s="46" t="b">
        <v>1</v>
      </c>
      <c r="W454" s="46">
        <v>0.95</v>
      </c>
      <c r="X454" s="46">
        <v>0.0759967852</v>
      </c>
      <c r="Y454" s="46">
        <v>147.261353035982</v>
      </c>
      <c r="Z454" s="46" t="b">
        <v>0</v>
      </c>
      <c r="AA454" s="46" t="b">
        <v>0</v>
      </c>
    </row>
    <row r="455">
      <c r="A455" s="157" t="s">
        <v>566</v>
      </c>
      <c r="B455" s="158">
        <v>1.0</v>
      </c>
      <c r="C455" s="157" t="s">
        <v>642</v>
      </c>
      <c r="D455" s="157" t="s">
        <v>643</v>
      </c>
      <c r="E455" s="157" t="s">
        <v>644</v>
      </c>
      <c r="F455" s="157" t="s">
        <v>1647</v>
      </c>
      <c r="G455" s="157" t="s">
        <v>1648</v>
      </c>
      <c r="H455" s="157"/>
      <c r="I455" s="158">
        <v>18.23666763</v>
      </c>
      <c r="J455" s="158">
        <v>52.74944305</v>
      </c>
      <c r="K455" s="157" t="s">
        <v>1649</v>
      </c>
      <c r="L455" s="157" t="s">
        <v>648</v>
      </c>
      <c r="M455" s="158">
        <v>2022.0</v>
      </c>
      <c r="N455" s="157" t="s">
        <v>649</v>
      </c>
      <c r="O455" s="157" t="s">
        <v>650</v>
      </c>
      <c r="P455" s="161" t="b">
        <v>0</v>
      </c>
      <c r="Q455" s="158">
        <v>1.1</v>
      </c>
      <c r="R455" s="158">
        <v>0.079779037</v>
      </c>
      <c r="S455" s="158">
        <v>1.020220963</v>
      </c>
      <c r="T455" s="157" t="s">
        <v>594</v>
      </c>
      <c r="U455" s="46" t="s">
        <v>651</v>
      </c>
      <c r="V455" s="46" t="b">
        <v>1</v>
      </c>
      <c r="W455" s="46">
        <v>0.95</v>
      </c>
      <c r="X455" s="46">
        <v>0.0757900851499999</v>
      </c>
      <c r="Y455" s="46">
        <v>6.13638536624203</v>
      </c>
      <c r="Z455" s="46" t="b">
        <v>1</v>
      </c>
      <c r="AA455" s="46" t="b">
        <v>1</v>
      </c>
    </row>
    <row r="456">
      <c r="A456" s="157" t="s">
        <v>559</v>
      </c>
      <c r="B456" s="158">
        <v>5.0</v>
      </c>
      <c r="C456" s="157" t="s">
        <v>652</v>
      </c>
      <c r="D456" s="157" t="s">
        <v>653</v>
      </c>
      <c r="E456" s="157" t="s">
        <v>654</v>
      </c>
      <c r="F456" s="157" t="s">
        <v>1650</v>
      </c>
      <c r="G456" s="157" t="s">
        <v>1651</v>
      </c>
      <c r="H456" s="157"/>
      <c r="I456" s="158">
        <v>13.7994</v>
      </c>
      <c r="J456" s="158">
        <v>45.6111</v>
      </c>
      <c r="K456" s="157" t="s">
        <v>1652</v>
      </c>
      <c r="L456" s="157" t="s">
        <v>648</v>
      </c>
      <c r="M456" s="158">
        <v>2022.0</v>
      </c>
      <c r="N456" s="157" t="s">
        <v>116</v>
      </c>
      <c r="O456" s="157" t="s">
        <v>658</v>
      </c>
      <c r="P456" s="161" t="b">
        <v>1</v>
      </c>
      <c r="Q456" s="158">
        <v>0.145019167</v>
      </c>
      <c r="R456" s="158">
        <v>0.079760542</v>
      </c>
      <c r="S456" s="158">
        <v>0.065258625</v>
      </c>
      <c r="T456" s="157" t="s">
        <v>116</v>
      </c>
      <c r="U456" s="46" t="s">
        <v>651</v>
      </c>
      <c r="V456" s="46" t="b">
        <v>1</v>
      </c>
      <c r="W456" s="46">
        <v>0.95</v>
      </c>
      <c r="X456" s="46">
        <v>0.0757725149</v>
      </c>
      <c r="Y456" s="46">
        <v>117.752322806001</v>
      </c>
      <c r="Z456" s="46" t="b">
        <v>0</v>
      </c>
      <c r="AA456" s="46" t="b">
        <v>0</v>
      </c>
    </row>
    <row r="457">
      <c r="A457" s="157" t="s">
        <v>559</v>
      </c>
      <c r="B457" s="158">
        <v>1.0</v>
      </c>
      <c r="C457" s="157" t="s">
        <v>642</v>
      </c>
      <c r="D457" s="157" t="s">
        <v>643</v>
      </c>
      <c r="E457" s="157" t="s">
        <v>644</v>
      </c>
      <c r="F457" s="157" t="s">
        <v>1653</v>
      </c>
      <c r="G457" s="157" t="s">
        <v>1654</v>
      </c>
      <c r="H457" s="157"/>
      <c r="I457" s="158">
        <v>8.1927</v>
      </c>
      <c r="J457" s="158">
        <v>45.2377</v>
      </c>
      <c r="K457" s="157" t="s">
        <v>1655</v>
      </c>
      <c r="L457" s="157" t="s">
        <v>648</v>
      </c>
      <c r="M457" s="158">
        <v>2022.0</v>
      </c>
      <c r="N457" s="157" t="s">
        <v>649</v>
      </c>
      <c r="O457" s="157" t="s">
        <v>650</v>
      </c>
      <c r="P457" s="161" t="b">
        <v>0</v>
      </c>
      <c r="Q457" s="158">
        <v>1.092716</v>
      </c>
      <c r="R457" s="158">
        <v>0.079250755</v>
      </c>
      <c r="S457" s="158">
        <v>1.013465245</v>
      </c>
      <c r="T457" s="157" t="s">
        <v>594</v>
      </c>
      <c r="U457" s="46" t="s">
        <v>651</v>
      </c>
      <c r="V457" s="46" t="b">
        <v>1</v>
      </c>
      <c r="W457" s="46">
        <v>0.95</v>
      </c>
      <c r="X457" s="46">
        <v>0.07528821725</v>
      </c>
      <c r="Y457" s="46">
        <v>60.8505341625904</v>
      </c>
      <c r="Z457" s="46" t="b">
        <v>0</v>
      </c>
      <c r="AA457" s="46" t="b">
        <v>1</v>
      </c>
    </row>
    <row r="458">
      <c r="A458" s="157" t="s">
        <v>556</v>
      </c>
      <c r="B458" s="158">
        <v>5.0</v>
      </c>
      <c r="C458" s="157" t="s">
        <v>652</v>
      </c>
      <c r="D458" s="157" t="s">
        <v>653</v>
      </c>
      <c r="E458" s="157" t="s">
        <v>654</v>
      </c>
      <c r="F458" s="157" t="s">
        <v>1656</v>
      </c>
      <c r="G458" s="157" t="s">
        <v>1657</v>
      </c>
      <c r="H458" s="157"/>
      <c r="I458" s="158">
        <v>5.2573</v>
      </c>
      <c r="J458" s="158">
        <v>45.59719</v>
      </c>
      <c r="K458" s="157" t="s">
        <v>1658</v>
      </c>
      <c r="L458" s="157" t="s">
        <v>648</v>
      </c>
      <c r="M458" s="158">
        <v>2022.0</v>
      </c>
      <c r="N458" s="157" t="s">
        <v>116</v>
      </c>
      <c r="O458" s="157" t="s">
        <v>658</v>
      </c>
      <c r="P458" s="161" t="b">
        <v>1</v>
      </c>
      <c r="Q458" s="158">
        <v>0.144</v>
      </c>
      <c r="R458" s="158">
        <v>0.0792</v>
      </c>
      <c r="S458" s="158">
        <v>0.0648</v>
      </c>
      <c r="T458" s="157" t="s">
        <v>116</v>
      </c>
      <c r="U458" s="46" t="s">
        <v>651</v>
      </c>
      <c r="V458" s="46" t="b">
        <v>1</v>
      </c>
      <c r="W458" s="46">
        <v>0.95</v>
      </c>
      <c r="X458" s="46">
        <v>0.07524</v>
      </c>
      <c r="Y458" s="46">
        <v>34.6485809885128</v>
      </c>
      <c r="Z458" s="46" t="b">
        <v>1</v>
      </c>
      <c r="AA458" s="46" t="b">
        <v>1</v>
      </c>
    </row>
    <row r="459">
      <c r="A459" s="157" t="s">
        <v>559</v>
      </c>
      <c r="B459" s="158">
        <v>1.0</v>
      </c>
      <c r="C459" s="157" t="s">
        <v>642</v>
      </c>
      <c r="D459" s="157" t="s">
        <v>643</v>
      </c>
      <c r="E459" s="157" t="s">
        <v>644</v>
      </c>
      <c r="F459" s="157" t="s">
        <v>1659</v>
      </c>
      <c r="G459" s="157" t="s">
        <v>1660</v>
      </c>
      <c r="H459" s="157"/>
      <c r="I459" s="158">
        <v>11.5833</v>
      </c>
      <c r="J459" s="158">
        <v>44.8499</v>
      </c>
      <c r="K459" s="157" t="s">
        <v>1661</v>
      </c>
      <c r="L459" s="157" t="s">
        <v>648</v>
      </c>
      <c r="M459" s="158">
        <v>2022.0</v>
      </c>
      <c r="N459" s="157" t="s">
        <v>649</v>
      </c>
      <c r="O459" s="157" t="s">
        <v>650</v>
      </c>
      <c r="P459" s="161" t="b">
        <v>0</v>
      </c>
      <c r="Q459" s="158">
        <v>1.084653313</v>
      </c>
      <c r="R459" s="158">
        <v>0.078665997</v>
      </c>
      <c r="S459" s="158">
        <v>1.005987316</v>
      </c>
      <c r="T459" s="157" t="s">
        <v>594</v>
      </c>
      <c r="U459" s="46" t="s">
        <v>651</v>
      </c>
      <c r="V459" s="46" t="b">
        <v>1</v>
      </c>
      <c r="W459" s="46">
        <v>0.95</v>
      </c>
      <c r="X459" s="46">
        <v>0.07473269715</v>
      </c>
      <c r="Y459" s="46">
        <v>0.0347291352623591</v>
      </c>
      <c r="Z459" s="46" t="b">
        <v>1</v>
      </c>
      <c r="AA459" s="46" t="b">
        <v>1</v>
      </c>
    </row>
    <row r="460">
      <c r="A460" s="157" t="s">
        <v>572</v>
      </c>
      <c r="B460" s="158">
        <v>1.0</v>
      </c>
      <c r="C460" s="157" t="s">
        <v>642</v>
      </c>
      <c r="D460" s="157" t="s">
        <v>643</v>
      </c>
      <c r="E460" s="157" t="s">
        <v>644</v>
      </c>
      <c r="F460" s="157" t="s">
        <v>1662</v>
      </c>
      <c r="G460" s="157" t="s">
        <v>1663</v>
      </c>
      <c r="H460" s="157"/>
      <c r="I460" s="158">
        <v>24.06633</v>
      </c>
      <c r="J460" s="158">
        <v>37.74695</v>
      </c>
      <c r="K460" s="157" t="s">
        <v>1664</v>
      </c>
      <c r="L460" s="157" t="s">
        <v>648</v>
      </c>
      <c r="M460" s="158">
        <v>2022.0</v>
      </c>
      <c r="N460" s="157" t="s">
        <v>649</v>
      </c>
      <c r="O460" s="157" t="s">
        <v>650</v>
      </c>
      <c r="P460" s="161" t="b">
        <v>0</v>
      </c>
      <c r="Q460" s="158">
        <v>1.076</v>
      </c>
      <c r="R460" s="158">
        <v>0.078038403</v>
      </c>
      <c r="S460" s="158">
        <v>0.997961597</v>
      </c>
      <c r="T460" s="157" t="s">
        <v>594</v>
      </c>
      <c r="U460" s="46" t="s">
        <v>651</v>
      </c>
      <c r="V460" s="46" t="b">
        <v>1</v>
      </c>
      <c r="W460" s="46">
        <v>0.95</v>
      </c>
      <c r="X460" s="46">
        <v>0.07413648285</v>
      </c>
      <c r="Y460" s="46">
        <v>61.0296299691055</v>
      </c>
      <c r="Z460" s="46" t="b">
        <v>0</v>
      </c>
      <c r="AA460" s="46" t="b">
        <v>1</v>
      </c>
    </row>
    <row r="461">
      <c r="A461" s="157" t="s">
        <v>559</v>
      </c>
      <c r="B461" s="158">
        <v>1.0</v>
      </c>
      <c r="C461" s="157" t="s">
        <v>642</v>
      </c>
      <c r="D461" s="157" t="s">
        <v>643</v>
      </c>
      <c r="E461" s="157" t="s">
        <v>644</v>
      </c>
      <c r="F461" s="157" t="s">
        <v>1665</v>
      </c>
      <c r="G461" s="157" t="s">
        <v>1666</v>
      </c>
      <c r="H461" s="157"/>
      <c r="I461" s="158">
        <v>8.4308</v>
      </c>
      <c r="J461" s="158">
        <v>44.2766</v>
      </c>
      <c r="K461" s="157" t="s">
        <v>1667</v>
      </c>
      <c r="L461" s="157" t="s">
        <v>648</v>
      </c>
      <c r="M461" s="158">
        <v>2022.0</v>
      </c>
      <c r="N461" s="157" t="s">
        <v>649</v>
      </c>
      <c r="O461" s="157" t="s">
        <v>650</v>
      </c>
      <c r="P461" s="161" t="b">
        <v>0</v>
      </c>
      <c r="Q461" s="158">
        <v>1.07074226</v>
      </c>
      <c r="R461" s="158">
        <v>0.077657078</v>
      </c>
      <c r="S461" s="158">
        <v>0.993085182</v>
      </c>
      <c r="T461" s="157" t="s">
        <v>594</v>
      </c>
      <c r="U461" s="46" t="s">
        <v>651</v>
      </c>
      <c r="V461" s="46" t="b">
        <v>1</v>
      </c>
      <c r="W461" s="46">
        <v>0.95</v>
      </c>
      <c r="X461" s="46">
        <v>0.0737742241</v>
      </c>
      <c r="Y461" s="46">
        <v>85.5883816674063</v>
      </c>
      <c r="Z461" s="46" t="b">
        <v>0</v>
      </c>
      <c r="AA461" s="46" t="b">
        <v>1</v>
      </c>
    </row>
    <row r="462">
      <c r="A462" s="157" t="s">
        <v>556</v>
      </c>
      <c r="B462" s="158">
        <v>8.0</v>
      </c>
      <c r="C462" s="157" t="s">
        <v>1175</v>
      </c>
      <c r="D462" s="157" t="s">
        <v>1176</v>
      </c>
      <c r="E462" s="157" t="s">
        <v>1177</v>
      </c>
      <c r="F462" s="157" t="s">
        <v>1668</v>
      </c>
      <c r="G462" s="157" t="s">
        <v>1669</v>
      </c>
      <c r="H462" s="157"/>
      <c r="I462" s="158">
        <v>2.68152</v>
      </c>
      <c r="J462" s="158">
        <v>50.63272</v>
      </c>
      <c r="K462" s="157" t="s">
        <v>1670</v>
      </c>
      <c r="L462" s="157" t="s">
        <v>648</v>
      </c>
      <c r="M462" s="158">
        <v>2022.0</v>
      </c>
      <c r="N462" s="157" t="s">
        <v>552</v>
      </c>
      <c r="O462" s="157" t="s">
        <v>1181</v>
      </c>
      <c r="P462" s="161" t="b">
        <v>1</v>
      </c>
      <c r="Q462" s="158">
        <v>0.589</v>
      </c>
      <c r="R462" s="158">
        <v>0.077449238</v>
      </c>
      <c r="S462" s="158">
        <v>0.511550762</v>
      </c>
      <c r="T462" s="157" t="s">
        <v>552</v>
      </c>
      <c r="U462" s="46" t="s">
        <v>651</v>
      </c>
      <c r="V462" s="46" t="b">
        <v>1</v>
      </c>
      <c r="W462" s="46">
        <v>0.95</v>
      </c>
      <c r="X462" s="46">
        <v>0.0735767761</v>
      </c>
      <c r="Y462" s="46">
        <v>21.820204827774</v>
      </c>
      <c r="Z462" s="46" t="b">
        <v>1</v>
      </c>
      <c r="AA462" s="46" t="b">
        <v>1</v>
      </c>
    </row>
    <row r="463">
      <c r="A463" s="157" t="s">
        <v>565</v>
      </c>
      <c r="B463" s="158">
        <v>3.0</v>
      </c>
      <c r="C463" s="157" t="s">
        <v>1215</v>
      </c>
      <c r="D463" s="157" t="s">
        <v>1371</v>
      </c>
      <c r="E463" s="157" t="s">
        <v>1372</v>
      </c>
      <c r="F463" s="157" t="s">
        <v>1671</v>
      </c>
      <c r="G463" s="157" t="s">
        <v>1672</v>
      </c>
      <c r="H463" s="157"/>
      <c r="I463" s="158">
        <v>15.64044044</v>
      </c>
      <c r="J463" s="158">
        <v>49.89545861</v>
      </c>
      <c r="K463" s="157" t="s">
        <v>1673</v>
      </c>
      <c r="L463" s="157" t="s">
        <v>648</v>
      </c>
      <c r="M463" s="158">
        <v>2020.0</v>
      </c>
      <c r="N463" s="157" t="s">
        <v>114</v>
      </c>
      <c r="O463" s="157" t="s">
        <v>1376</v>
      </c>
      <c r="P463" s="161" t="b">
        <v>1</v>
      </c>
      <c r="Q463" s="158">
        <v>0.642564</v>
      </c>
      <c r="R463" s="158">
        <v>0.076763</v>
      </c>
      <c r="S463" s="158">
        <v>0.565801</v>
      </c>
      <c r="T463" s="157" t="s">
        <v>114</v>
      </c>
      <c r="U463" s="46" t="s">
        <v>651</v>
      </c>
      <c r="V463" s="46" t="b">
        <v>1</v>
      </c>
      <c r="W463" s="46">
        <v>0.95</v>
      </c>
      <c r="X463" s="46">
        <v>0.07292485</v>
      </c>
      <c r="Y463" s="46" t="s">
        <v>640</v>
      </c>
      <c r="Z463" s="46" t="b">
        <v>0</v>
      </c>
      <c r="AA463" s="46" t="b">
        <v>0</v>
      </c>
    </row>
    <row r="464">
      <c r="A464" s="157" t="s">
        <v>559</v>
      </c>
      <c r="B464" s="158">
        <v>5.0</v>
      </c>
      <c r="C464" s="157" t="s">
        <v>652</v>
      </c>
      <c r="D464" s="157" t="s">
        <v>653</v>
      </c>
      <c r="E464" s="157" t="s">
        <v>654</v>
      </c>
      <c r="F464" s="157" t="s">
        <v>1674</v>
      </c>
      <c r="G464" s="157" t="s">
        <v>1675</v>
      </c>
      <c r="H464" s="157"/>
      <c r="I464" s="158">
        <v>12.0883</v>
      </c>
      <c r="J464" s="158">
        <v>44.2331</v>
      </c>
      <c r="K464" s="157" t="s">
        <v>1676</v>
      </c>
      <c r="L464" s="157" t="s">
        <v>648</v>
      </c>
      <c r="M464" s="158">
        <v>2022.0</v>
      </c>
      <c r="N464" s="157" t="s">
        <v>116</v>
      </c>
      <c r="O464" s="157" t="s">
        <v>658</v>
      </c>
      <c r="P464" s="161" t="b">
        <v>1</v>
      </c>
      <c r="Q464" s="158">
        <v>0.139273501</v>
      </c>
      <c r="R464" s="158">
        <v>0.076600426</v>
      </c>
      <c r="S464" s="158">
        <v>0.062673075</v>
      </c>
      <c r="T464" s="157" t="s">
        <v>116</v>
      </c>
      <c r="U464" s="46" t="s">
        <v>651</v>
      </c>
      <c r="V464" s="46" t="b">
        <v>1</v>
      </c>
      <c r="W464" s="46">
        <v>0.95</v>
      </c>
      <c r="X464" s="46">
        <v>0.0727704047</v>
      </c>
      <c r="Y464" s="46">
        <v>18.1591341861736</v>
      </c>
      <c r="Z464" s="46" t="b">
        <v>1</v>
      </c>
      <c r="AA464" s="46" t="b">
        <v>1</v>
      </c>
    </row>
    <row r="465">
      <c r="A465" s="157" t="s">
        <v>560</v>
      </c>
      <c r="B465" s="158">
        <v>6.0</v>
      </c>
      <c r="C465" s="157" t="s">
        <v>659</v>
      </c>
      <c r="D465" s="157" t="s">
        <v>717</v>
      </c>
      <c r="E465" s="157" t="s">
        <v>718</v>
      </c>
      <c r="F465" s="157" t="s">
        <v>1677</v>
      </c>
      <c r="G465" s="157" t="s">
        <v>1678</v>
      </c>
      <c r="H465" s="157"/>
      <c r="I465" s="158">
        <v>16.175639</v>
      </c>
      <c r="J465" s="158">
        <v>47.707278</v>
      </c>
      <c r="K465" s="157" t="s">
        <v>1679</v>
      </c>
      <c r="L465" s="157" t="s">
        <v>648</v>
      </c>
      <c r="M465" s="158">
        <v>2022.0</v>
      </c>
      <c r="N465" s="157" t="s">
        <v>123</v>
      </c>
      <c r="O465" s="157" t="s">
        <v>722</v>
      </c>
      <c r="P465" s="161" t="b">
        <v>1</v>
      </c>
      <c r="Q465" s="158">
        <v>0.177</v>
      </c>
      <c r="R465" s="158">
        <v>0.076587201</v>
      </c>
      <c r="S465" s="158">
        <v>0.100412799</v>
      </c>
      <c r="T465" s="157" t="s">
        <v>123</v>
      </c>
      <c r="U465" s="46" t="s">
        <v>651</v>
      </c>
      <c r="V465" s="46" t="b">
        <v>1</v>
      </c>
      <c r="W465" s="46">
        <v>0.95</v>
      </c>
      <c r="X465" s="46">
        <v>0.0727578409499999</v>
      </c>
      <c r="Y465" s="46" t="s">
        <v>640</v>
      </c>
      <c r="Z465" s="46" t="b">
        <v>0</v>
      </c>
      <c r="AA465" s="46" t="b">
        <v>0</v>
      </c>
    </row>
    <row r="466">
      <c r="A466" s="157" t="s">
        <v>554</v>
      </c>
      <c r="B466" s="158">
        <v>5.0</v>
      </c>
      <c r="C466" s="157" t="s">
        <v>652</v>
      </c>
      <c r="D466" s="157" t="s">
        <v>653</v>
      </c>
      <c r="E466" s="157" t="s">
        <v>654</v>
      </c>
      <c r="F466" s="157" t="s">
        <v>1680</v>
      </c>
      <c r="G466" s="157" t="s">
        <v>1681</v>
      </c>
      <c r="H466" s="157"/>
      <c r="I466" s="158">
        <v>13.17413</v>
      </c>
      <c r="J466" s="158">
        <v>58.50765</v>
      </c>
      <c r="K466" s="157" t="s">
        <v>1682</v>
      </c>
      <c r="L466" s="157" t="s">
        <v>648</v>
      </c>
      <c r="M466" s="158">
        <v>2022.0</v>
      </c>
      <c r="N466" s="157" t="s">
        <v>116</v>
      </c>
      <c r="O466" s="157" t="s">
        <v>658</v>
      </c>
      <c r="P466" s="161" t="b">
        <v>1</v>
      </c>
      <c r="Q466" s="158">
        <v>0.129</v>
      </c>
      <c r="R466" s="158">
        <v>0.0755</v>
      </c>
      <c r="S466" s="158">
        <v>0.0535</v>
      </c>
      <c r="T466" s="157" t="s">
        <v>116</v>
      </c>
      <c r="U466" s="46" t="s">
        <v>651</v>
      </c>
      <c r="V466" s="46" t="b">
        <v>1</v>
      </c>
      <c r="W466" s="46">
        <v>0.95</v>
      </c>
      <c r="X466" s="46">
        <v>0.071725</v>
      </c>
      <c r="Y466" s="46" t="s">
        <v>640</v>
      </c>
      <c r="Z466" s="46" t="b">
        <v>0</v>
      </c>
      <c r="AA466" s="46" t="b">
        <v>0</v>
      </c>
    </row>
    <row r="467">
      <c r="A467" s="157" t="s">
        <v>556</v>
      </c>
      <c r="B467" s="158">
        <v>5.0</v>
      </c>
      <c r="C467" s="157" t="s">
        <v>652</v>
      </c>
      <c r="D467" s="157" t="s">
        <v>653</v>
      </c>
      <c r="E467" s="157" t="s">
        <v>654</v>
      </c>
      <c r="F467" s="157" t="s">
        <v>1683</v>
      </c>
      <c r="G467" s="157" t="s">
        <v>1684</v>
      </c>
      <c r="H467" s="157"/>
      <c r="I467" s="158">
        <v>-4.50856</v>
      </c>
      <c r="J467" s="158">
        <v>48.41281</v>
      </c>
      <c r="K467" s="157" t="s">
        <v>1685</v>
      </c>
      <c r="L467" s="157" t="s">
        <v>648</v>
      </c>
      <c r="M467" s="158">
        <v>2022.0</v>
      </c>
      <c r="N467" s="157" t="s">
        <v>116</v>
      </c>
      <c r="O467" s="157" t="s">
        <v>658</v>
      </c>
      <c r="P467" s="161" t="b">
        <v>1</v>
      </c>
      <c r="Q467" s="158">
        <v>0.137</v>
      </c>
      <c r="R467" s="158">
        <v>0.07535</v>
      </c>
      <c r="S467" s="158">
        <v>0.06165</v>
      </c>
      <c r="T467" s="157" t="s">
        <v>116</v>
      </c>
      <c r="U467" s="46" t="s">
        <v>651</v>
      </c>
      <c r="V467" s="46" t="b">
        <v>1</v>
      </c>
      <c r="W467" s="46">
        <v>0.95</v>
      </c>
      <c r="X467" s="46">
        <v>0.0715825</v>
      </c>
      <c r="Y467" s="46" t="s">
        <v>640</v>
      </c>
      <c r="Z467" s="46" t="b">
        <v>0</v>
      </c>
      <c r="AA467" s="46" t="b">
        <v>0</v>
      </c>
    </row>
    <row r="468">
      <c r="A468" s="157" t="s">
        <v>566</v>
      </c>
      <c r="B468" s="158">
        <v>3.0</v>
      </c>
      <c r="C468" s="157" t="s">
        <v>1215</v>
      </c>
      <c r="D468" s="157" t="s">
        <v>1216</v>
      </c>
      <c r="E468" s="157" t="s">
        <v>1217</v>
      </c>
      <c r="F468" s="157" t="s">
        <v>1686</v>
      </c>
      <c r="G468" s="157" t="s">
        <v>1687</v>
      </c>
      <c r="H468" s="157"/>
      <c r="I468" s="158">
        <v>18.92638779</v>
      </c>
      <c r="J468" s="158">
        <v>51.10305405</v>
      </c>
      <c r="K468" s="157" t="s">
        <v>1688</v>
      </c>
      <c r="L468" s="157" t="s">
        <v>648</v>
      </c>
      <c r="M468" s="158">
        <v>2022.0</v>
      </c>
      <c r="N468" s="157" t="s">
        <v>114</v>
      </c>
      <c r="O468" s="157" t="s">
        <v>1221</v>
      </c>
      <c r="P468" s="161" t="b">
        <v>1</v>
      </c>
      <c r="Q468" s="158">
        <v>1.65</v>
      </c>
      <c r="R468" s="158">
        <v>0.075137346</v>
      </c>
      <c r="S468" s="158">
        <v>1.574862654</v>
      </c>
      <c r="T468" s="157" t="s">
        <v>114</v>
      </c>
      <c r="U468" s="46" t="s">
        <v>651</v>
      </c>
      <c r="V468" s="46" t="b">
        <v>1</v>
      </c>
      <c r="W468" s="46">
        <v>0.95</v>
      </c>
      <c r="X468" s="46">
        <v>0.0713804786999999</v>
      </c>
      <c r="Y468" s="46" t="s">
        <v>640</v>
      </c>
      <c r="Z468" s="46" t="b">
        <v>0</v>
      </c>
      <c r="AA468" s="46" t="b">
        <v>0</v>
      </c>
    </row>
    <row r="469">
      <c r="A469" s="157" t="s">
        <v>559</v>
      </c>
      <c r="B469" s="158">
        <v>1.0</v>
      </c>
      <c r="C469" s="157" t="s">
        <v>642</v>
      </c>
      <c r="D469" s="157" t="s">
        <v>643</v>
      </c>
      <c r="E469" s="157" t="s">
        <v>644</v>
      </c>
      <c r="F469" s="157" t="s">
        <v>1689</v>
      </c>
      <c r="G469" s="157" t="s">
        <v>1690</v>
      </c>
      <c r="H469" s="157"/>
      <c r="I469" s="158">
        <v>9.6491</v>
      </c>
      <c r="J469" s="158">
        <v>45.2219</v>
      </c>
      <c r="K469" s="157" t="s">
        <v>1691</v>
      </c>
      <c r="L469" s="157" t="s">
        <v>648</v>
      </c>
      <c r="M469" s="158">
        <v>2022.0</v>
      </c>
      <c r="N469" s="157" t="s">
        <v>649</v>
      </c>
      <c r="O469" s="157" t="s">
        <v>650</v>
      </c>
      <c r="P469" s="161" t="b">
        <v>0</v>
      </c>
      <c r="Q469" s="158">
        <v>1.024162036</v>
      </c>
      <c r="R469" s="158">
        <v>0.074278783</v>
      </c>
      <c r="S469" s="158">
        <v>0.949883253</v>
      </c>
      <c r="T469" s="157" t="s">
        <v>594</v>
      </c>
      <c r="U469" s="46" t="s">
        <v>651</v>
      </c>
      <c r="V469" s="46" t="b">
        <v>1</v>
      </c>
      <c r="W469" s="46">
        <v>0.95</v>
      </c>
      <c r="X469" s="46">
        <v>0.07056484385</v>
      </c>
      <c r="Y469" s="46">
        <v>10.7279600435088</v>
      </c>
      <c r="Z469" s="46" t="b">
        <v>1</v>
      </c>
      <c r="AA469" s="46" t="b">
        <v>1</v>
      </c>
    </row>
    <row r="470">
      <c r="A470" s="157" t="s">
        <v>556</v>
      </c>
      <c r="B470" s="158">
        <v>5.0</v>
      </c>
      <c r="C470" s="157" t="s">
        <v>652</v>
      </c>
      <c r="D470" s="157" t="s">
        <v>653</v>
      </c>
      <c r="E470" s="157" t="s">
        <v>654</v>
      </c>
      <c r="F470" s="157" t="s">
        <v>1692</v>
      </c>
      <c r="G470" s="157" t="s">
        <v>1693</v>
      </c>
      <c r="H470" s="157"/>
      <c r="I470" s="158">
        <v>5.75885</v>
      </c>
      <c r="J470" s="158">
        <v>45.19794</v>
      </c>
      <c r="K470" s="157" t="s">
        <v>1694</v>
      </c>
      <c r="L470" s="157" t="s">
        <v>648</v>
      </c>
      <c r="M470" s="158">
        <v>2022.0</v>
      </c>
      <c r="N470" s="157" t="s">
        <v>116</v>
      </c>
      <c r="O470" s="157" t="s">
        <v>658</v>
      </c>
      <c r="P470" s="161" t="b">
        <v>1</v>
      </c>
      <c r="Q470" s="158">
        <v>0.135</v>
      </c>
      <c r="R470" s="158">
        <v>0.07425</v>
      </c>
      <c r="S470" s="158">
        <v>0.06075</v>
      </c>
      <c r="T470" s="157" t="s">
        <v>116</v>
      </c>
      <c r="U470" s="46" t="s">
        <v>651</v>
      </c>
      <c r="V470" s="46" t="b">
        <v>1</v>
      </c>
      <c r="W470" s="46">
        <v>0.95</v>
      </c>
      <c r="X470" s="46">
        <v>0.0705374999999999</v>
      </c>
      <c r="Y470" s="46">
        <v>75.6037601962541</v>
      </c>
      <c r="Z470" s="46" t="b">
        <v>0</v>
      </c>
      <c r="AA470" s="46" t="b">
        <v>1</v>
      </c>
    </row>
    <row r="471">
      <c r="A471" s="157" t="s">
        <v>567</v>
      </c>
      <c r="B471" s="158">
        <v>2.0</v>
      </c>
      <c r="C471" s="157" t="s">
        <v>916</v>
      </c>
      <c r="D471" s="157" t="s">
        <v>1203</v>
      </c>
      <c r="E471" s="157" t="s">
        <v>1204</v>
      </c>
      <c r="F471" s="157" t="s">
        <v>1695</v>
      </c>
      <c r="G471" s="157" t="s">
        <v>1696</v>
      </c>
      <c r="H471" s="157"/>
      <c r="I471" s="158">
        <v>5.29649</v>
      </c>
      <c r="J471" s="158">
        <v>61.77319</v>
      </c>
      <c r="K471" s="157" t="s">
        <v>1697</v>
      </c>
      <c r="L471" s="157" t="s">
        <v>648</v>
      </c>
      <c r="M471" s="158">
        <v>2017.0</v>
      </c>
      <c r="N471" s="157" t="s">
        <v>549</v>
      </c>
      <c r="O471" s="157" t="s">
        <v>1208</v>
      </c>
      <c r="P471" s="161" t="b">
        <v>1</v>
      </c>
      <c r="Q471" s="158">
        <v>0.319</v>
      </c>
      <c r="R471" s="158">
        <v>0.074</v>
      </c>
      <c r="S471" s="158">
        <v>0.245</v>
      </c>
      <c r="T471" s="157" t="s">
        <v>549</v>
      </c>
      <c r="U471" s="46" t="s">
        <v>651</v>
      </c>
      <c r="V471" s="46" t="b">
        <v>1</v>
      </c>
      <c r="W471" s="46">
        <v>0.95</v>
      </c>
      <c r="X471" s="46">
        <v>0.0702999999999999</v>
      </c>
      <c r="Y471" s="46" t="s">
        <v>640</v>
      </c>
      <c r="Z471" s="46" t="b">
        <v>0</v>
      </c>
      <c r="AA471" s="46" t="b">
        <v>0</v>
      </c>
    </row>
    <row r="472">
      <c r="A472" s="157" t="s">
        <v>566</v>
      </c>
      <c r="B472" s="158">
        <v>1.0</v>
      </c>
      <c r="C472" s="157" t="s">
        <v>642</v>
      </c>
      <c r="D472" s="157" t="s">
        <v>643</v>
      </c>
      <c r="E472" s="157" t="s">
        <v>644</v>
      </c>
      <c r="F472" s="157" t="s">
        <v>1698</v>
      </c>
      <c r="G472" s="157" t="s">
        <v>1699</v>
      </c>
      <c r="H472" s="157"/>
      <c r="I472" s="158">
        <v>14.53813648</v>
      </c>
      <c r="J472" s="158">
        <v>53.56982803</v>
      </c>
      <c r="K472" s="157" t="s">
        <v>1700</v>
      </c>
      <c r="L472" s="157" t="s">
        <v>648</v>
      </c>
      <c r="M472" s="158">
        <v>2022.0</v>
      </c>
      <c r="N472" s="157" t="s">
        <v>649</v>
      </c>
      <c r="O472" s="157" t="s">
        <v>650</v>
      </c>
      <c r="P472" s="161" t="b">
        <v>0</v>
      </c>
      <c r="Q472" s="158">
        <v>1.02</v>
      </c>
      <c r="R472" s="158">
        <v>0.073976925</v>
      </c>
      <c r="S472" s="158">
        <v>0.946023075</v>
      </c>
      <c r="T472" s="157" t="s">
        <v>594</v>
      </c>
      <c r="U472" s="46" t="s">
        <v>651</v>
      </c>
      <c r="V472" s="46" t="b">
        <v>1</v>
      </c>
      <c r="W472" s="46">
        <v>0.95</v>
      </c>
      <c r="X472" s="46">
        <v>0.07027807875</v>
      </c>
      <c r="Y472" s="46">
        <v>105.254111555021</v>
      </c>
      <c r="Z472" s="46" t="b">
        <v>0</v>
      </c>
      <c r="AA472" s="46" t="b">
        <v>0</v>
      </c>
    </row>
    <row r="473">
      <c r="A473" s="157" t="s">
        <v>568</v>
      </c>
      <c r="B473" s="158">
        <v>1.0</v>
      </c>
      <c r="C473" s="157" t="s">
        <v>642</v>
      </c>
      <c r="D473" s="157" t="s">
        <v>643</v>
      </c>
      <c r="E473" s="157" t="s">
        <v>644</v>
      </c>
      <c r="F473" s="157" t="s">
        <v>1701</v>
      </c>
      <c r="G473" s="157" t="s">
        <v>1702</v>
      </c>
      <c r="H473" s="157"/>
      <c r="I473" s="158">
        <v>12.1427187430838</v>
      </c>
      <c r="J473" s="158">
        <v>55.5093869239486</v>
      </c>
      <c r="K473" s="157" t="s">
        <v>1703</v>
      </c>
      <c r="L473" s="157" t="s">
        <v>648</v>
      </c>
      <c r="M473" s="158">
        <v>2022.0</v>
      </c>
      <c r="N473" s="157" t="s">
        <v>649</v>
      </c>
      <c r="O473" s="157" t="s">
        <v>650</v>
      </c>
      <c r="P473" s="161" t="b">
        <v>0</v>
      </c>
      <c r="Q473" s="158">
        <v>0.07489106</v>
      </c>
      <c r="R473" s="158">
        <v>0.07396762</v>
      </c>
      <c r="S473" s="158">
        <v>9.2344E-4</v>
      </c>
      <c r="T473" s="157" t="s">
        <v>117</v>
      </c>
      <c r="U473" s="46" t="s">
        <v>651</v>
      </c>
      <c r="V473" s="46" t="b">
        <v>0</v>
      </c>
      <c r="W473" s="46">
        <v>0.95</v>
      </c>
      <c r="X473" s="46">
        <v>0.0</v>
      </c>
      <c r="Y473" s="46">
        <v>9.16795544850855</v>
      </c>
      <c r="Z473" s="46" t="b">
        <v>1</v>
      </c>
      <c r="AA473" s="46" t="b">
        <v>1</v>
      </c>
    </row>
    <row r="474">
      <c r="A474" s="157" t="s">
        <v>556</v>
      </c>
      <c r="B474" s="158">
        <v>5.0</v>
      </c>
      <c r="C474" s="157" t="s">
        <v>652</v>
      </c>
      <c r="D474" s="157" t="s">
        <v>653</v>
      </c>
      <c r="E474" s="157" t="s">
        <v>654</v>
      </c>
      <c r="F474" s="157" t="s">
        <v>1704</v>
      </c>
      <c r="G474" s="157" t="s">
        <v>1705</v>
      </c>
      <c r="H474" s="157"/>
      <c r="I474" s="158">
        <v>4.91605</v>
      </c>
      <c r="J474" s="158">
        <v>45.8224</v>
      </c>
      <c r="K474" s="157" t="s">
        <v>1706</v>
      </c>
      <c r="L474" s="157" t="s">
        <v>648</v>
      </c>
      <c r="M474" s="158">
        <v>2022.0</v>
      </c>
      <c r="N474" s="157" t="s">
        <v>116</v>
      </c>
      <c r="O474" s="157" t="s">
        <v>658</v>
      </c>
      <c r="P474" s="161" t="b">
        <v>1</v>
      </c>
      <c r="Q474" s="158">
        <v>0.134</v>
      </c>
      <c r="R474" s="158">
        <v>0.0737</v>
      </c>
      <c r="S474" s="158">
        <v>0.0603</v>
      </c>
      <c r="T474" s="157" t="s">
        <v>116</v>
      </c>
      <c r="U474" s="46" t="s">
        <v>651</v>
      </c>
      <c r="V474" s="46" t="b">
        <v>1</v>
      </c>
      <c r="W474" s="46">
        <v>0.95</v>
      </c>
      <c r="X474" s="46">
        <v>0.070015</v>
      </c>
      <c r="Y474" s="46">
        <v>6.68725192128337</v>
      </c>
      <c r="Z474" s="46" t="b">
        <v>1</v>
      </c>
      <c r="AA474" s="46" t="b">
        <v>1</v>
      </c>
    </row>
    <row r="475">
      <c r="A475" s="157" t="s">
        <v>564</v>
      </c>
      <c r="B475" s="158">
        <v>5.0</v>
      </c>
      <c r="C475" s="157" t="s">
        <v>652</v>
      </c>
      <c r="D475" s="157" t="s">
        <v>653</v>
      </c>
      <c r="E475" s="157" t="s">
        <v>654</v>
      </c>
      <c r="F475" s="157" t="s">
        <v>1707</v>
      </c>
      <c r="G475" s="157" t="s">
        <v>1708</v>
      </c>
      <c r="H475" s="157"/>
      <c r="I475" s="158">
        <v>8.2678</v>
      </c>
      <c r="J475" s="158">
        <v>47.4844</v>
      </c>
      <c r="K475" s="157" t="s">
        <v>1709</v>
      </c>
      <c r="L475" s="157" t="s">
        <v>648</v>
      </c>
      <c r="M475" s="158">
        <v>2021.0</v>
      </c>
      <c r="N475" s="157" t="s">
        <v>116</v>
      </c>
      <c r="O475" s="157" t="s">
        <v>658</v>
      </c>
      <c r="P475" s="161" t="b">
        <v>1</v>
      </c>
      <c r="Q475" s="158">
        <v>0.134</v>
      </c>
      <c r="R475" s="158">
        <v>0.0737</v>
      </c>
      <c r="S475" s="158">
        <v>0.0603</v>
      </c>
      <c r="T475" s="157" t="s">
        <v>116</v>
      </c>
      <c r="U475" s="46" t="s">
        <v>651</v>
      </c>
      <c r="V475" s="46" t="b">
        <v>1</v>
      </c>
      <c r="W475" s="46">
        <v>0.95</v>
      </c>
      <c r="X475" s="46">
        <v>0.070015</v>
      </c>
      <c r="Y475" s="46">
        <v>16.2369273325616</v>
      </c>
      <c r="Z475" s="46" t="b">
        <v>1</v>
      </c>
      <c r="AA475" s="46" t="b">
        <v>1</v>
      </c>
    </row>
    <row r="476">
      <c r="A476" s="157" t="s">
        <v>559</v>
      </c>
      <c r="B476" s="158">
        <v>5.0</v>
      </c>
      <c r="C476" s="157" t="s">
        <v>652</v>
      </c>
      <c r="D476" s="157" t="s">
        <v>653</v>
      </c>
      <c r="E476" s="157" t="s">
        <v>654</v>
      </c>
      <c r="F476" s="157" t="s">
        <v>1710</v>
      </c>
      <c r="G476" s="157" t="s">
        <v>1711</v>
      </c>
      <c r="H476" s="157"/>
      <c r="I476" s="158">
        <v>12.6345</v>
      </c>
      <c r="J476" s="158">
        <v>43.9793</v>
      </c>
      <c r="K476" s="157" t="s">
        <v>1712</v>
      </c>
      <c r="L476" s="157" t="s">
        <v>648</v>
      </c>
      <c r="M476" s="158">
        <v>2022.0</v>
      </c>
      <c r="N476" s="157" t="s">
        <v>116</v>
      </c>
      <c r="O476" s="157" t="s">
        <v>658</v>
      </c>
      <c r="P476" s="161" t="b">
        <v>1</v>
      </c>
      <c r="Q476" s="158">
        <v>0.133582619</v>
      </c>
      <c r="R476" s="158">
        <v>0.07347044</v>
      </c>
      <c r="S476" s="158">
        <v>0.060112178</v>
      </c>
      <c r="T476" s="157" t="s">
        <v>116</v>
      </c>
      <c r="U476" s="46" t="s">
        <v>651</v>
      </c>
      <c r="V476" s="46" t="b">
        <v>1</v>
      </c>
      <c r="W476" s="46">
        <v>0.95</v>
      </c>
      <c r="X476" s="46">
        <v>0.069796918</v>
      </c>
      <c r="Y476" s="46">
        <v>58.0398447934792</v>
      </c>
      <c r="Z476" s="46" t="b">
        <v>0</v>
      </c>
      <c r="AA476" s="46" t="b">
        <v>1</v>
      </c>
    </row>
    <row r="477">
      <c r="A477" s="157" t="s">
        <v>559</v>
      </c>
      <c r="B477" s="158">
        <v>5.0</v>
      </c>
      <c r="C477" s="157" t="s">
        <v>652</v>
      </c>
      <c r="D477" s="157" t="s">
        <v>653</v>
      </c>
      <c r="E477" s="157" t="s">
        <v>654</v>
      </c>
      <c r="F477" s="157" t="s">
        <v>1713</v>
      </c>
      <c r="G477" s="157" t="s">
        <v>1714</v>
      </c>
      <c r="H477" s="157"/>
      <c r="I477" s="158">
        <v>11.5535</v>
      </c>
      <c r="J477" s="158">
        <v>44.8605</v>
      </c>
      <c r="K477" s="157" t="s">
        <v>1661</v>
      </c>
      <c r="L477" s="157" t="s">
        <v>648</v>
      </c>
      <c r="M477" s="158">
        <v>2022.0</v>
      </c>
      <c r="N477" s="157" t="s">
        <v>116</v>
      </c>
      <c r="O477" s="157" t="s">
        <v>658</v>
      </c>
      <c r="P477" s="161" t="b">
        <v>1</v>
      </c>
      <c r="Q477" s="158">
        <v>0.133554</v>
      </c>
      <c r="R477" s="158">
        <v>0.0734547</v>
      </c>
      <c r="S477" s="158">
        <v>0.0600993</v>
      </c>
      <c r="T477" s="157" t="s">
        <v>116</v>
      </c>
      <c r="U477" s="46" t="s">
        <v>651</v>
      </c>
      <c r="V477" s="46" t="b">
        <v>1</v>
      </c>
      <c r="W477" s="46">
        <v>0.95</v>
      </c>
      <c r="X477" s="46">
        <v>0.069781965</v>
      </c>
      <c r="Y477" s="46">
        <v>2.00727845458746</v>
      </c>
      <c r="Z477" s="46" t="b">
        <v>1</v>
      </c>
      <c r="AA477" s="46" t="b">
        <v>1</v>
      </c>
    </row>
    <row r="478">
      <c r="A478" s="157" t="s">
        <v>577</v>
      </c>
      <c r="B478" s="158">
        <v>3.0</v>
      </c>
      <c r="C478" s="157" t="s">
        <v>1215</v>
      </c>
      <c r="D478" s="157" t="s">
        <v>1371</v>
      </c>
      <c r="E478" s="157" t="s">
        <v>1372</v>
      </c>
      <c r="F478" s="157" t="s">
        <v>1715</v>
      </c>
      <c r="G478" s="157" t="s">
        <v>1716</v>
      </c>
      <c r="H478" s="157"/>
      <c r="I478" s="158">
        <v>13.628036</v>
      </c>
      <c r="J478" s="158">
        <v>46.06865</v>
      </c>
      <c r="K478" s="157" t="s">
        <v>1717</v>
      </c>
      <c r="L478" s="157" t="s">
        <v>648</v>
      </c>
      <c r="M478" s="158">
        <v>2022.0</v>
      </c>
      <c r="N478" s="157" t="s">
        <v>114</v>
      </c>
      <c r="O478" s="157" t="s">
        <v>1376</v>
      </c>
      <c r="P478" s="161" t="b">
        <v>1</v>
      </c>
      <c r="Q478" s="158">
        <v>0.799524278</v>
      </c>
      <c r="R478" s="158">
        <v>0.072705278</v>
      </c>
      <c r="S478" s="158">
        <v>0.726819</v>
      </c>
      <c r="T478" s="157" t="s">
        <v>114</v>
      </c>
      <c r="U478" s="46" t="s">
        <v>651</v>
      </c>
      <c r="V478" s="46" t="b">
        <v>1</v>
      </c>
      <c r="W478" s="46">
        <v>0.95</v>
      </c>
      <c r="X478" s="46">
        <v>0.0690700141</v>
      </c>
      <c r="Y478" s="46">
        <v>123.55079180374</v>
      </c>
      <c r="Z478" s="46" t="b">
        <v>0</v>
      </c>
      <c r="AA478" s="46" t="b">
        <v>0</v>
      </c>
    </row>
    <row r="479">
      <c r="A479" s="157" t="s">
        <v>557</v>
      </c>
      <c r="B479" s="158">
        <v>5.0</v>
      </c>
      <c r="C479" s="157" t="s">
        <v>652</v>
      </c>
      <c r="D479" s="157" t="s">
        <v>653</v>
      </c>
      <c r="E479" s="157" t="s">
        <v>654</v>
      </c>
      <c r="F479" s="162" t="s">
        <v>1718</v>
      </c>
      <c r="G479" s="157" t="s">
        <v>1719</v>
      </c>
      <c r="H479" s="157"/>
      <c r="I479" s="158">
        <v>10.954882757162</v>
      </c>
      <c r="J479" s="158">
        <v>50.2852881381061</v>
      </c>
      <c r="K479" s="157" t="s">
        <v>1720</v>
      </c>
      <c r="L479" s="157" t="s">
        <v>648</v>
      </c>
      <c r="M479" s="158">
        <v>2022.0</v>
      </c>
      <c r="N479" s="157" t="s">
        <v>116</v>
      </c>
      <c r="O479" s="157" t="s">
        <v>658</v>
      </c>
      <c r="P479" s="161" t="b">
        <v>1</v>
      </c>
      <c r="Q479" s="158">
        <v>0.121</v>
      </c>
      <c r="R479" s="158">
        <v>0.0725</v>
      </c>
      <c r="S479" s="158">
        <v>0.0485</v>
      </c>
      <c r="T479" s="157" t="s">
        <v>116</v>
      </c>
      <c r="U479" s="46" t="s">
        <v>651</v>
      </c>
      <c r="V479" s="46" t="b">
        <v>1</v>
      </c>
      <c r="W479" s="46">
        <v>0.95</v>
      </c>
      <c r="X479" s="46">
        <v>0.0688749999999999</v>
      </c>
      <c r="Y479" s="46">
        <v>63.4605110945616</v>
      </c>
      <c r="Z479" s="46" t="b">
        <v>0</v>
      </c>
      <c r="AA479" s="46" t="b">
        <v>1</v>
      </c>
    </row>
    <row r="480">
      <c r="A480" s="157" t="s">
        <v>561</v>
      </c>
      <c r="B480" s="158">
        <v>1.0</v>
      </c>
      <c r="C480" s="157" t="s">
        <v>642</v>
      </c>
      <c r="D480" s="157" t="s">
        <v>643</v>
      </c>
      <c r="E480" s="157" t="s">
        <v>644</v>
      </c>
      <c r="F480" s="157" t="s">
        <v>1721</v>
      </c>
      <c r="G480" s="157" t="s">
        <v>1722</v>
      </c>
      <c r="H480" s="157"/>
      <c r="I480" s="158">
        <v>2.689966</v>
      </c>
      <c r="J480" s="158">
        <v>39.567803</v>
      </c>
      <c r="K480" s="157" t="s">
        <v>937</v>
      </c>
      <c r="L480" s="157" t="s">
        <v>648</v>
      </c>
      <c r="M480" s="158">
        <v>2022.0</v>
      </c>
      <c r="N480" s="157" t="s">
        <v>649</v>
      </c>
      <c r="O480" s="157" t="s">
        <v>650</v>
      </c>
      <c r="P480" s="161" t="b">
        <v>0</v>
      </c>
      <c r="Q480" s="158">
        <v>0.996</v>
      </c>
      <c r="R480" s="158">
        <v>0.072236291</v>
      </c>
      <c r="S480" s="158">
        <v>0.923763709</v>
      </c>
      <c r="T480" s="157" t="s">
        <v>594</v>
      </c>
      <c r="U480" s="46" t="s">
        <v>651</v>
      </c>
      <c r="V480" s="46" t="b">
        <v>1</v>
      </c>
      <c r="W480" s="46">
        <v>0.95</v>
      </c>
      <c r="X480" s="46">
        <v>0.0686244764499999</v>
      </c>
      <c r="Y480" s="46" t="s">
        <v>640</v>
      </c>
      <c r="Z480" s="46" t="b">
        <v>0</v>
      </c>
      <c r="AA480" s="46" t="b">
        <v>0</v>
      </c>
    </row>
    <row r="481">
      <c r="A481" s="157" t="s">
        <v>559</v>
      </c>
      <c r="B481" s="158">
        <v>5.0</v>
      </c>
      <c r="C481" s="157" t="s">
        <v>652</v>
      </c>
      <c r="D481" s="157" t="s">
        <v>653</v>
      </c>
      <c r="E481" s="157" t="s">
        <v>654</v>
      </c>
      <c r="F481" s="157" t="s">
        <v>1723</v>
      </c>
      <c r="G481" s="157" t="s">
        <v>1724</v>
      </c>
      <c r="H481" s="157"/>
      <c r="I481" s="158">
        <v>9.3583</v>
      </c>
      <c r="J481" s="158">
        <v>45.8378</v>
      </c>
      <c r="K481" s="157" t="s">
        <v>1725</v>
      </c>
      <c r="L481" s="157" t="s">
        <v>648</v>
      </c>
      <c r="M481" s="158">
        <v>2022.0</v>
      </c>
      <c r="N481" s="157" t="s">
        <v>116</v>
      </c>
      <c r="O481" s="157" t="s">
        <v>658</v>
      </c>
      <c r="P481" s="161" t="b">
        <v>1</v>
      </c>
      <c r="Q481" s="158">
        <v>0.13055845</v>
      </c>
      <c r="R481" s="158">
        <v>0.071807148</v>
      </c>
      <c r="S481" s="158">
        <v>0.058751303</v>
      </c>
      <c r="T481" s="157" t="s">
        <v>116</v>
      </c>
      <c r="U481" s="46" t="s">
        <v>651</v>
      </c>
      <c r="V481" s="46" t="b">
        <v>1</v>
      </c>
      <c r="W481" s="46">
        <v>0.95</v>
      </c>
      <c r="X481" s="46">
        <v>0.0682167906</v>
      </c>
      <c r="Y481" s="46">
        <v>34.1964710203531</v>
      </c>
      <c r="Z481" s="46" t="b">
        <v>1</v>
      </c>
      <c r="AA481" s="46" t="b">
        <v>1</v>
      </c>
    </row>
    <row r="482">
      <c r="A482" s="157" t="s">
        <v>561</v>
      </c>
      <c r="B482" s="158">
        <v>1.0</v>
      </c>
      <c r="C482" s="157" t="s">
        <v>642</v>
      </c>
      <c r="D482" s="157" t="s">
        <v>643</v>
      </c>
      <c r="E482" s="157" t="s">
        <v>644</v>
      </c>
      <c r="F482" s="157" t="s">
        <v>1726</v>
      </c>
      <c r="G482" s="157" t="s">
        <v>1727</v>
      </c>
      <c r="H482" s="157"/>
      <c r="I482" s="158">
        <v>-5.815155</v>
      </c>
      <c r="J482" s="158">
        <v>36.675206</v>
      </c>
      <c r="K482" s="157" t="s">
        <v>1728</v>
      </c>
      <c r="L482" s="157" t="s">
        <v>648</v>
      </c>
      <c r="M482" s="158">
        <v>2022.0</v>
      </c>
      <c r="N482" s="157" t="s">
        <v>649</v>
      </c>
      <c r="O482" s="157" t="s">
        <v>650</v>
      </c>
      <c r="P482" s="161" t="b">
        <v>0</v>
      </c>
      <c r="Q482" s="158">
        <v>0.99</v>
      </c>
      <c r="R482" s="158">
        <v>0.071801133</v>
      </c>
      <c r="S482" s="158">
        <v>0.918198867</v>
      </c>
      <c r="T482" s="157" t="s">
        <v>594</v>
      </c>
      <c r="U482" s="46" t="s">
        <v>651</v>
      </c>
      <c r="V482" s="46" t="b">
        <v>1</v>
      </c>
      <c r="W482" s="46">
        <v>0.95</v>
      </c>
      <c r="X482" s="46">
        <v>0.06821107635</v>
      </c>
      <c r="Y482" s="46" t="s">
        <v>640</v>
      </c>
      <c r="Z482" s="46" t="b">
        <v>0</v>
      </c>
      <c r="AA482" s="46" t="b">
        <v>0</v>
      </c>
    </row>
    <row r="483">
      <c r="A483" s="157" t="s">
        <v>556</v>
      </c>
      <c r="B483" s="158">
        <v>5.0</v>
      </c>
      <c r="C483" s="157" t="s">
        <v>652</v>
      </c>
      <c r="D483" s="157" t="s">
        <v>653</v>
      </c>
      <c r="E483" s="157" t="s">
        <v>654</v>
      </c>
      <c r="F483" s="157" t="s">
        <v>1729</v>
      </c>
      <c r="G483" s="157" t="s">
        <v>1730</v>
      </c>
      <c r="H483" s="157"/>
      <c r="I483" s="158">
        <v>7.4</v>
      </c>
      <c r="J483" s="158">
        <v>47.7</v>
      </c>
      <c r="K483" s="157" t="s">
        <v>1731</v>
      </c>
      <c r="L483" s="157" t="s">
        <v>648</v>
      </c>
      <c r="M483" s="158">
        <v>2022.0</v>
      </c>
      <c r="N483" s="157" t="s">
        <v>116</v>
      </c>
      <c r="O483" s="157" t="s">
        <v>658</v>
      </c>
      <c r="P483" s="161" t="b">
        <v>1</v>
      </c>
      <c r="Q483" s="158">
        <v>0.13</v>
      </c>
      <c r="R483" s="158">
        <v>0.0715</v>
      </c>
      <c r="S483" s="158">
        <v>0.0585</v>
      </c>
      <c r="T483" s="157" t="s">
        <v>116</v>
      </c>
      <c r="U483" s="46" t="s">
        <v>651</v>
      </c>
      <c r="V483" s="46" t="b">
        <v>1</v>
      </c>
      <c r="W483" s="46">
        <v>0.95</v>
      </c>
      <c r="X483" s="46">
        <v>0.0679249999999999</v>
      </c>
      <c r="Y483" s="46">
        <v>48.2342147994243</v>
      </c>
      <c r="Z483" s="46" t="b">
        <v>1</v>
      </c>
      <c r="AA483" s="46" t="b">
        <v>1</v>
      </c>
    </row>
    <row r="484">
      <c r="A484" s="157" t="s">
        <v>554</v>
      </c>
      <c r="B484" s="158">
        <v>1.0</v>
      </c>
      <c r="C484" s="157" t="s">
        <v>642</v>
      </c>
      <c r="D484" s="157" t="s">
        <v>643</v>
      </c>
      <c r="E484" s="157" t="s">
        <v>644</v>
      </c>
      <c r="F484" s="157" t="s">
        <v>1732</v>
      </c>
      <c r="G484" s="157" t="s">
        <v>1733</v>
      </c>
      <c r="H484" s="157"/>
      <c r="I484" s="158">
        <v>12.92871</v>
      </c>
      <c r="J484" s="158">
        <v>57.72856</v>
      </c>
      <c r="K484" s="157" t="s">
        <v>1734</v>
      </c>
      <c r="L484" s="157" t="s">
        <v>648</v>
      </c>
      <c r="M484" s="158">
        <v>2022.0</v>
      </c>
      <c r="N484" s="157" t="s">
        <v>649</v>
      </c>
      <c r="O484" s="157" t="s">
        <v>650</v>
      </c>
      <c r="P484" s="161" t="b">
        <v>0</v>
      </c>
      <c r="Q484" s="158">
        <v>0.113</v>
      </c>
      <c r="R484" s="158">
        <v>0.0713</v>
      </c>
      <c r="S484" s="158">
        <v>0.0417</v>
      </c>
      <c r="T484" s="157" t="s">
        <v>117</v>
      </c>
      <c r="U484" s="46" t="s">
        <v>651</v>
      </c>
      <c r="V484" s="46" t="b">
        <v>1</v>
      </c>
      <c r="W484" s="46">
        <v>0.95</v>
      </c>
      <c r="X484" s="46">
        <v>0.067735</v>
      </c>
      <c r="Y484" s="46" t="s">
        <v>640</v>
      </c>
      <c r="Z484" s="46" t="b">
        <v>0</v>
      </c>
      <c r="AA484" s="46" t="b">
        <v>0</v>
      </c>
    </row>
    <row r="485">
      <c r="A485" s="157" t="s">
        <v>554</v>
      </c>
      <c r="B485" s="158">
        <v>5.0</v>
      </c>
      <c r="C485" s="157" t="s">
        <v>652</v>
      </c>
      <c r="D485" s="157" t="s">
        <v>653</v>
      </c>
      <c r="E485" s="157" t="s">
        <v>654</v>
      </c>
      <c r="F485" s="157" t="s">
        <v>1735</v>
      </c>
      <c r="G485" s="157" t="s">
        <v>1736</v>
      </c>
      <c r="H485" s="157"/>
      <c r="I485" s="158">
        <v>11.99541</v>
      </c>
      <c r="J485" s="158">
        <v>58.36663</v>
      </c>
      <c r="K485" s="157" t="s">
        <v>1737</v>
      </c>
      <c r="L485" s="157" t="s">
        <v>648</v>
      </c>
      <c r="M485" s="158">
        <v>2022.0</v>
      </c>
      <c r="N485" s="157" t="s">
        <v>116</v>
      </c>
      <c r="O485" s="157" t="s">
        <v>658</v>
      </c>
      <c r="P485" s="161" t="b">
        <v>1</v>
      </c>
      <c r="Q485" s="158">
        <v>0.129</v>
      </c>
      <c r="R485" s="158">
        <v>0.0711</v>
      </c>
      <c r="S485" s="158">
        <v>0.0579</v>
      </c>
      <c r="T485" s="157" t="s">
        <v>116</v>
      </c>
      <c r="U485" s="46" t="s">
        <v>651</v>
      </c>
      <c r="V485" s="46" t="b">
        <v>1</v>
      </c>
      <c r="W485" s="46">
        <v>0.95</v>
      </c>
      <c r="X485" s="46">
        <v>0.067545</v>
      </c>
      <c r="Y485" s="46" t="s">
        <v>640</v>
      </c>
      <c r="Z485" s="46" t="b">
        <v>0</v>
      </c>
      <c r="AA485" s="46" t="b">
        <v>0</v>
      </c>
    </row>
    <row r="486">
      <c r="A486" s="157" t="s">
        <v>567</v>
      </c>
      <c r="B486" s="158">
        <v>5.0</v>
      </c>
      <c r="C486" s="157" t="s">
        <v>652</v>
      </c>
      <c r="D486" s="157" t="s">
        <v>653</v>
      </c>
      <c r="E486" s="157" t="s">
        <v>654</v>
      </c>
      <c r="F486" s="157" t="s">
        <v>1738</v>
      </c>
      <c r="G486" s="157" t="s">
        <v>1739</v>
      </c>
      <c r="H486" s="157"/>
      <c r="I486" s="158">
        <v>10.8271294</v>
      </c>
      <c r="J486" s="158">
        <v>59.9295425</v>
      </c>
      <c r="K486" s="157" t="s">
        <v>1068</v>
      </c>
      <c r="L486" s="157" t="s">
        <v>648</v>
      </c>
      <c r="M486" s="158">
        <v>2017.0</v>
      </c>
      <c r="N486" s="157" t="s">
        <v>116</v>
      </c>
      <c r="O486" s="157" t="s">
        <v>658</v>
      </c>
      <c r="P486" s="161" t="b">
        <v>1</v>
      </c>
      <c r="Q486" s="158">
        <v>0.118</v>
      </c>
      <c r="R486" s="158">
        <v>0.071</v>
      </c>
      <c r="S486" s="158">
        <v>0.047</v>
      </c>
      <c r="T486" s="157" t="s">
        <v>116</v>
      </c>
      <c r="U486" s="46" t="s">
        <v>651</v>
      </c>
      <c r="V486" s="46" t="b">
        <v>1</v>
      </c>
      <c r="W486" s="46">
        <v>0.95</v>
      </c>
      <c r="X486" s="46">
        <v>0.06745</v>
      </c>
      <c r="Y486" s="46" t="s">
        <v>640</v>
      </c>
      <c r="Z486" s="46" t="b">
        <v>0</v>
      </c>
      <c r="AA486" s="46" t="b">
        <v>0</v>
      </c>
    </row>
    <row r="487">
      <c r="A487" s="157" t="s">
        <v>562</v>
      </c>
      <c r="B487" s="158">
        <v>6.0</v>
      </c>
      <c r="C487" s="157" t="s">
        <v>659</v>
      </c>
      <c r="D487" s="157" t="s">
        <v>717</v>
      </c>
      <c r="E487" s="157" t="s">
        <v>718</v>
      </c>
      <c r="F487" s="162" t="s">
        <v>1740</v>
      </c>
      <c r="G487" s="157" t="s">
        <v>1741</v>
      </c>
      <c r="H487" s="157"/>
      <c r="I487" s="158">
        <v>5.64152</v>
      </c>
      <c r="J487" s="158">
        <v>50.88175</v>
      </c>
      <c r="K487" s="157" t="s">
        <v>1742</v>
      </c>
      <c r="L487" s="157" t="s">
        <v>648</v>
      </c>
      <c r="M487" s="158">
        <v>2022.0</v>
      </c>
      <c r="N487" s="157" t="s">
        <v>123</v>
      </c>
      <c r="O487" s="157" t="s">
        <v>722</v>
      </c>
      <c r="P487" s="161" t="b">
        <v>1</v>
      </c>
      <c r="Q487" s="158">
        <v>0.163</v>
      </c>
      <c r="R487" s="158">
        <v>0.070529456</v>
      </c>
      <c r="S487" s="158">
        <v>0.092470544</v>
      </c>
      <c r="T487" s="157" t="s">
        <v>123</v>
      </c>
      <c r="U487" s="46" t="s">
        <v>651</v>
      </c>
      <c r="V487" s="46" t="b">
        <v>1</v>
      </c>
      <c r="W487" s="46">
        <v>0.95</v>
      </c>
      <c r="X487" s="46">
        <v>0.0670029832</v>
      </c>
      <c r="Y487" s="46">
        <v>6.32978580065764</v>
      </c>
      <c r="Z487" s="46" t="b">
        <v>1</v>
      </c>
      <c r="AA487" s="46" t="b">
        <v>1</v>
      </c>
    </row>
    <row r="488">
      <c r="A488" s="157" t="s">
        <v>556</v>
      </c>
      <c r="B488" s="158">
        <v>5.0</v>
      </c>
      <c r="C488" s="157" t="s">
        <v>652</v>
      </c>
      <c r="D488" s="157" t="s">
        <v>653</v>
      </c>
      <c r="E488" s="157" t="s">
        <v>654</v>
      </c>
      <c r="F488" s="157" t="s">
        <v>1743</v>
      </c>
      <c r="G488" s="157" t="s">
        <v>1744</v>
      </c>
      <c r="H488" s="157"/>
      <c r="I488" s="158">
        <v>2.38725</v>
      </c>
      <c r="J488" s="158">
        <v>48.9989</v>
      </c>
      <c r="K488" s="157" t="s">
        <v>1745</v>
      </c>
      <c r="L488" s="157" t="s">
        <v>648</v>
      </c>
      <c r="M488" s="158">
        <v>2022.0</v>
      </c>
      <c r="N488" s="157" t="s">
        <v>116</v>
      </c>
      <c r="O488" s="157" t="s">
        <v>658</v>
      </c>
      <c r="P488" s="161" t="b">
        <v>1</v>
      </c>
      <c r="Q488" s="158">
        <v>0.128</v>
      </c>
      <c r="R488" s="158">
        <v>0.0704</v>
      </c>
      <c r="S488" s="158">
        <v>0.0576</v>
      </c>
      <c r="T488" s="157" t="s">
        <v>116</v>
      </c>
      <c r="U488" s="46" t="s">
        <v>651</v>
      </c>
      <c r="V488" s="46" t="b">
        <v>1</v>
      </c>
      <c r="W488" s="46">
        <v>0.95</v>
      </c>
      <c r="X488" s="46">
        <v>0.06688</v>
      </c>
      <c r="Y488" s="46">
        <v>10.8143056999947</v>
      </c>
      <c r="Z488" s="46" t="b">
        <v>1</v>
      </c>
      <c r="AA488" s="46" t="b">
        <v>1</v>
      </c>
    </row>
    <row r="489">
      <c r="A489" s="157" t="s">
        <v>559</v>
      </c>
      <c r="B489" s="158">
        <v>5.0</v>
      </c>
      <c r="C489" s="157" t="s">
        <v>652</v>
      </c>
      <c r="D489" s="157" t="s">
        <v>653</v>
      </c>
      <c r="E489" s="157" t="s">
        <v>654</v>
      </c>
      <c r="F489" s="157" t="s">
        <v>1746</v>
      </c>
      <c r="G489" s="157" t="s">
        <v>1747</v>
      </c>
      <c r="H489" s="157"/>
      <c r="I489" s="158">
        <v>14.1103</v>
      </c>
      <c r="J489" s="158">
        <v>41.5136</v>
      </c>
      <c r="K489" s="157" t="s">
        <v>1748</v>
      </c>
      <c r="L489" s="157" t="s">
        <v>648</v>
      </c>
      <c r="M489" s="158">
        <v>2022.0</v>
      </c>
      <c r="N489" s="157" t="s">
        <v>116</v>
      </c>
      <c r="O489" s="157" t="s">
        <v>658</v>
      </c>
      <c r="P489" s="161" t="b">
        <v>1</v>
      </c>
      <c r="Q489" s="158">
        <v>0.127927093</v>
      </c>
      <c r="R489" s="158">
        <v>0.070359901</v>
      </c>
      <c r="S489" s="158">
        <v>0.057567192</v>
      </c>
      <c r="T489" s="157" t="s">
        <v>116</v>
      </c>
      <c r="U489" s="46" t="s">
        <v>651</v>
      </c>
      <c r="V489" s="46" t="b">
        <v>1</v>
      </c>
      <c r="W489" s="46">
        <v>0.95</v>
      </c>
      <c r="X489" s="46">
        <v>0.06684190595</v>
      </c>
      <c r="Y489" s="46" t="s">
        <v>640</v>
      </c>
      <c r="Z489" s="46" t="b">
        <v>0</v>
      </c>
      <c r="AA489" s="46" t="b">
        <v>0</v>
      </c>
    </row>
    <row r="490">
      <c r="A490" s="157" t="s">
        <v>557</v>
      </c>
      <c r="B490" s="158">
        <v>3.0</v>
      </c>
      <c r="C490" s="157" t="s">
        <v>1215</v>
      </c>
      <c r="D490" s="157" t="s">
        <v>1371</v>
      </c>
      <c r="E490" s="157" t="s">
        <v>1372</v>
      </c>
      <c r="F490" s="162" t="s">
        <v>1749</v>
      </c>
      <c r="G490" s="157" t="s">
        <v>1750</v>
      </c>
      <c r="H490" s="157"/>
      <c r="I490" s="158">
        <v>7.88782764054791</v>
      </c>
      <c r="J490" s="158">
        <v>52.1749858906752</v>
      </c>
      <c r="K490" s="157" t="s">
        <v>1751</v>
      </c>
      <c r="L490" s="157" t="s">
        <v>648</v>
      </c>
      <c r="M490" s="158">
        <v>2022.0</v>
      </c>
      <c r="N490" s="157" t="s">
        <v>114</v>
      </c>
      <c r="O490" s="157" t="s">
        <v>1376</v>
      </c>
      <c r="P490" s="161" t="b">
        <v>1</v>
      </c>
      <c r="Q490" s="158">
        <v>1.11</v>
      </c>
      <c r="R490" s="158">
        <v>0.07</v>
      </c>
      <c r="S490" s="158">
        <v>1.04</v>
      </c>
      <c r="T490" s="157" t="s">
        <v>114</v>
      </c>
      <c r="U490" s="46" t="s">
        <v>651</v>
      </c>
      <c r="V490" s="46" t="b">
        <v>1</v>
      </c>
      <c r="W490" s="46">
        <v>0.95</v>
      </c>
      <c r="X490" s="46">
        <v>0.0665</v>
      </c>
      <c r="Y490" s="46">
        <v>30.9792999647559</v>
      </c>
      <c r="Z490" s="46" t="b">
        <v>1</v>
      </c>
      <c r="AA490" s="46" t="b">
        <v>1</v>
      </c>
    </row>
    <row r="491">
      <c r="A491" s="157" t="s">
        <v>564</v>
      </c>
      <c r="B491" s="158">
        <v>5.0</v>
      </c>
      <c r="C491" s="157" t="s">
        <v>652</v>
      </c>
      <c r="D491" s="157" t="s">
        <v>653</v>
      </c>
      <c r="E491" s="157" t="s">
        <v>654</v>
      </c>
      <c r="F491" s="157" t="s">
        <v>1752</v>
      </c>
      <c r="G491" s="157" t="s">
        <v>1753</v>
      </c>
      <c r="H491" s="157"/>
      <c r="I491" s="158">
        <v>9.0686</v>
      </c>
      <c r="J491" s="158">
        <v>47.4233</v>
      </c>
      <c r="K491" s="157" t="s">
        <v>1754</v>
      </c>
      <c r="L491" s="157" t="s">
        <v>648</v>
      </c>
      <c r="M491" s="158">
        <v>2021.0</v>
      </c>
      <c r="N491" s="157" t="s">
        <v>116</v>
      </c>
      <c r="O491" s="157" t="s">
        <v>658</v>
      </c>
      <c r="P491" s="161" t="b">
        <v>1</v>
      </c>
      <c r="Q491" s="158">
        <v>0.127</v>
      </c>
      <c r="R491" s="158">
        <v>0.06985</v>
      </c>
      <c r="S491" s="158">
        <v>0.05715</v>
      </c>
      <c r="T491" s="157" t="s">
        <v>116</v>
      </c>
      <c r="U491" s="46" t="s">
        <v>651</v>
      </c>
      <c r="V491" s="46" t="b">
        <v>1</v>
      </c>
      <c r="W491" s="46">
        <v>0.95</v>
      </c>
      <c r="X491" s="46">
        <v>0.0663574999999999</v>
      </c>
      <c r="Y491" s="46">
        <v>76.4503972472537</v>
      </c>
      <c r="Z491" s="46" t="b">
        <v>0</v>
      </c>
      <c r="AA491" s="46" t="b">
        <v>1</v>
      </c>
    </row>
    <row r="492">
      <c r="A492" s="157" t="s">
        <v>565</v>
      </c>
      <c r="B492" s="158">
        <v>3.0</v>
      </c>
      <c r="C492" s="157" t="s">
        <v>1215</v>
      </c>
      <c r="D492" s="157" t="s">
        <v>1371</v>
      </c>
      <c r="E492" s="157" t="s">
        <v>1372</v>
      </c>
      <c r="F492" s="157" t="s">
        <v>1755</v>
      </c>
      <c r="G492" s="157" t="s">
        <v>1756</v>
      </c>
      <c r="H492" s="157"/>
      <c r="I492" s="158">
        <v>16.77168227</v>
      </c>
      <c r="J492" s="158">
        <v>49.21641099</v>
      </c>
      <c r="K492" s="157" t="s">
        <v>1757</v>
      </c>
      <c r="L492" s="157" t="s">
        <v>648</v>
      </c>
      <c r="M492" s="158">
        <v>2020.0</v>
      </c>
      <c r="N492" s="157" t="s">
        <v>114</v>
      </c>
      <c r="O492" s="157" t="s">
        <v>1376</v>
      </c>
      <c r="P492" s="161" t="b">
        <v>1</v>
      </c>
      <c r="Q492" s="158">
        <v>0.765793</v>
      </c>
      <c r="R492" s="158">
        <v>0.069835</v>
      </c>
      <c r="S492" s="158">
        <v>0.695958</v>
      </c>
      <c r="T492" s="157" t="s">
        <v>114</v>
      </c>
      <c r="U492" s="46" t="s">
        <v>651</v>
      </c>
      <c r="V492" s="46" t="b">
        <v>1</v>
      </c>
      <c r="W492" s="46">
        <v>0.95</v>
      </c>
      <c r="X492" s="46">
        <v>0.0663432499999999</v>
      </c>
      <c r="Y492" s="46" t="s">
        <v>640</v>
      </c>
      <c r="Z492" s="46" t="b">
        <v>0</v>
      </c>
      <c r="AA492" s="46" t="b">
        <v>0</v>
      </c>
    </row>
    <row r="493">
      <c r="A493" s="157" t="s">
        <v>560</v>
      </c>
      <c r="B493" s="158">
        <v>6.0</v>
      </c>
      <c r="C493" s="157" t="s">
        <v>659</v>
      </c>
      <c r="D493" s="157" t="s">
        <v>717</v>
      </c>
      <c r="E493" s="157" t="s">
        <v>718</v>
      </c>
      <c r="F493" s="157" t="s">
        <v>1758</v>
      </c>
      <c r="G493" s="157" t="s">
        <v>1759</v>
      </c>
      <c r="H493" s="157"/>
      <c r="I493" s="158">
        <v>15.328056</v>
      </c>
      <c r="J493" s="158">
        <v>47.278056</v>
      </c>
      <c r="K493" s="157" t="s">
        <v>1760</v>
      </c>
      <c r="L493" s="157" t="s">
        <v>648</v>
      </c>
      <c r="M493" s="158">
        <v>2022.0</v>
      </c>
      <c r="N493" s="157" t="s">
        <v>123</v>
      </c>
      <c r="O493" s="157" t="s">
        <v>722</v>
      </c>
      <c r="P493" s="161" t="b">
        <v>1</v>
      </c>
      <c r="Q493" s="158">
        <v>0.161</v>
      </c>
      <c r="R493" s="158">
        <v>0.069664064</v>
      </c>
      <c r="S493" s="158">
        <v>0.091335936</v>
      </c>
      <c r="T493" s="157" t="s">
        <v>123</v>
      </c>
      <c r="U493" s="46" t="s">
        <v>651</v>
      </c>
      <c r="V493" s="46" t="b">
        <v>1</v>
      </c>
      <c r="W493" s="46">
        <v>0.95</v>
      </c>
      <c r="X493" s="46">
        <v>0.0661808607999999</v>
      </c>
      <c r="Y493" s="46" t="s">
        <v>640</v>
      </c>
      <c r="Z493" s="46" t="b">
        <v>0</v>
      </c>
      <c r="AA493" s="46" t="b">
        <v>0</v>
      </c>
    </row>
    <row r="494">
      <c r="A494" s="157" t="s">
        <v>561</v>
      </c>
      <c r="B494" s="158">
        <v>1.0</v>
      </c>
      <c r="C494" s="157" t="s">
        <v>642</v>
      </c>
      <c r="D494" s="157" t="s">
        <v>643</v>
      </c>
      <c r="E494" s="157" t="s">
        <v>644</v>
      </c>
      <c r="F494" s="157" t="s">
        <v>1761</v>
      </c>
      <c r="G494" s="157" t="s">
        <v>1762</v>
      </c>
      <c r="H494" s="157"/>
      <c r="I494" s="158">
        <v>-0.337601</v>
      </c>
      <c r="J494" s="158">
        <v>41.296097</v>
      </c>
      <c r="K494" s="157" t="s">
        <v>1763</v>
      </c>
      <c r="L494" s="157" t="s">
        <v>648</v>
      </c>
      <c r="M494" s="158">
        <v>2022.0</v>
      </c>
      <c r="N494" s="157" t="s">
        <v>649</v>
      </c>
      <c r="O494" s="157" t="s">
        <v>650</v>
      </c>
      <c r="P494" s="161" t="b">
        <v>0</v>
      </c>
      <c r="Q494" s="158">
        <v>0.958</v>
      </c>
      <c r="R494" s="158">
        <v>0.069480288</v>
      </c>
      <c r="S494" s="158">
        <v>0.888519712</v>
      </c>
      <c r="T494" s="157" t="s">
        <v>594</v>
      </c>
      <c r="U494" s="46" t="s">
        <v>651</v>
      </c>
      <c r="V494" s="46" t="b">
        <v>1</v>
      </c>
      <c r="W494" s="46">
        <v>0.95</v>
      </c>
      <c r="X494" s="46">
        <v>0.0660062736</v>
      </c>
      <c r="Y494" s="46" t="s">
        <v>640</v>
      </c>
      <c r="Z494" s="46" t="b">
        <v>0</v>
      </c>
      <c r="AA494" s="46" t="b">
        <v>0</v>
      </c>
    </row>
    <row r="495">
      <c r="A495" s="157" t="s">
        <v>556</v>
      </c>
      <c r="B495" s="158">
        <v>1.0</v>
      </c>
      <c r="C495" s="157" t="s">
        <v>642</v>
      </c>
      <c r="D495" s="157" t="s">
        <v>643</v>
      </c>
      <c r="E495" s="157" t="s">
        <v>644</v>
      </c>
      <c r="F495" s="157" t="s">
        <v>1764</v>
      </c>
      <c r="G495" s="157" t="s">
        <v>1765</v>
      </c>
      <c r="H495" s="157"/>
      <c r="I495" s="158">
        <v>3.86174</v>
      </c>
      <c r="J495" s="158">
        <v>50.2323</v>
      </c>
      <c r="K495" s="157" t="s">
        <v>1766</v>
      </c>
      <c r="L495" s="157" t="s">
        <v>648</v>
      </c>
      <c r="M495" s="158">
        <v>2022.0</v>
      </c>
      <c r="N495" s="157" t="s">
        <v>649</v>
      </c>
      <c r="O495" s="157" t="s">
        <v>650</v>
      </c>
      <c r="P495" s="161" t="b">
        <v>0</v>
      </c>
      <c r="Q495" s="158">
        <v>0.956</v>
      </c>
      <c r="R495" s="158">
        <v>0.069335236</v>
      </c>
      <c r="S495" s="158">
        <v>0.886664764</v>
      </c>
      <c r="T495" s="157" t="s">
        <v>594</v>
      </c>
      <c r="U495" s="46" t="s">
        <v>651</v>
      </c>
      <c r="V495" s="46" t="b">
        <v>1</v>
      </c>
      <c r="W495" s="46">
        <v>0.95</v>
      </c>
      <c r="X495" s="46">
        <v>0.0658684741999999</v>
      </c>
      <c r="Y495" s="46">
        <v>10.6241914824513</v>
      </c>
      <c r="Z495" s="46" t="b">
        <v>1</v>
      </c>
      <c r="AA495" s="46" t="b">
        <v>1</v>
      </c>
    </row>
    <row r="496">
      <c r="A496" s="157" t="s">
        <v>559</v>
      </c>
      <c r="B496" s="158">
        <v>1.0</v>
      </c>
      <c r="C496" s="157" t="s">
        <v>642</v>
      </c>
      <c r="D496" s="157" t="s">
        <v>643</v>
      </c>
      <c r="E496" s="157" t="s">
        <v>644</v>
      </c>
      <c r="F496" s="157" t="s">
        <v>1767</v>
      </c>
      <c r="G496" s="157" t="s">
        <v>1768</v>
      </c>
      <c r="H496" s="157"/>
      <c r="I496" s="158">
        <v>8.9733</v>
      </c>
      <c r="J496" s="158">
        <v>45.0286</v>
      </c>
      <c r="K496" s="157" t="s">
        <v>1769</v>
      </c>
      <c r="L496" s="157" t="s">
        <v>648</v>
      </c>
      <c r="M496" s="158">
        <v>2022.0</v>
      </c>
      <c r="N496" s="157" t="s">
        <v>649</v>
      </c>
      <c r="O496" s="157" t="s">
        <v>650</v>
      </c>
      <c r="P496" s="161" t="b">
        <v>0</v>
      </c>
      <c r="Q496" s="158">
        <v>0.952488299</v>
      </c>
      <c r="R496" s="158">
        <v>0.069080545</v>
      </c>
      <c r="S496" s="158">
        <v>0.883407754</v>
      </c>
      <c r="T496" s="157" t="s">
        <v>594</v>
      </c>
      <c r="U496" s="46" t="s">
        <v>651</v>
      </c>
      <c r="V496" s="46" t="b">
        <v>1</v>
      </c>
      <c r="W496" s="46">
        <v>0.95</v>
      </c>
      <c r="X496" s="46">
        <v>0.0656265177499999</v>
      </c>
      <c r="Y496" s="46">
        <v>3.80165959034391</v>
      </c>
      <c r="Z496" s="46" t="b">
        <v>1</v>
      </c>
      <c r="AA496" s="46" t="b">
        <v>1</v>
      </c>
    </row>
    <row r="497">
      <c r="A497" s="157" t="s">
        <v>581</v>
      </c>
      <c r="B497" s="158">
        <v>3.0</v>
      </c>
      <c r="C497" s="157" t="s">
        <v>1215</v>
      </c>
      <c r="D497" s="157" t="s">
        <v>1371</v>
      </c>
      <c r="E497" s="157" t="s">
        <v>1372</v>
      </c>
      <c r="F497" s="157" t="s">
        <v>1770</v>
      </c>
      <c r="G497" s="157" t="s">
        <v>1771</v>
      </c>
      <c r="H497" s="157"/>
      <c r="I497" s="158">
        <v>23.463966</v>
      </c>
      <c r="J497" s="158">
        <v>43.28318</v>
      </c>
      <c r="K497" s="157" t="s">
        <v>1772</v>
      </c>
      <c r="L497" s="157" t="s">
        <v>648</v>
      </c>
      <c r="M497" s="158">
        <v>2021.0</v>
      </c>
      <c r="N497" s="157" t="s">
        <v>114</v>
      </c>
      <c r="O497" s="157" t="s">
        <v>1376</v>
      </c>
      <c r="P497" s="161" t="b">
        <v>1</v>
      </c>
      <c r="Q497" s="158">
        <v>0.439035944</v>
      </c>
      <c r="R497" s="158">
        <v>0.069013425</v>
      </c>
      <c r="S497" s="158">
        <v>0.370022519</v>
      </c>
      <c r="T497" s="157" t="s">
        <v>114</v>
      </c>
      <c r="U497" s="46" t="s">
        <v>651</v>
      </c>
      <c r="V497" s="46" t="b">
        <v>1</v>
      </c>
      <c r="W497" s="46">
        <v>0.95</v>
      </c>
      <c r="X497" s="46">
        <v>0.06556275375</v>
      </c>
      <c r="Y497" s="46" t="s">
        <v>640</v>
      </c>
      <c r="Z497" s="46" t="b">
        <v>0</v>
      </c>
      <c r="AA497" s="46" t="b">
        <v>0</v>
      </c>
    </row>
    <row r="498">
      <c r="A498" s="157" t="s">
        <v>556</v>
      </c>
      <c r="B498" s="158">
        <v>5.0</v>
      </c>
      <c r="C498" s="157" t="s">
        <v>652</v>
      </c>
      <c r="D498" s="157" t="s">
        <v>653</v>
      </c>
      <c r="E498" s="157" t="s">
        <v>654</v>
      </c>
      <c r="F498" s="157" t="s">
        <v>1773</v>
      </c>
      <c r="G498" s="157" t="s">
        <v>1774</v>
      </c>
      <c r="H498" s="157"/>
      <c r="I498" s="158">
        <v>1.77382</v>
      </c>
      <c r="J498" s="158">
        <v>48.3555</v>
      </c>
      <c r="K498" s="157" t="s">
        <v>1775</v>
      </c>
      <c r="L498" s="157" t="s">
        <v>648</v>
      </c>
      <c r="M498" s="158">
        <v>2022.0</v>
      </c>
      <c r="N498" s="157" t="s">
        <v>116</v>
      </c>
      <c r="O498" s="157" t="s">
        <v>658</v>
      </c>
      <c r="P498" s="161" t="b">
        <v>1</v>
      </c>
      <c r="Q498" s="158">
        <v>0.124</v>
      </c>
      <c r="R498" s="158">
        <v>0.0682</v>
      </c>
      <c r="S498" s="158">
        <v>0.0558</v>
      </c>
      <c r="T498" s="157" t="s">
        <v>116</v>
      </c>
      <c r="U498" s="46" t="s">
        <v>651</v>
      </c>
      <c r="V498" s="46" t="b">
        <v>1</v>
      </c>
      <c r="W498" s="46">
        <v>0.95</v>
      </c>
      <c r="X498" s="46">
        <v>0.06479</v>
      </c>
      <c r="Y498" s="46">
        <v>73.6831532280931</v>
      </c>
      <c r="Z498" s="46" t="b">
        <v>0</v>
      </c>
      <c r="AA498" s="46" t="b">
        <v>1</v>
      </c>
    </row>
    <row r="499">
      <c r="A499" s="157" t="s">
        <v>564</v>
      </c>
      <c r="B499" s="158">
        <v>5.0</v>
      </c>
      <c r="C499" s="157" t="s">
        <v>652</v>
      </c>
      <c r="D499" s="157" t="s">
        <v>653</v>
      </c>
      <c r="E499" s="157" t="s">
        <v>654</v>
      </c>
      <c r="F499" s="157" t="s">
        <v>1776</v>
      </c>
      <c r="G499" s="157" t="s">
        <v>1777</v>
      </c>
      <c r="H499" s="157"/>
      <c r="I499" s="158">
        <v>9.5569</v>
      </c>
      <c r="J499" s="158">
        <v>46.9161</v>
      </c>
      <c r="K499" s="157" t="s">
        <v>1778</v>
      </c>
      <c r="L499" s="157" t="s">
        <v>648</v>
      </c>
      <c r="M499" s="158">
        <v>2021.0</v>
      </c>
      <c r="N499" s="157" t="s">
        <v>116</v>
      </c>
      <c r="O499" s="157" t="s">
        <v>658</v>
      </c>
      <c r="P499" s="161" t="b">
        <v>1</v>
      </c>
      <c r="Q499" s="158">
        <v>0.124</v>
      </c>
      <c r="R499" s="158">
        <v>0.0682</v>
      </c>
      <c r="S499" s="158">
        <v>0.0558</v>
      </c>
      <c r="T499" s="157" t="s">
        <v>116</v>
      </c>
      <c r="U499" s="46" t="s">
        <v>651</v>
      </c>
      <c r="V499" s="46" t="b">
        <v>1</v>
      </c>
      <c r="W499" s="46">
        <v>0.95</v>
      </c>
      <c r="X499" s="46">
        <v>0.06479</v>
      </c>
      <c r="Y499" s="46">
        <v>119.218307440492</v>
      </c>
      <c r="Z499" s="46" t="b">
        <v>0</v>
      </c>
      <c r="AA499" s="46" t="b">
        <v>0</v>
      </c>
    </row>
    <row r="500">
      <c r="A500" s="157" t="s">
        <v>564</v>
      </c>
      <c r="B500" s="158">
        <v>5.0</v>
      </c>
      <c r="C500" s="157" t="s">
        <v>652</v>
      </c>
      <c r="D500" s="157" t="s">
        <v>653</v>
      </c>
      <c r="E500" s="157" t="s">
        <v>654</v>
      </c>
      <c r="F500" s="157" t="s">
        <v>1779</v>
      </c>
      <c r="G500" s="157" t="s">
        <v>1780</v>
      </c>
      <c r="H500" s="157"/>
      <c r="I500" s="158">
        <v>7.6062</v>
      </c>
      <c r="J500" s="158">
        <v>46.7621</v>
      </c>
      <c r="K500" s="157" t="s">
        <v>1781</v>
      </c>
      <c r="L500" s="157" t="s">
        <v>648</v>
      </c>
      <c r="M500" s="158">
        <v>2021.0</v>
      </c>
      <c r="N500" s="157" t="s">
        <v>116</v>
      </c>
      <c r="O500" s="157" t="s">
        <v>658</v>
      </c>
      <c r="P500" s="161" t="b">
        <v>1</v>
      </c>
      <c r="Q500" s="158">
        <v>0.124</v>
      </c>
      <c r="R500" s="158">
        <v>0.0682</v>
      </c>
      <c r="S500" s="158">
        <v>0.0558</v>
      </c>
      <c r="T500" s="157" t="s">
        <v>116</v>
      </c>
      <c r="U500" s="46" t="s">
        <v>651</v>
      </c>
      <c r="V500" s="46" t="b">
        <v>1</v>
      </c>
      <c r="W500" s="46">
        <v>0.95</v>
      </c>
      <c r="X500" s="46">
        <v>0.06479</v>
      </c>
      <c r="Y500" s="46">
        <v>63.9114518196775</v>
      </c>
      <c r="Z500" s="46" t="b">
        <v>0</v>
      </c>
      <c r="AA500" s="46" t="b">
        <v>1</v>
      </c>
    </row>
    <row r="501">
      <c r="A501" s="157" t="s">
        <v>559</v>
      </c>
      <c r="B501" s="158">
        <v>1.0</v>
      </c>
      <c r="C501" s="157" t="s">
        <v>642</v>
      </c>
      <c r="D501" s="157" t="s">
        <v>643</v>
      </c>
      <c r="E501" s="157" t="s">
        <v>644</v>
      </c>
      <c r="F501" s="157" t="s">
        <v>1782</v>
      </c>
      <c r="G501" s="157" t="s">
        <v>1783</v>
      </c>
      <c r="H501" s="157"/>
      <c r="I501" s="158">
        <v>15.1825</v>
      </c>
      <c r="J501" s="158">
        <v>37.1791</v>
      </c>
      <c r="K501" s="157" t="s">
        <v>1272</v>
      </c>
      <c r="L501" s="157" t="s">
        <v>648</v>
      </c>
      <c r="M501" s="158">
        <v>2022.0</v>
      </c>
      <c r="N501" s="157" t="s">
        <v>649</v>
      </c>
      <c r="O501" s="157" t="s">
        <v>650</v>
      </c>
      <c r="P501" s="161" t="b">
        <v>0</v>
      </c>
      <c r="Q501" s="158">
        <v>0.93893</v>
      </c>
      <c r="R501" s="158">
        <v>0.06809721</v>
      </c>
      <c r="S501" s="158">
        <v>0.87083279</v>
      </c>
      <c r="T501" s="157" t="s">
        <v>594</v>
      </c>
      <c r="U501" s="46" t="s">
        <v>651</v>
      </c>
      <c r="V501" s="46" t="b">
        <v>1</v>
      </c>
      <c r="W501" s="46">
        <v>0.95</v>
      </c>
      <c r="X501" s="46">
        <v>0.0646923495</v>
      </c>
      <c r="Y501" s="46" t="s">
        <v>640</v>
      </c>
      <c r="Z501" s="46" t="b">
        <v>0</v>
      </c>
      <c r="AA501" s="46" t="b">
        <v>0</v>
      </c>
    </row>
    <row r="502">
      <c r="A502" s="157" t="s">
        <v>559</v>
      </c>
      <c r="B502" s="158">
        <v>1.0</v>
      </c>
      <c r="C502" s="157" t="s">
        <v>642</v>
      </c>
      <c r="D502" s="157" t="s">
        <v>643</v>
      </c>
      <c r="E502" s="157" t="s">
        <v>644</v>
      </c>
      <c r="F502" s="157" t="s">
        <v>1784</v>
      </c>
      <c r="G502" s="157" t="s">
        <v>1785</v>
      </c>
      <c r="H502" s="157"/>
      <c r="I502" s="158">
        <v>9.5102</v>
      </c>
      <c r="J502" s="158">
        <v>45.5119</v>
      </c>
      <c r="K502" s="157" t="s">
        <v>1786</v>
      </c>
      <c r="L502" s="157" t="s">
        <v>648</v>
      </c>
      <c r="M502" s="158">
        <v>2022.0</v>
      </c>
      <c r="N502" s="157" t="s">
        <v>649</v>
      </c>
      <c r="O502" s="157" t="s">
        <v>650</v>
      </c>
      <c r="P502" s="161" t="b">
        <v>0</v>
      </c>
      <c r="Q502" s="158">
        <v>0.937515</v>
      </c>
      <c r="R502" s="158">
        <v>0.067994585</v>
      </c>
      <c r="S502" s="158">
        <v>0.869520415</v>
      </c>
      <c r="T502" s="157" t="s">
        <v>594</v>
      </c>
      <c r="U502" s="46" t="s">
        <v>651</v>
      </c>
      <c r="V502" s="46" t="b">
        <v>1</v>
      </c>
      <c r="W502" s="46">
        <v>0.95</v>
      </c>
      <c r="X502" s="46">
        <v>0.06459485575</v>
      </c>
      <c r="Y502" s="46">
        <v>29.9244699940967</v>
      </c>
      <c r="Z502" s="46" t="b">
        <v>1</v>
      </c>
      <c r="AA502" s="46" t="b">
        <v>1</v>
      </c>
    </row>
    <row r="503">
      <c r="A503" s="157" t="s">
        <v>561</v>
      </c>
      <c r="B503" s="158">
        <v>1.0</v>
      </c>
      <c r="C503" s="157" t="s">
        <v>642</v>
      </c>
      <c r="D503" s="157" t="s">
        <v>643</v>
      </c>
      <c r="E503" s="157" t="s">
        <v>644</v>
      </c>
      <c r="F503" s="157" t="s">
        <v>1787</v>
      </c>
      <c r="G503" s="157" t="s">
        <v>1788</v>
      </c>
      <c r="H503" s="157"/>
      <c r="I503" s="158">
        <v>-7.860833</v>
      </c>
      <c r="J503" s="158">
        <v>43.443333</v>
      </c>
      <c r="K503" s="157" t="s">
        <v>1789</v>
      </c>
      <c r="L503" s="157" t="s">
        <v>648</v>
      </c>
      <c r="M503" s="158">
        <v>2022.0</v>
      </c>
      <c r="N503" s="157" t="s">
        <v>649</v>
      </c>
      <c r="O503" s="157" t="s">
        <v>650</v>
      </c>
      <c r="P503" s="161" t="b">
        <v>0</v>
      </c>
      <c r="Q503" s="158">
        <v>0.932</v>
      </c>
      <c r="R503" s="158">
        <v>0.067594602</v>
      </c>
      <c r="S503" s="158">
        <v>0.864405398</v>
      </c>
      <c r="T503" s="157" t="s">
        <v>594</v>
      </c>
      <c r="U503" s="46" t="s">
        <v>651</v>
      </c>
      <c r="V503" s="46" t="b">
        <v>1</v>
      </c>
      <c r="W503" s="46">
        <v>0.95</v>
      </c>
      <c r="X503" s="46">
        <v>0.0642148719</v>
      </c>
      <c r="Y503" s="46" t="s">
        <v>640</v>
      </c>
      <c r="Z503" s="46" t="b">
        <v>0</v>
      </c>
      <c r="AA503" s="46" t="b">
        <v>0</v>
      </c>
    </row>
    <row r="504">
      <c r="A504" s="157" t="s">
        <v>565</v>
      </c>
      <c r="B504" s="158">
        <v>1.0</v>
      </c>
      <c r="C504" s="157" t="s">
        <v>642</v>
      </c>
      <c r="D504" s="157" t="s">
        <v>643</v>
      </c>
      <c r="E504" s="157" t="s">
        <v>644</v>
      </c>
      <c r="F504" s="157" t="s">
        <v>1790</v>
      </c>
      <c r="G504" s="157" t="s">
        <v>1791</v>
      </c>
      <c r="H504" s="157"/>
      <c r="I504" s="158">
        <v>18.32445278</v>
      </c>
      <c r="J504" s="158">
        <v>49.69812222</v>
      </c>
      <c r="K504" s="157" t="s">
        <v>1792</v>
      </c>
      <c r="L504" s="157" t="s">
        <v>648</v>
      </c>
      <c r="M504" s="158">
        <v>2020.0</v>
      </c>
      <c r="N504" s="157" t="s">
        <v>649</v>
      </c>
      <c r="O504" s="157" t="s">
        <v>650</v>
      </c>
      <c r="P504" s="161" t="b">
        <v>0</v>
      </c>
      <c r="Q504" s="158">
        <v>0.115670898</v>
      </c>
      <c r="R504" s="158">
        <v>0.067511044</v>
      </c>
      <c r="S504" s="158">
        <v>0.048159854</v>
      </c>
      <c r="T504" s="157" t="s">
        <v>117</v>
      </c>
      <c r="U504" s="46" t="s">
        <v>651</v>
      </c>
      <c r="V504" s="46" t="b">
        <v>1</v>
      </c>
      <c r="W504" s="46">
        <v>0.95</v>
      </c>
      <c r="X504" s="46">
        <v>0.0641354918</v>
      </c>
      <c r="Y504" s="46" t="s">
        <v>640</v>
      </c>
      <c r="Z504" s="46" t="b">
        <v>0</v>
      </c>
      <c r="AA504" s="46" t="b">
        <v>0</v>
      </c>
    </row>
    <row r="505">
      <c r="A505" s="157" t="s">
        <v>572</v>
      </c>
      <c r="B505" s="158">
        <v>1.0</v>
      </c>
      <c r="C505" s="157" t="s">
        <v>642</v>
      </c>
      <c r="D505" s="157" t="s">
        <v>643</v>
      </c>
      <c r="E505" s="157" t="s">
        <v>644</v>
      </c>
      <c r="F505" s="157" t="s">
        <v>1793</v>
      </c>
      <c r="G505" s="157" t="s">
        <v>1794</v>
      </c>
      <c r="H505" s="157"/>
      <c r="I505" s="158">
        <v>21.59829</v>
      </c>
      <c r="J505" s="158">
        <v>40.81402</v>
      </c>
      <c r="K505" s="157" t="s">
        <v>1795</v>
      </c>
      <c r="L505" s="157" t="s">
        <v>648</v>
      </c>
      <c r="M505" s="158">
        <v>2022.0</v>
      </c>
      <c r="N505" s="157" t="s">
        <v>649</v>
      </c>
      <c r="O505" s="157" t="s">
        <v>650</v>
      </c>
      <c r="P505" s="161" t="b">
        <v>0</v>
      </c>
      <c r="Q505" s="158">
        <v>0.929</v>
      </c>
      <c r="R505" s="158">
        <v>0.067377023</v>
      </c>
      <c r="S505" s="158">
        <v>0.861622977</v>
      </c>
      <c r="T505" s="157" t="s">
        <v>594</v>
      </c>
      <c r="U505" s="46" t="s">
        <v>651</v>
      </c>
      <c r="V505" s="46" t="b">
        <v>1</v>
      </c>
      <c r="W505" s="46">
        <v>0.95</v>
      </c>
      <c r="X505" s="46">
        <v>0.0640081718499999</v>
      </c>
      <c r="Y505" s="46" t="s">
        <v>640</v>
      </c>
      <c r="Z505" s="46" t="b">
        <v>0</v>
      </c>
      <c r="AA505" s="46" t="b">
        <v>0</v>
      </c>
    </row>
    <row r="506">
      <c r="A506" s="157" t="s">
        <v>559</v>
      </c>
      <c r="B506" s="158">
        <v>1.0</v>
      </c>
      <c r="C506" s="157" t="s">
        <v>642</v>
      </c>
      <c r="D506" s="157" t="s">
        <v>643</v>
      </c>
      <c r="E506" s="157" t="s">
        <v>644</v>
      </c>
      <c r="F506" s="157" t="s">
        <v>1796</v>
      </c>
      <c r="G506" s="157" t="s">
        <v>1797</v>
      </c>
      <c r="H506" s="157"/>
      <c r="I506" s="158">
        <v>14.1129</v>
      </c>
      <c r="J506" s="158">
        <v>41.1774</v>
      </c>
      <c r="K506" s="157" t="s">
        <v>1798</v>
      </c>
      <c r="L506" s="157" t="s">
        <v>648</v>
      </c>
      <c r="M506" s="158">
        <v>2022.0</v>
      </c>
      <c r="N506" s="157" t="s">
        <v>649</v>
      </c>
      <c r="O506" s="157" t="s">
        <v>650</v>
      </c>
      <c r="P506" s="161" t="b">
        <v>0</v>
      </c>
      <c r="Q506" s="158">
        <v>0.926577</v>
      </c>
      <c r="R506" s="158">
        <v>0.067201291</v>
      </c>
      <c r="S506" s="158">
        <v>0.859375709</v>
      </c>
      <c r="T506" s="157" t="s">
        <v>594</v>
      </c>
      <c r="U506" s="46" t="s">
        <v>651</v>
      </c>
      <c r="V506" s="46" t="b">
        <v>1</v>
      </c>
      <c r="W506" s="46">
        <v>0.95</v>
      </c>
      <c r="X506" s="46">
        <v>0.06384122645</v>
      </c>
      <c r="Y506" s="46" t="s">
        <v>640</v>
      </c>
      <c r="Z506" s="46" t="b">
        <v>0</v>
      </c>
      <c r="AA506" s="46" t="b">
        <v>0</v>
      </c>
    </row>
    <row r="507">
      <c r="A507" s="157" t="s">
        <v>559</v>
      </c>
      <c r="B507" s="158">
        <v>6.0</v>
      </c>
      <c r="C507" s="157" t="s">
        <v>659</v>
      </c>
      <c r="D507" s="157" t="s">
        <v>717</v>
      </c>
      <c r="E507" s="157" t="s">
        <v>718</v>
      </c>
      <c r="F507" s="157" t="s">
        <v>1799</v>
      </c>
      <c r="G507" s="157" t="s">
        <v>1800</v>
      </c>
      <c r="H507" s="157"/>
      <c r="I507" s="158">
        <v>13.5869</v>
      </c>
      <c r="J507" s="158">
        <v>41.6994</v>
      </c>
      <c r="K507" s="157" t="s">
        <v>1801</v>
      </c>
      <c r="L507" s="157" t="s">
        <v>648</v>
      </c>
      <c r="M507" s="158">
        <v>2022.0</v>
      </c>
      <c r="N507" s="157" t="s">
        <v>123</v>
      </c>
      <c r="O507" s="157" t="s">
        <v>722</v>
      </c>
      <c r="P507" s="161" t="b">
        <v>1</v>
      </c>
      <c r="Q507" s="158">
        <v>0.154382003</v>
      </c>
      <c r="R507" s="158">
        <v>0.066800483</v>
      </c>
      <c r="S507" s="158">
        <v>0.08758152</v>
      </c>
      <c r="T507" s="157" t="s">
        <v>123</v>
      </c>
      <c r="U507" s="46" t="s">
        <v>651</v>
      </c>
      <c r="V507" s="46" t="b">
        <v>1</v>
      </c>
      <c r="W507" s="46">
        <v>0.95</v>
      </c>
      <c r="X507" s="46">
        <v>0.0634604588499999</v>
      </c>
      <c r="Y507" s="46" t="s">
        <v>640</v>
      </c>
      <c r="Z507" s="46" t="b">
        <v>0</v>
      </c>
      <c r="AA507" s="46" t="b">
        <v>0</v>
      </c>
    </row>
    <row r="508">
      <c r="A508" s="157" t="s">
        <v>564</v>
      </c>
      <c r="B508" s="158">
        <v>5.0</v>
      </c>
      <c r="C508" s="157" t="s">
        <v>652</v>
      </c>
      <c r="D508" s="157" t="s">
        <v>653</v>
      </c>
      <c r="E508" s="157" t="s">
        <v>654</v>
      </c>
      <c r="F508" s="157" t="s">
        <v>1802</v>
      </c>
      <c r="G508" s="157" t="s">
        <v>381</v>
      </c>
      <c r="H508" s="157"/>
      <c r="I508" s="158">
        <v>9.04</v>
      </c>
      <c r="J508" s="158">
        <v>47.135</v>
      </c>
      <c r="K508" s="157" t="s">
        <v>1803</v>
      </c>
      <c r="L508" s="157" t="s">
        <v>648</v>
      </c>
      <c r="M508" s="158">
        <v>2021.0</v>
      </c>
      <c r="N508" s="157" t="s">
        <v>116</v>
      </c>
      <c r="O508" s="157" t="s">
        <v>658</v>
      </c>
      <c r="P508" s="161" t="b">
        <v>1</v>
      </c>
      <c r="Q508" s="158">
        <v>0.121</v>
      </c>
      <c r="R508" s="158">
        <v>0.06655</v>
      </c>
      <c r="S508" s="158">
        <v>0.05445</v>
      </c>
      <c r="T508" s="157" t="s">
        <v>116</v>
      </c>
      <c r="U508" s="46" t="s">
        <v>651</v>
      </c>
      <c r="V508" s="46" t="b">
        <v>1</v>
      </c>
      <c r="W508" s="46">
        <v>0.95</v>
      </c>
      <c r="X508" s="46">
        <v>0.0632225</v>
      </c>
      <c r="Y508" s="46">
        <v>75.085765017362</v>
      </c>
      <c r="Z508" s="46" t="b">
        <v>0</v>
      </c>
      <c r="AA508" s="46" t="b">
        <v>1</v>
      </c>
    </row>
    <row r="509">
      <c r="A509" s="157" t="s">
        <v>559</v>
      </c>
      <c r="B509" s="158">
        <v>1.0</v>
      </c>
      <c r="C509" s="157" t="s">
        <v>642</v>
      </c>
      <c r="D509" s="157" t="s">
        <v>643</v>
      </c>
      <c r="E509" s="157" t="s">
        <v>644</v>
      </c>
      <c r="F509" s="157" t="s">
        <v>1804</v>
      </c>
      <c r="G509" s="157" t="s">
        <v>1805</v>
      </c>
      <c r="H509" s="157"/>
      <c r="I509" s="158">
        <v>10.4494</v>
      </c>
      <c r="J509" s="158">
        <v>43.3822</v>
      </c>
      <c r="K509" s="157" t="s">
        <v>1806</v>
      </c>
      <c r="L509" s="157" t="s">
        <v>648</v>
      </c>
      <c r="M509" s="158">
        <v>2022.0</v>
      </c>
      <c r="N509" s="157" t="s">
        <v>649</v>
      </c>
      <c r="O509" s="157" t="s">
        <v>650</v>
      </c>
      <c r="P509" s="161" t="b">
        <v>0</v>
      </c>
      <c r="Q509" s="158">
        <v>0.91698359</v>
      </c>
      <c r="R509" s="158">
        <v>0.066505516</v>
      </c>
      <c r="S509" s="158">
        <v>0.850478074</v>
      </c>
      <c r="T509" s="157" t="s">
        <v>594</v>
      </c>
      <c r="U509" s="46" t="s">
        <v>651</v>
      </c>
      <c r="V509" s="46" t="b">
        <v>1</v>
      </c>
      <c r="W509" s="46">
        <v>0.95</v>
      </c>
      <c r="X509" s="46">
        <v>0.0631802402</v>
      </c>
      <c r="Y509" s="46">
        <v>154.20105379804</v>
      </c>
      <c r="Z509" s="46" t="b">
        <v>0</v>
      </c>
      <c r="AA509" s="46" t="b">
        <v>0</v>
      </c>
    </row>
    <row r="510">
      <c r="A510" s="157" t="s">
        <v>556</v>
      </c>
      <c r="B510" s="158">
        <v>1.0</v>
      </c>
      <c r="C510" s="157" t="s">
        <v>642</v>
      </c>
      <c r="D510" s="157" t="s">
        <v>643</v>
      </c>
      <c r="E510" s="157" t="s">
        <v>644</v>
      </c>
      <c r="F510" s="157" t="s">
        <v>1807</v>
      </c>
      <c r="G510" s="157" t="s">
        <v>1808</v>
      </c>
      <c r="H510" s="157"/>
      <c r="I510" s="158">
        <v>6.70617</v>
      </c>
      <c r="J510" s="158">
        <v>49.1161</v>
      </c>
      <c r="K510" s="157" t="s">
        <v>1331</v>
      </c>
      <c r="L510" s="157" t="s">
        <v>648</v>
      </c>
      <c r="M510" s="158">
        <v>2022.0</v>
      </c>
      <c r="N510" s="157" t="s">
        <v>649</v>
      </c>
      <c r="O510" s="157" t="s">
        <v>650</v>
      </c>
      <c r="P510" s="161" t="b">
        <v>0</v>
      </c>
      <c r="Q510" s="158">
        <v>0.916</v>
      </c>
      <c r="R510" s="158">
        <v>0.06643418</v>
      </c>
      <c r="S510" s="158">
        <v>0.84956582</v>
      </c>
      <c r="T510" s="157" t="s">
        <v>594</v>
      </c>
      <c r="U510" s="46" t="s">
        <v>651</v>
      </c>
      <c r="V510" s="46" t="b">
        <v>1</v>
      </c>
      <c r="W510" s="46">
        <v>0.95</v>
      </c>
      <c r="X510" s="46">
        <v>0.0631124709999999</v>
      </c>
      <c r="Y510" s="46">
        <v>9.14149328950512</v>
      </c>
      <c r="Z510" s="46" t="b">
        <v>1</v>
      </c>
      <c r="AA510" s="46" t="b">
        <v>1</v>
      </c>
    </row>
    <row r="511">
      <c r="A511" s="157" t="s">
        <v>562</v>
      </c>
      <c r="B511" s="158">
        <v>5.0</v>
      </c>
      <c r="C511" s="157" t="s">
        <v>652</v>
      </c>
      <c r="D511" s="157" t="s">
        <v>653</v>
      </c>
      <c r="E511" s="157" t="s">
        <v>654</v>
      </c>
      <c r="F511" s="157" t="s">
        <v>1809</v>
      </c>
      <c r="G511" s="157" t="s">
        <v>1810</v>
      </c>
      <c r="H511" s="157"/>
      <c r="I511" s="158">
        <v>4.5452027</v>
      </c>
      <c r="J511" s="158">
        <v>50.420174</v>
      </c>
      <c r="K511" s="157" t="s">
        <v>1811</v>
      </c>
      <c r="L511" s="157" t="s">
        <v>648</v>
      </c>
      <c r="M511" s="158">
        <v>2022.0</v>
      </c>
      <c r="N511" s="157" t="s">
        <v>116</v>
      </c>
      <c r="O511" s="157" t="s">
        <v>658</v>
      </c>
      <c r="P511" s="161" t="b">
        <v>1</v>
      </c>
      <c r="Q511" s="158">
        <v>0.12</v>
      </c>
      <c r="R511" s="158">
        <v>0.066</v>
      </c>
      <c r="S511" s="158">
        <v>0.054</v>
      </c>
      <c r="T511" s="157" t="s">
        <v>116</v>
      </c>
      <c r="U511" s="46" t="s">
        <v>651</v>
      </c>
      <c r="V511" s="46" t="b">
        <v>1</v>
      </c>
      <c r="W511" s="46">
        <v>0.95</v>
      </c>
      <c r="X511" s="46">
        <v>0.0627</v>
      </c>
      <c r="Y511" s="46">
        <v>12.2940014752733</v>
      </c>
      <c r="Z511" s="46" t="b">
        <v>1</v>
      </c>
      <c r="AA511" s="46" t="b">
        <v>1</v>
      </c>
    </row>
    <row r="512">
      <c r="A512" s="157" t="s">
        <v>557</v>
      </c>
      <c r="B512" s="158">
        <v>5.0</v>
      </c>
      <c r="C512" s="157" t="s">
        <v>652</v>
      </c>
      <c r="D512" s="157" t="s">
        <v>653</v>
      </c>
      <c r="E512" s="157" t="s">
        <v>654</v>
      </c>
      <c r="F512" s="162" t="s">
        <v>1812</v>
      </c>
      <c r="G512" s="157" t="s">
        <v>1813</v>
      </c>
      <c r="H512" s="157"/>
      <c r="I512" s="158">
        <v>10.1110669503613</v>
      </c>
      <c r="J512" s="158">
        <v>54.3073253576428</v>
      </c>
      <c r="K512" s="157" t="s">
        <v>1814</v>
      </c>
      <c r="L512" s="157" t="s">
        <v>648</v>
      </c>
      <c r="M512" s="158">
        <v>2022.0</v>
      </c>
      <c r="N512" s="157" t="s">
        <v>116</v>
      </c>
      <c r="O512" s="157" t="s">
        <v>658</v>
      </c>
      <c r="P512" s="161" t="b">
        <v>1</v>
      </c>
      <c r="Q512" s="158">
        <v>0.129</v>
      </c>
      <c r="R512" s="158">
        <v>0.0658</v>
      </c>
      <c r="S512" s="158">
        <v>0.0632</v>
      </c>
      <c r="T512" s="157" t="s">
        <v>116</v>
      </c>
      <c r="U512" s="46" t="s">
        <v>651</v>
      </c>
      <c r="V512" s="46" t="b">
        <v>1</v>
      </c>
      <c r="W512" s="46">
        <v>0.95</v>
      </c>
      <c r="X512" s="46">
        <v>0.06251</v>
      </c>
      <c r="Y512" s="46">
        <v>39.737145979852</v>
      </c>
      <c r="Z512" s="46" t="b">
        <v>1</v>
      </c>
      <c r="AA512" s="46" t="b">
        <v>1</v>
      </c>
    </row>
    <row r="513">
      <c r="A513" s="157" t="s">
        <v>559</v>
      </c>
      <c r="B513" s="158">
        <v>6.0</v>
      </c>
      <c r="C513" s="157" t="s">
        <v>659</v>
      </c>
      <c r="D513" s="157" t="s">
        <v>717</v>
      </c>
      <c r="E513" s="157" t="s">
        <v>718</v>
      </c>
      <c r="F513" s="157" t="s">
        <v>1815</v>
      </c>
      <c r="G513" s="157" t="s">
        <v>1816</v>
      </c>
      <c r="H513" s="157"/>
      <c r="I513" s="158">
        <v>13.5831</v>
      </c>
      <c r="J513" s="158">
        <v>45.7933</v>
      </c>
      <c r="K513" s="157" t="s">
        <v>1817</v>
      </c>
      <c r="L513" s="157" t="s">
        <v>648</v>
      </c>
      <c r="M513" s="158">
        <v>2022.0</v>
      </c>
      <c r="N513" s="157" t="s">
        <v>123</v>
      </c>
      <c r="O513" s="157" t="s">
        <v>722</v>
      </c>
      <c r="P513" s="161" t="b">
        <v>1</v>
      </c>
      <c r="Q513" s="158">
        <v>0.1520414</v>
      </c>
      <c r="R513" s="158">
        <v>0.065787713</v>
      </c>
      <c r="S513" s="158">
        <v>0.086253687</v>
      </c>
      <c r="T513" s="157" t="s">
        <v>123</v>
      </c>
      <c r="U513" s="46" t="s">
        <v>651</v>
      </c>
      <c r="V513" s="46" t="b">
        <v>1</v>
      </c>
      <c r="W513" s="46">
        <v>0.95</v>
      </c>
      <c r="X513" s="46">
        <v>0.0624983273499999</v>
      </c>
      <c r="Y513" s="46">
        <v>106.435784314669</v>
      </c>
      <c r="Z513" s="46" t="b">
        <v>0</v>
      </c>
      <c r="AA513" s="46" t="b">
        <v>0</v>
      </c>
    </row>
    <row r="514">
      <c r="A514" s="157" t="s">
        <v>567</v>
      </c>
      <c r="B514" s="158">
        <v>5.0</v>
      </c>
      <c r="C514" s="157" t="s">
        <v>652</v>
      </c>
      <c r="D514" s="157" t="s">
        <v>653</v>
      </c>
      <c r="E514" s="157" t="s">
        <v>654</v>
      </c>
      <c r="F514" s="157" t="s">
        <v>1818</v>
      </c>
      <c r="G514" s="157" t="s">
        <v>1819</v>
      </c>
      <c r="H514" s="157"/>
      <c r="I514" s="158">
        <v>10.9671888</v>
      </c>
      <c r="J514" s="158">
        <v>59.18537</v>
      </c>
      <c r="K514" s="157" t="s">
        <v>1820</v>
      </c>
      <c r="L514" s="157" t="s">
        <v>648</v>
      </c>
      <c r="M514" s="158">
        <v>2017.0</v>
      </c>
      <c r="N514" s="157" t="s">
        <v>116</v>
      </c>
      <c r="O514" s="157" t="s">
        <v>658</v>
      </c>
      <c r="P514" s="161" t="b">
        <v>1</v>
      </c>
      <c r="Q514" s="158">
        <v>0.11</v>
      </c>
      <c r="R514" s="158">
        <v>0.0651</v>
      </c>
      <c r="S514" s="158">
        <v>0.0449</v>
      </c>
      <c r="T514" s="157" t="s">
        <v>116</v>
      </c>
      <c r="U514" s="46" t="s">
        <v>651</v>
      </c>
      <c r="V514" s="46" t="b">
        <v>1</v>
      </c>
      <c r="W514" s="46">
        <v>0.95</v>
      </c>
      <c r="X514" s="46">
        <v>0.061845</v>
      </c>
      <c r="Y514" s="46" t="s">
        <v>640</v>
      </c>
      <c r="Z514" s="46" t="b">
        <v>0</v>
      </c>
      <c r="AA514" s="46" t="b">
        <v>0</v>
      </c>
    </row>
    <row r="515">
      <c r="A515" s="157" t="s">
        <v>569</v>
      </c>
      <c r="B515" s="158">
        <v>1.0</v>
      </c>
      <c r="C515" s="157" t="s">
        <v>642</v>
      </c>
      <c r="D515" s="157" t="s">
        <v>643</v>
      </c>
      <c r="E515" s="157" t="s">
        <v>644</v>
      </c>
      <c r="F515" s="157" t="s">
        <v>1821</v>
      </c>
      <c r="G515" s="157" t="s">
        <v>1822</v>
      </c>
      <c r="H515" s="157"/>
      <c r="I515" s="158">
        <v>17.802561</v>
      </c>
      <c r="J515" s="158">
        <v>47.73823</v>
      </c>
      <c r="K515" s="157" t="s">
        <v>1823</v>
      </c>
      <c r="L515" s="157" t="s">
        <v>648</v>
      </c>
      <c r="M515" s="158">
        <v>2022.0</v>
      </c>
      <c r="N515" s="157" t="s">
        <v>649</v>
      </c>
      <c r="O515" s="157" t="s">
        <v>650</v>
      </c>
      <c r="P515" s="161" t="b">
        <v>0</v>
      </c>
      <c r="Q515" s="158">
        <v>0.897077</v>
      </c>
      <c r="R515" s="158">
        <v>0.065061763</v>
      </c>
      <c r="S515" s="158">
        <v>0.832015237</v>
      </c>
      <c r="T515" s="157" t="s">
        <v>594</v>
      </c>
      <c r="U515" s="46" t="s">
        <v>651</v>
      </c>
      <c r="V515" s="46" t="b">
        <v>1</v>
      </c>
      <c r="W515" s="46">
        <v>0.95</v>
      </c>
      <c r="X515" s="46">
        <v>0.0618086748499999</v>
      </c>
      <c r="Y515" s="46" t="s">
        <v>640</v>
      </c>
      <c r="Z515" s="46" t="b">
        <v>0</v>
      </c>
      <c r="AA515" s="46" t="b">
        <v>0</v>
      </c>
    </row>
    <row r="516">
      <c r="A516" s="157" t="s">
        <v>556</v>
      </c>
      <c r="B516" s="158">
        <v>5.0</v>
      </c>
      <c r="C516" s="157" t="s">
        <v>652</v>
      </c>
      <c r="D516" s="157" t="s">
        <v>653</v>
      </c>
      <c r="E516" s="157" t="s">
        <v>654</v>
      </c>
      <c r="F516" s="157" t="s">
        <v>1824</v>
      </c>
      <c r="G516" s="157" t="s">
        <v>1825</v>
      </c>
      <c r="H516" s="157"/>
      <c r="I516" s="158">
        <v>2.03745</v>
      </c>
      <c r="J516" s="158">
        <v>48.94769</v>
      </c>
      <c r="K516" s="157" t="s">
        <v>1826</v>
      </c>
      <c r="L516" s="157" t="s">
        <v>648</v>
      </c>
      <c r="M516" s="158">
        <v>2022.0</v>
      </c>
      <c r="N516" s="157" t="s">
        <v>116</v>
      </c>
      <c r="O516" s="157" t="s">
        <v>658</v>
      </c>
      <c r="P516" s="161" t="b">
        <v>1</v>
      </c>
      <c r="Q516" s="158">
        <v>0.118</v>
      </c>
      <c r="R516" s="158">
        <v>0.0649</v>
      </c>
      <c r="S516" s="158">
        <v>0.0531</v>
      </c>
      <c r="T516" s="157" t="s">
        <v>116</v>
      </c>
      <c r="U516" s="46" t="s">
        <v>651</v>
      </c>
      <c r="V516" s="46" t="b">
        <v>1</v>
      </c>
      <c r="W516" s="46">
        <v>0.95</v>
      </c>
      <c r="X516" s="46">
        <v>0.0616549999999999</v>
      </c>
      <c r="Y516" s="46">
        <v>8.53254495251682</v>
      </c>
      <c r="Z516" s="46" t="b">
        <v>1</v>
      </c>
      <c r="AA516" s="46" t="b">
        <v>1</v>
      </c>
    </row>
    <row r="517">
      <c r="A517" s="157" t="s">
        <v>559</v>
      </c>
      <c r="B517" s="158">
        <v>1.0</v>
      </c>
      <c r="C517" s="157" t="s">
        <v>642</v>
      </c>
      <c r="D517" s="157" t="s">
        <v>643</v>
      </c>
      <c r="E517" s="157" t="s">
        <v>644</v>
      </c>
      <c r="F517" s="157" t="s">
        <v>1827</v>
      </c>
      <c r="G517" s="157" t="s">
        <v>1828</v>
      </c>
      <c r="H517" s="157"/>
      <c r="I517" s="158">
        <v>15.4237</v>
      </c>
      <c r="J517" s="158">
        <v>41.6578</v>
      </c>
      <c r="K517" s="157" t="s">
        <v>1829</v>
      </c>
      <c r="L517" s="157" t="s">
        <v>648</v>
      </c>
      <c r="M517" s="158">
        <v>2022.0</v>
      </c>
      <c r="N517" s="157" t="s">
        <v>649</v>
      </c>
      <c r="O517" s="157" t="s">
        <v>650</v>
      </c>
      <c r="P517" s="161" t="b">
        <v>0</v>
      </c>
      <c r="Q517" s="158">
        <v>0.889961352</v>
      </c>
      <c r="R517" s="158">
        <v>0.06454569</v>
      </c>
      <c r="S517" s="158">
        <v>0.825415661</v>
      </c>
      <c r="T517" s="157" t="s">
        <v>594</v>
      </c>
      <c r="U517" s="46" t="s">
        <v>651</v>
      </c>
      <c r="V517" s="46" t="b">
        <v>1</v>
      </c>
      <c r="W517" s="46">
        <v>0.95</v>
      </c>
      <c r="X517" s="46">
        <v>0.0613184055</v>
      </c>
      <c r="Y517" s="46" t="s">
        <v>640</v>
      </c>
      <c r="Z517" s="46" t="b">
        <v>0</v>
      </c>
      <c r="AA517" s="46" t="b">
        <v>0</v>
      </c>
    </row>
    <row r="518">
      <c r="A518" s="157" t="s">
        <v>556</v>
      </c>
      <c r="B518" s="158">
        <v>1.0</v>
      </c>
      <c r="C518" s="157" t="s">
        <v>642</v>
      </c>
      <c r="D518" s="157" t="s">
        <v>643</v>
      </c>
      <c r="E518" s="157" t="s">
        <v>644</v>
      </c>
      <c r="F518" s="157" t="s">
        <v>1830</v>
      </c>
      <c r="G518" s="157" t="s">
        <v>1831</v>
      </c>
      <c r="H518" s="157"/>
      <c r="I518" s="158">
        <v>-4.07035</v>
      </c>
      <c r="J518" s="158">
        <v>48.5228</v>
      </c>
      <c r="K518" s="157" t="s">
        <v>1832</v>
      </c>
      <c r="L518" s="157" t="s">
        <v>648</v>
      </c>
      <c r="M518" s="158">
        <v>2022.0</v>
      </c>
      <c r="N518" s="157" t="s">
        <v>649</v>
      </c>
      <c r="O518" s="157" t="s">
        <v>650</v>
      </c>
      <c r="P518" s="161" t="b">
        <v>0</v>
      </c>
      <c r="Q518" s="158">
        <v>0.889</v>
      </c>
      <c r="R518" s="158">
        <v>0.064475967</v>
      </c>
      <c r="S518" s="158">
        <v>0.824524033</v>
      </c>
      <c r="T518" s="157" t="s">
        <v>594</v>
      </c>
      <c r="U518" s="46" t="s">
        <v>651</v>
      </c>
      <c r="V518" s="46" t="b">
        <v>1</v>
      </c>
      <c r="W518" s="46">
        <v>0.95</v>
      </c>
      <c r="X518" s="46">
        <v>0.0612521686499999</v>
      </c>
      <c r="Y518" s="46" t="s">
        <v>640</v>
      </c>
      <c r="Z518" s="46" t="b">
        <v>0</v>
      </c>
      <c r="AA518" s="46" t="b">
        <v>0</v>
      </c>
    </row>
    <row r="519">
      <c r="A519" s="157" t="s">
        <v>567</v>
      </c>
      <c r="B519" s="158">
        <v>2.0</v>
      </c>
      <c r="C519" s="157" t="s">
        <v>916</v>
      </c>
      <c r="D519" s="157" t="s">
        <v>1203</v>
      </c>
      <c r="E519" s="157" t="s">
        <v>1204</v>
      </c>
      <c r="F519" s="157" t="s">
        <v>1833</v>
      </c>
      <c r="G519" s="157" t="s">
        <v>1834</v>
      </c>
      <c r="H519" s="157"/>
      <c r="I519" s="158">
        <v>9.894434</v>
      </c>
      <c r="J519" s="158">
        <v>63.32585</v>
      </c>
      <c r="K519" s="157" t="s">
        <v>1835</v>
      </c>
      <c r="L519" s="157" t="s">
        <v>648</v>
      </c>
      <c r="M519" s="158">
        <v>2017.0</v>
      </c>
      <c r="N519" s="157" t="s">
        <v>549</v>
      </c>
      <c r="O519" s="157" t="s">
        <v>1208</v>
      </c>
      <c r="P519" s="161" t="b">
        <v>1</v>
      </c>
      <c r="Q519" s="158">
        <v>0.277</v>
      </c>
      <c r="R519" s="158">
        <v>0.064</v>
      </c>
      <c r="S519" s="158">
        <v>0.213</v>
      </c>
      <c r="T519" s="157" t="s">
        <v>549</v>
      </c>
      <c r="U519" s="46" t="s">
        <v>651</v>
      </c>
      <c r="V519" s="46" t="b">
        <v>1</v>
      </c>
      <c r="W519" s="46">
        <v>0.95</v>
      </c>
      <c r="X519" s="46">
        <v>0.0608</v>
      </c>
      <c r="Y519" s="46" t="s">
        <v>640</v>
      </c>
      <c r="Z519" s="46" t="b">
        <v>0</v>
      </c>
      <c r="AA519" s="46" t="b">
        <v>0</v>
      </c>
    </row>
    <row r="520">
      <c r="A520" s="157" t="s">
        <v>556</v>
      </c>
      <c r="B520" s="158">
        <v>5.0</v>
      </c>
      <c r="C520" s="157" t="s">
        <v>652</v>
      </c>
      <c r="D520" s="157" t="s">
        <v>653</v>
      </c>
      <c r="E520" s="157" t="s">
        <v>654</v>
      </c>
      <c r="F520" s="157" t="s">
        <v>1836</v>
      </c>
      <c r="G520" s="157" t="s">
        <v>1837</v>
      </c>
      <c r="H520" s="157"/>
      <c r="I520" s="158">
        <v>2.67522</v>
      </c>
      <c r="J520" s="158">
        <v>48.87442</v>
      </c>
      <c r="K520" s="157" t="s">
        <v>1838</v>
      </c>
      <c r="L520" s="157" t="s">
        <v>648</v>
      </c>
      <c r="M520" s="158">
        <v>2022.0</v>
      </c>
      <c r="N520" s="157" t="s">
        <v>116</v>
      </c>
      <c r="O520" s="157" t="s">
        <v>658</v>
      </c>
      <c r="P520" s="161" t="b">
        <v>1</v>
      </c>
      <c r="Q520" s="158">
        <v>0.116</v>
      </c>
      <c r="R520" s="158">
        <v>0.0638</v>
      </c>
      <c r="S520" s="158">
        <v>0.0522</v>
      </c>
      <c r="T520" s="157" t="s">
        <v>116</v>
      </c>
      <c r="U520" s="46" t="s">
        <v>651</v>
      </c>
      <c r="V520" s="46" t="b">
        <v>1</v>
      </c>
      <c r="W520" s="46">
        <v>0.95</v>
      </c>
      <c r="X520" s="46">
        <v>0.0606099999999999</v>
      </c>
      <c r="Y520" s="46">
        <v>11.6814065029532</v>
      </c>
      <c r="Z520" s="46" t="b">
        <v>1</v>
      </c>
      <c r="AA520" s="46" t="b">
        <v>1</v>
      </c>
    </row>
    <row r="521">
      <c r="A521" s="157" t="s">
        <v>556</v>
      </c>
      <c r="B521" s="158">
        <v>6.0</v>
      </c>
      <c r="C521" s="157" t="s">
        <v>659</v>
      </c>
      <c r="D521" s="157" t="s">
        <v>717</v>
      </c>
      <c r="E521" s="157" t="s">
        <v>718</v>
      </c>
      <c r="F521" s="157" t="s">
        <v>1839</v>
      </c>
      <c r="G521" s="157" t="s">
        <v>1840</v>
      </c>
      <c r="H521" s="157"/>
      <c r="I521" s="158">
        <v>4.95079</v>
      </c>
      <c r="J521" s="158">
        <v>49.6961</v>
      </c>
      <c r="K521" s="157" t="s">
        <v>1841</v>
      </c>
      <c r="L521" s="157" t="s">
        <v>648</v>
      </c>
      <c r="M521" s="158">
        <v>2022.0</v>
      </c>
      <c r="N521" s="157" t="s">
        <v>123</v>
      </c>
      <c r="O521" s="157" t="s">
        <v>722</v>
      </c>
      <c r="P521" s="161" t="b">
        <v>1</v>
      </c>
      <c r="Q521" s="158">
        <v>0.147</v>
      </c>
      <c r="R521" s="158">
        <v>0.063606319</v>
      </c>
      <c r="S521" s="158">
        <v>0.083393681</v>
      </c>
      <c r="T521" s="157" t="s">
        <v>123</v>
      </c>
      <c r="U521" s="46" t="s">
        <v>651</v>
      </c>
      <c r="V521" s="46" t="b">
        <v>1</v>
      </c>
      <c r="W521" s="46">
        <v>0.95</v>
      </c>
      <c r="X521" s="46">
        <v>0.0604260030499999</v>
      </c>
      <c r="Y521" s="46">
        <v>71.0550309663858</v>
      </c>
      <c r="Z521" s="46" t="b">
        <v>0</v>
      </c>
      <c r="AA521" s="46" t="b">
        <v>1</v>
      </c>
    </row>
    <row r="522">
      <c r="A522" s="157" t="s">
        <v>556</v>
      </c>
      <c r="B522" s="158">
        <v>6.0</v>
      </c>
      <c r="C522" s="157" t="s">
        <v>659</v>
      </c>
      <c r="D522" s="157" t="s">
        <v>717</v>
      </c>
      <c r="E522" s="157" t="s">
        <v>718</v>
      </c>
      <c r="F522" s="157" t="s">
        <v>1842</v>
      </c>
      <c r="G522" s="157" t="s">
        <v>1843</v>
      </c>
      <c r="H522" s="157"/>
      <c r="I522" s="158">
        <v>6.6565</v>
      </c>
      <c r="J522" s="158">
        <v>48.33663</v>
      </c>
      <c r="K522" s="157" t="s">
        <v>1844</v>
      </c>
      <c r="L522" s="157" t="s">
        <v>648</v>
      </c>
      <c r="M522" s="158">
        <v>2022.0</v>
      </c>
      <c r="N522" s="157" t="s">
        <v>123</v>
      </c>
      <c r="O522" s="157" t="s">
        <v>722</v>
      </c>
      <c r="P522" s="161" t="b">
        <v>1</v>
      </c>
      <c r="Q522" s="158">
        <v>0.146</v>
      </c>
      <c r="R522" s="158">
        <v>0.063173623</v>
      </c>
      <c r="S522" s="158">
        <v>0.082826377</v>
      </c>
      <c r="T522" s="157" t="s">
        <v>123</v>
      </c>
      <c r="U522" s="46" t="s">
        <v>651</v>
      </c>
      <c r="V522" s="46" t="b">
        <v>1</v>
      </c>
      <c r="W522" s="46">
        <v>0.95</v>
      </c>
      <c r="X522" s="46">
        <v>0.0600149418499999</v>
      </c>
      <c r="Y522" s="46">
        <v>91.0103951878841</v>
      </c>
      <c r="Z522" s="46" t="b">
        <v>0</v>
      </c>
      <c r="AA522" s="46" t="b">
        <v>1</v>
      </c>
    </row>
    <row r="523">
      <c r="A523" s="157" t="s">
        <v>563</v>
      </c>
      <c r="B523" s="158">
        <v>3.0</v>
      </c>
      <c r="C523" s="157" t="s">
        <v>1215</v>
      </c>
      <c r="D523" s="157" t="s">
        <v>1216</v>
      </c>
      <c r="E523" s="157" t="s">
        <v>1217</v>
      </c>
      <c r="F523" s="157" t="s">
        <v>1845</v>
      </c>
      <c r="G523" s="157" t="s">
        <v>1846</v>
      </c>
      <c r="H523" s="157"/>
      <c r="I523" s="158">
        <v>-0.54633668</v>
      </c>
      <c r="J523" s="158">
        <v>52.636704</v>
      </c>
      <c r="K523" s="157" t="s">
        <v>1847</v>
      </c>
      <c r="L523" s="157" t="s">
        <v>648</v>
      </c>
      <c r="M523" s="158">
        <v>2019.0</v>
      </c>
      <c r="N523" s="157" t="s">
        <v>114</v>
      </c>
      <c r="O523" s="157" t="s">
        <v>1221</v>
      </c>
      <c r="P523" s="161" t="b">
        <v>1</v>
      </c>
      <c r="Q523" s="158">
        <v>0.714</v>
      </c>
      <c r="R523" s="158">
        <v>0.063</v>
      </c>
      <c r="S523" s="158">
        <v>0.651</v>
      </c>
      <c r="T523" s="157" t="s">
        <v>114</v>
      </c>
      <c r="U523" s="46" t="s">
        <v>651</v>
      </c>
      <c r="V523" s="46" t="b">
        <v>1</v>
      </c>
      <c r="W523" s="46">
        <v>0.95</v>
      </c>
      <c r="X523" s="46">
        <v>0.05985</v>
      </c>
      <c r="Y523" s="46">
        <v>93.7312894737922</v>
      </c>
      <c r="Z523" s="46" t="b">
        <v>0</v>
      </c>
      <c r="AA523" s="46" t="b">
        <v>1</v>
      </c>
    </row>
    <row r="524">
      <c r="A524" s="157" t="s">
        <v>560</v>
      </c>
      <c r="B524" s="158">
        <v>6.0</v>
      </c>
      <c r="C524" s="157" t="s">
        <v>659</v>
      </c>
      <c r="D524" s="157" t="s">
        <v>717</v>
      </c>
      <c r="E524" s="157" t="s">
        <v>718</v>
      </c>
      <c r="F524" s="157" t="s">
        <v>1848</v>
      </c>
      <c r="G524" s="157" t="s">
        <v>1572</v>
      </c>
      <c r="H524" s="157"/>
      <c r="I524" s="158">
        <v>12.399889</v>
      </c>
      <c r="J524" s="158">
        <v>47.504806</v>
      </c>
      <c r="K524" s="157" t="s">
        <v>1849</v>
      </c>
      <c r="L524" s="157" t="s">
        <v>648</v>
      </c>
      <c r="M524" s="158">
        <v>2022.0</v>
      </c>
      <c r="N524" s="157" t="s">
        <v>123</v>
      </c>
      <c r="O524" s="157" t="s">
        <v>722</v>
      </c>
      <c r="P524" s="161" t="b">
        <v>1</v>
      </c>
      <c r="Q524" s="158">
        <v>0.145</v>
      </c>
      <c r="R524" s="158">
        <v>0.062740927</v>
      </c>
      <c r="S524" s="158">
        <v>0.082259073</v>
      </c>
      <c r="T524" s="157" t="s">
        <v>123</v>
      </c>
      <c r="U524" s="46" t="s">
        <v>651</v>
      </c>
      <c r="V524" s="46" t="b">
        <v>1</v>
      </c>
      <c r="W524" s="46">
        <v>0.95</v>
      </c>
      <c r="X524" s="46">
        <v>0.0596038806499999</v>
      </c>
      <c r="Y524" s="46">
        <v>73.1246445425967</v>
      </c>
      <c r="Z524" s="46" t="b">
        <v>0</v>
      </c>
      <c r="AA524" s="46" t="b">
        <v>1</v>
      </c>
    </row>
    <row r="525">
      <c r="A525" s="157" t="s">
        <v>566</v>
      </c>
      <c r="B525" s="158">
        <v>6.0</v>
      </c>
      <c r="C525" s="157" t="s">
        <v>659</v>
      </c>
      <c r="D525" s="157" t="s">
        <v>717</v>
      </c>
      <c r="E525" s="157" t="s">
        <v>718</v>
      </c>
      <c r="F525" s="157" t="s">
        <v>1850</v>
      </c>
      <c r="G525" s="157" t="s">
        <v>1851</v>
      </c>
      <c r="H525" s="157"/>
      <c r="I525" s="158">
        <v>14.62547493</v>
      </c>
      <c r="J525" s="158">
        <v>52.5945816</v>
      </c>
      <c r="K525" s="157" t="s">
        <v>1852</v>
      </c>
      <c r="L525" s="157" t="s">
        <v>648</v>
      </c>
      <c r="M525" s="158">
        <v>2022.0</v>
      </c>
      <c r="N525" s="157" t="s">
        <v>123</v>
      </c>
      <c r="O525" s="157" t="s">
        <v>722</v>
      </c>
      <c r="P525" s="161" t="b">
        <v>1</v>
      </c>
      <c r="Q525" s="158">
        <v>0.145</v>
      </c>
      <c r="R525" s="158">
        <v>0.062740927</v>
      </c>
      <c r="S525" s="158">
        <v>0.082259073</v>
      </c>
      <c r="T525" s="157" t="s">
        <v>123</v>
      </c>
      <c r="U525" s="46" t="s">
        <v>651</v>
      </c>
      <c r="V525" s="46" t="b">
        <v>1</v>
      </c>
      <c r="W525" s="46">
        <v>0.95</v>
      </c>
      <c r="X525" s="46">
        <v>0.0596038806499999</v>
      </c>
      <c r="Y525" s="46">
        <v>25.1093381660415</v>
      </c>
      <c r="Z525" s="46" t="b">
        <v>1</v>
      </c>
      <c r="AA525" s="46" t="b">
        <v>1</v>
      </c>
    </row>
    <row r="526">
      <c r="A526" s="157" t="s">
        <v>566</v>
      </c>
      <c r="B526" s="158">
        <v>6.0</v>
      </c>
      <c r="C526" s="157" t="s">
        <v>659</v>
      </c>
      <c r="D526" s="157" t="s">
        <v>717</v>
      </c>
      <c r="E526" s="157" t="s">
        <v>718</v>
      </c>
      <c r="F526" s="157" t="s">
        <v>1853</v>
      </c>
      <c r="G526" s="157" t="s">
        <v>1854</v>
      </c>
      <c r="H526" s="157"/>
      <c r="I526" s="158">
        <v>22.46811104</v>
      </c>
      <c r="J526" s="158">
        <v>53.62452698</v>
      </c>
      <c r="K526" s="157" t="s">
        <v>1855</v>
      </c>
      <c r="L526" s="157" t="s">
        <v>648</v>
      </c>
      <c r="M526" s="158">
        <v>2022.0</v>
      </c>
      <c r="N526" s="157" t="s">
        <v>123</v>
      </c>
      <c r="O526" s="157" t="s">
        <v>722</v>
      </c>
      <c r="P526" s="161" t="b">
        <v>1</v>
      </c>
      <c r="Q526" s="158">
        <v>0.145</v>
      </c>
      <c r="R526" s="158">
        <v>0.062740927</v>
      </c>
      <c r="S526" s="158">
        <v>0.082259073</v>
      </c>
      <c r="T526" s="157" t="s">
        <v>123</v>
      </c>
      <c r="U526" s="46" t="s">
        <v>651</v>
      </c>
      <c r="V526" s="46" t="b">
        <v>1</v>
      </c>
      <c r="W526" s="46">
        <v>0.95</v>
      </c>
      <c r="X526" s="46">
        <v>0.0596038806499999</v>
      </c>
      <c r="Y526" s="46" t="s">
        <v>640</v>
      </c>
      <c r="Z526" s="46" t="b">
        <v>0</v>
      </c>
      <c r="AA526" s="46" t="b">
        <v>0</v>
      </c>
    </row>
    <row r="527">
      <c r="A527" s="157" t="s">
        <v>566</v>
      </c>
      <c r="B527" s="158">
        <v>2.0</v>
      </c>
      <c r="C527" s="157" t="s">
        <v>916</v>
      </c>
      <c r="D527" s="157" t="s">
        <v>1585</v>
      </c>
      <c r="E527" s="157" t="s">
        <v>1586</v>
      </c>
      <c r="F527" s="157" t="s">
        <v>1856</v>
      </c>
      <c r="G527" s="157" t="s">
        <v>1857</v>
      </c>
      <c r="H527" s="157"/>
      <c r="I527" s="158">
        <v>16.54008293</v>
      </c>
      <c r="J527" s="158">
        <v>51.78849792</v>
      </c>
      <c r="K527" s="157" t="s">
        <v>1858</v>
      </c>
      <c r="L527" s="157" t="s">
        <v>648</v>
      </c>
      <c r="M527" s="158">
        <v>2022.0</v>
      </c>
      <c r="N527" s="157" t="s">
        <v>549</v>
      </c>
      <c r="O527" s="157" t="s">
        <v>1208</v>
      </c>
      <c r="P527" s="161" t="b">
        <v>1</v>
      </c>
      <c r="Q527" s="158">
        <v>0.931</v>
      </c>
      <c r="R527" s="158">
        <v>0.06252557</v>
      </c>
      <c r="S527" s="158">
        <v>0.86847443</v>
      </c>
      <c r="T527" s="157" t="s">
        <v>549</v>
      </c>
      <c r="U527" s="46" t="s">
        <v>651</v>
      </c>
      <c r="V527" s="46" t="b">
        <v>1</v>
      </c>
      <c r="W527" s="46">
        <v>0.95</v>
      </c>
      <c r="X527" s="46">
        <v>0.0593992915</v>
      </c>
      <c r="Y527" s="46">
        <v>147.038898103748</v>
      </c>
      <c r="Z527" s="46" t="b">
        <v>0</v>
      </c>
      <c r="AA527" s="46" t="b">
        <v>0</v>
      </c>
    </row>
    <row r="528">
      <c r="A528" s="157" t="s">
        <v>566</v>
      </c>
      <c r="B528" s="158">
        <v>1.0</v>
      </c>
      <c r="C528" s="157" t="s">
        <v>642</v>
      </c>
      <c r="D528" s="157" t="s">
        <v>643</v>
      </c>
      <c r="E528" s="157" t="s">
        <v>644</v>
      </c>
      <c r="F528" s="157" t="s">
        <v>1859</v>
      </c>
      <c r="G528" s="157" t="s">
        <v>1860</v>
      </c>
      <c r="H528" s="157"/>
      <c r="I528" s="158">
        <v>20.92166519</v>
      </c>
      <c r="J528" s="158">
        <v>50.02277756</v>
      </c>
      <c r="K528" s="157" t="s">
        <v>1861</v>
      </c>
      <c r="L528" s="157" t="s">
        <v>648</v>
      </c>
      <c r="M528" s="158">
        <v>2022.0</v>
      </c>
      <c r="N528" s="157" t="s">
        <v>649</v>
      </c>
      <c r="O528" s="157" t="s">
        <v>650</v>
      </c>
      <c r="P528" s="161" t="b">
        <v>0</v>
      </c>
      <c r="Q528" s="158">
        <v>0.861</v>
      </c>
      <c r="R528" s="158">
        <v>0.062445228</v>
      </c>
      <c r="S528" s="158">
        <v>0.798554772</v>
      </c>
      <c r="T528" s="157" t="s">
        <v>594</v>
      </c>
      <c r="U528" s="46" t="s">
        <v>651</v>
      </c>
      <c r="V528" s="46" t="b">
        <v>1</v>
      </c>
      <c r="W528" s="46">
        <v>0.95</v>
      </c>
      <c r="X528" s="46">
        <v>0.0593229666</v>
      </c>
      <c r="Y528" s="46" t="s">
        <v>640</v>
      </c>
      <c r="Z528" s="46" t="b">
        <v>0</v>
      </c>
      <c r="AA528" s="46" t="b">
        <v>0</v>
      </c>
    </row>
    <row r="529">
      <c r="A529" s="157" t="s">
        <v>566</v>
      </c>
      <c r="B529" s="158">
        <v>1.0</v>
      </c>
      <c r="C529" s="157" t="s">
        <v>642</v>
      </c>
      <c r="D529" s="157" t="s">
        <v>643</v>
      </c>
      <c r="E529" s="157" t="s">
        <v>644</v>
      </c>
      <c r="F529" s="157" t="s">
        <v>1862</v>
      </c>
      <c r="G529" s="157" t="s">
        <v>1863</v>
      </c>
      <c r="H529" s="157"/>
      <c r="I529" s="158">
        <v>19.54008293</v>
      </c>
      <c r="J529" s="158">
        <v>51.74708176</v>
      </c>
      <c r="K529" s="157" t="s">
        <v>1864</v>
      </c>
      <c r="L529" s="157" t="s">
        <v>648</v>
      </c>
      <c r="M529" s="158">
        <v>2022.0</v>
      </c>
      <c r="N529" s="157" t="s">
        <v>649</v>
      </c>
      <c r="O529" s="157" t="s">
        <v>650</v>
      </c>
      <c r="P529" s="161" t="b">
        <v>0</v>
      </c>
      <c r="Q529" s="158">
        <v>0.86</v>
      </c>
      <c r="R529" s="158">
        <v>0.062372701</v>
      </c>
      <c r="S529" s="158">
        <v>0.797627299</v>
      </c>
      <c r="T529" s="157" t="s">
        <v>594</v>
      </c>
      <c r="U529" s="46" t="s">
        <v>651</v>
      </c>
      <c r="V529" s="46" t="b">
        <v>1</v>
      </c>
      <c r="W529" s="46">
        <v>0.95</v>
      </c>
      <c r="X529" s="46">
        <v>0.05925406595</v>
      </c>
      <c r="Y529" s="46">
        <v>90.9354491560288</v>
      </c>
      <c r="Z529" s="46" t="b">
        <v>0</v>
      </c>
      <c r="AA529" s="46" t="b">
        <v>1</v>
      </c>
    </row>
    <row r="530">
      <c r="A530" s="157" t="s">
        <v>559</v>
      </c>
      <c r="B530" s="158">
        <v>1.0</v>
      </c>
      <c r="C530" s="157" t="s">
        <v>642</v>
      </c>
      <c r="D530" s="157" t="s">
        <v>643</v>
      </c>
      <c r="E530" s="157" t="s">
        <v>644</v>
      </c>
      <c r="F530" s="157" t="s">
        <v>1865</v>
      </c>
      <c r="G530" s="157" t="s">
        <v>1866</v>
      </c>
      <c r="H530" s="157"/>
      <c r="I530" s="158">
        <v>12.2549</v>
      </c>
      <c r="J530" s="158">
        <v>45.4458</v>
      </c>
      <c r="K530" s="157" t="s">
        <v>1045</v>
      </c>
      <c r="L530" s="157" t="s">
        <v>648</v>
      </c>
      <c r="M530" s="158">
        <v>2022.0</v>
      </c>
      <c r="N530" s="157" t="s">
        <v>649</v>
      </c>
      <c r="O530" s="157" t="s">
        <v>650</v>
      </c>
      <c r="P530" s="161" t="b">
        <v>0</v>
      </c>
      <c r="Q530" s="158">
        <v>0.859371</v>
      </c>
      <c r="R530" s="158">
        <v>0.062327082</v>
      </c>
      <c r="S530" s="158">
        <v>0.797043918</v>
      </c>
      <c r="T530" s="157" t="s">
        <v>594</v>
      </c>
      <c r="U530" s="46" t="s">
        <v>651</v>
      </c>
      <c r="V530" s="46" t="b">
        <v>1</v>
      </c>
      <c r="W530" s="46">
        <v>0.95</v>
      </c>
      <c r="X530" s="46">
        <v>0.0592107278999999</v>
      </c>
      <c r="Y530" s="46">
        <v>0.803212370834066</v>
      </c>
      <c r="Z530" s="46" t="b">
        <v>1</v>
      </c>
      <c r="AA530" s="46" t="b">
        <v>1</v>
      </c>
    </row>
    <row r="531">
      <c r="A531" s="157" t="s">
        <v>579</v>
      </c>
      <c r="B531" s="158">
        <v>1.0</v>
      </c>
      <c r="C531" s="157" t="s">
        <v>642</v>
      </c>
      <c r="D531" s="157" t="s">
        <v>643</v>
      </c>
      <c r="E531" s="157" t="s">
        <v>644</v>
      </c>
      <c r="F531" s="157" t="s">
        <v>1867</v>
      </c>
      <c r="G531" s="157" t="s">
        <v>1868</v>
      </c>
      <c r="H531" s="157"/>
      <c r="I531" s="158">
        <v>16.01502</v>
      </c>
      <c r="J531" s="158">
        <v>45.78393</v>
      </c>
      <c r="K531" s="157" t="s">
        <v>1869</v>
      </c>
      <c r="L531" s="157" t="s">
        <v>648</v>
      </c>
      <c r="M531" s="158">
        <v>2022.0</v>
      </c>
      <c r="N531" s="157" t="s">
        <v>649</v>
      </c>
      <c r="O531" s="157" t="s">
        <v>650</v>
      </c>
      <c r="P531" s="161" t="b">
        <v>0</v>
      </c>
      <c r="Q531" s="158">
        <v>0.859</v>
      </c>
      <c r="R531" s="158">
        <v>0.062300175</v>
      </c>
      <c r="S531" s="158">
        <v>0.796699825</v>
      </c>
      <c r="T531" s="157" t="s">
        <v>594</v>
      </c>
      <c r="U531" s="46" t="s">
        <v>651</v>
      </c>
      <c r="V531" s="46" t="b">
        <v>1</v>
      </c>
      <c r="W531" s="46">
        <v>0.95</v>
      </c>
      <c r="X531" s="46">
        <v>0.05918516625</v>
      </c>
      <c r="Y531" s="46" t="s">
        <v>640</v>
      </c>
      <c r="Z531" s="46" t="b">
        <v>0</v>
      </c>
      <c r="AA531" s="46" t="b">
        <v>0</v>
      </c>
    </row>
    <row r="532">
      <c r="A532" s="157" t="s">
        <v>556</v>
      </c>
      <c r="B532" s="158">
        <v>5.0</v>
      </c>
      <c r="C532" s="157" t="s">
        <v>652</v>
      </c>
      <c r="D532" s="157" t="s">
        <v>653</v>
      </c>
      <c r="E532" s="157" t="s">
        <v>654</v>
      </c>
      <c r="F532" s="157" t="s">
        <v>1870</v>
      </c>
      <c r="G532" s="157" t="s">
        <v>1871</v>
      </c>
      <c r="H532" s="157"/>
      <c r="I532" s="158">
        <v>2.6898</v>
      </c>
      <c r="J532" s="158">
        <v>48.5414</v>
      </c>
      <c r="K532" s="157" t="s">
        <v>1872</v>
      </c>
      <c r="L532" s="157" t="s">
        <v>648</v>
      </c>
      <c r="M532" s="158">
        <v>2022.0</v>
      </c>
      <c r="N532" s="157" t="s">
        <v>116</v>
      </c>
      <c r="O532" s="157" t="s">
        <v>658</v>
      </c>
      <c r="P532" s="161" t="b">
        <v>1</v>
      </c>
      <c r="Q532" s="158">
        <v>0.113</v>
      </c>
      <c r="R532" s="158">
        <v>0.06215</v>
      </c>
      <c r="S532" s="158">
        <v>0.05085</v>
      </c>
      <c r="T532" s="157" t="s">
        <v>116</v>
      </c>
      <c r="U532" s="46" t="s">
        <v>651</v>
      </c>
      <c r="V532" s="46" t="b">
        <v>1</v>
      </c>
      <c r="W532" s="46">
        <v>0.95</v>
      </c>
      <c r="X532" s="46">
        <v>0.0590425</v>
      </c>
      <c r="Y532" s="46">
        <v>17.8895176660329</v>
      </c>
      <c r="Z532" s="46" t="b">
        <v>1</v>
      </c>
      <c r="AA532" s="46" t="b">
        <v>1</v>
      </c>
    </row>
    <row r="533">
      <c r="A533" s="157" t="s">
        <v>571</v>
      </c>
      <c r="B533" s="158">
        <v>5.0</v>
      </c>
      <c r="C533" s="157" t="s">
        <v>652</v>
      </c>
      <c r="D533" s="157" t="s">
        <v>653</v>
      </c>
      <c r="E533" s="157" t="s">
        <v>654</v>
      </c>
      <c r="F533" s="157" t="s">
        <v>1873</v>
      </c>
      <c r="G533" s="157" t="s">
        <v>1874</v>
      </c>
      <c r="H533" s="157"/>
      <c r="I533" s="158">
        <v>24.002708</v>
      </c>
      <c r="J533" s="158">
        <v>54.932576</v>
      </c>
      <c r="K533" s="157" t="s">
        <v>1875</v>
      </c>
      <c r="L533" s="157" t="s">
        <v>648</v>
      </c>
      <c r="M533" s="158">
        <v>2022.0</v>
      </c>
      <c r="N533" s="157" t="s">
        <v>116</v>
      </c>
      <c r="O533" s="157" t="s">
        <v>658</v>
      </c>
      <c r="P533" s="161" t="b">
        <v>1</v>
      </c>
      <c r="Q533" s="158">
        <v>0.113</v>
      </c>
      <c r="R533" s="158">
        <v>0.06215</v>
      </c>
      <c r="S533" s="158">
        <v>0.05085</v>
      </c>
      <c r="T533" s="157" t="s">
        <v>116</v>
      </c>
      <c r="U533" s="46" t="s">
        <v>651</v>
      </c>
      <c r="V533" s="46" t="b">
        <v>1</v>
      </c>
      <c r="W533" s="46">
        <v>0.95</v>
      </c>
      <c r="X533" s="46">
        <v>0.0590425</v>
      </c>
      <c r="Y533" s="46">
        <v>194.661676778866</v>
      </c>
      <c r="Z533" s="46" t="b">
        <v>0</v>
      </c>
      <c r="AA533" s="46" t="b">
        <v>0</v>
      </c>
    </row>
    <row r="534">
      <c r="A534" s="157" t="s">
        <v>557</v>
      </c>
      <c r="B534" s="158">
        <v>2.0</v>
      </c>
      <c r="C534" s="157" t="s">
        <v>916</v>
      </c>
      <c r="D534" s="157" t="s">
        <v>1203</v>
      </c>
      <c r="E534" s="157" t="s">
        <v>1204</v>
      </c>
      <c r="F534" s="162" t="s">
        <v>1876</v>
      </c>
      <c r="G534" s="157" t="s">
        <v>1877</v>
      </c>
      <c r="H534" s="157"/>
      <c r="I534" s="158">
        <v>13.3302441613619</v>
      </c>
      <c r="J534" s="158">
        <v>48.4187251330907</v>
      </c>
      <c r="K534" s="157" t="s">
        <v>1878</v>
      </c>
      <c r="L534" s="157" t="s">
        <v>648</v>
      </c>
      <c r="M534" s="158">
        <v>2022.0</v>
      </c>
      <c r="N534" s="157" t="s">
        <v>549</v>
      </c>
      <c r="O534" s="157" t="s">
        <v>1208</v>
      </c>
      <c r="P534" s="161" t="b">
        <v>1</v>
      </c>
      <c r="Q534" s="158">
        <v>0.187</v>
      </c>
      <c r="R534" s="158">
        <v>0.062</v>
      </c>
      <c r="S534" s="158">
        <v>0.125</v>
      </c>
      <c r="T534" s="157" t="s">
        <v>549</v>
      </c>
      <c r="U534" s="46" t="s">
        <v>651</v>
      </c>
      <c r="V534" s="46" t="b">
        <v>1</v>
      </c>
      <c r="W534" s="46">
        <v>0.95</v>
      </c>
      <c r="X534" s="46">
        <v>0.0588999999999999</v>
      </c>
      <c r="Y534" s="46">
        <v>36.706455669924</v>
      </c>
      <c r="Z534" s="46" t="b">
        <v>1</v>
      </c>
      <c r="AA534" s="46" t="b">
        <v>1</v>
      </c>
    </row>
    <row r="535">
      <c r="A535" s="157" t="s">
        <v>556</v>
      </c>
      <c r="B535" s="158">
        <v>5.0</v>
      </c>
      <c r="C535" s="157" t="s">
        <v>652</v>
      </c>
      <c r="D535" s="157" t="s">
        <v>653</v>
      </c>
      <c r="E535" s="157" t="s">
        <v>654</v>
      </c>
      <c r="F535" s="157" t="s">
        <v>1879</v>
      </c>
      <c r="G535" s="157" t="s">
        <v>1880</v>
      </c>
      <c r="H535" s="157"/>
      <c r="I535" s="158">
        <v>5.03913</v>
      </c>
      <c r="J535" s="158">
        <v>47.3589</v>
      </c>
      <c r="K535" s="157" t="s">
        <v>1881</v>
      </c>
      <c r="L535" s="157" t="s">
        <v>648</v>
      </c>
      <c r="M535" s="158">
        <v>2022.0</v>
      </c>
      <c r="N535" s="157" t="s">
        <v>116</v>
      </c>
      <c r="O535" s="157" t="s">
        <v>658</v>
      </c>
      <c r="P535" s="161" t="b">
        <v>1</v>
      </c>
      <c r="Q535" s="158">
        <v>0.112</v>
      </c>
      <c r="R535" s="158">
        <v>0.0616</v>
      </c>
      <c r="S535" s="158">
        <v>0.0504</v>
      </c>
      <c r="T535" s="157" t="s">
        <v>116</v>
      </c>
      <c r="U535" s="46" t="s">
        <v>651</v>
      </c>
      <c r="V535" s="46" t="b">
        <v>1</v>
      </c>
      <c r="W535" s="46">
        <v>0.95</v>
      </c>
      <c r="X535" s="46">
        <v>0.05852</v>
      </c>
      <c r="Y535" s="46" t="s">
        <v>640</v>
      </c>
      <c r="Z535" s="46" t="b">
        <v>0</v>
      </c>
      <c r="AA535" s="46" t="b">
        <v>0</v>
      </c>
    </row>
    <row r="536">
      <c r="A536" s="157" t="s">
        <v>564</v>
      </c>
      <c r="B536" s="158">
        <v>5.0</v>
      </c>
      <c r="C536" s="157" t="s">
        <v>652</v>
      </c>
      <c r="D536" s="157" t="s">
        <v>653</v>
      </c>
      <c r="E536" s="157" t="s">
        <v>654</v>
      </c>
      <c r="F536" s="157" t="s">
        <v>1882</v>
      </c>
      <c r="G536" s="157" t="s">
        <v>1883</v>
      </c>
      <c r="H536" s="157"/>
      <c r="I536" s="158">
        <v>7.1218</v>
      </c>
      <c r="J536" s="158">
        <v>46.7725</v>
      </c>
      <c r="K536" s="157" t="s">
        <v>1884</v>
      </c>
      <c r="L536" s="157" t="s">
        <v>648</v>
      </c>
      <c r="M536" s="158">
        <v>2021.0</v>
      </c>
      <c r="N536" s="157" t="s">
        <v>116</v>
      </c>
      <c r="O536" s="157" t="s">
        <v>658</v>
      </c>
      <c r="P536" s="161" t="b">
        <v>1</v>
      </c>
      <c r="Q536" s="158">
        <v>0.111</v>
      </c>
      <c r="R536" s="158">
        <v>0.06105</v>
      </c>
      <c r="S536" s="158">
        <v>0.04995</v>
      </c>
      <c r="T536" s="157" t="s">
        <v>116</v>
      </c>
      <c r="U536" s="46" t="s">
        <v>651</v>
      </c>
      <c r="V536" s="46" t="b">
        <v>1</v>
      </c>
      <c r="W536" s="46">
        <v>0.95</v>
      </c>
      <c r="X536" s="46">
        <v>0.0579975</v>
      </c>
      <c r="Y536" s="46">
        <v>88.7185707053693</v>
      </c>
      <c r="Z536" s="46" t="b">
        <v>0</v>
      </c>
      <c r="AA536" s="46" t="b">
        <v>1</v>
      </c>
    </row>
    <row r="537">
      <c r="A537" s="157" t="s">
        <v>561</v>
      </c>
      <c r="B537" s="158">
        <v>6.0</v>
      </c>
      <c r="C537" s="157" t="s">
        <v>659</v>
      </c>
      <c r="D537" s="157" t="s">
        <v>717</v>
      </c>
      <c r="E537" s="157" t="s">
        <v>718</v>
      </c>
      <c r="F537" s="157" t="s">
        <v>1885</v>
      </c>
      <c r="G537" s="157" t="s">
        <v>1886</v>
      </c>
      <c r="H537" s="157"/>
      <c r="I537" s="158">
        <v>-4.559444</v>
      </c>
      <c r="J537" s="158">
        <v>41.84</v>
      </c>
      <c r="K537" s="157" t="s">
        <v>1887</v>
      </c>
      <c r="L537" s="157" t="s">
        <v>648</v>
      </c>
      <c r="M537" s="158">
        <v>2022.0</v>
      </c>
      <c r="N537" s="157" t="s">
        <v>123</v>
      </c>
      <c r="O537" s="157" t="s">
        <v>722</v>
      </c>
      <c r="P537" s="161" t="b">
        <v>1</v>
      </c>
      <c r="Q537" s="158">
        <v>0.14</v>
      </c>
      <c r="R537" s="158">
        <v>0.060577447</v>
      </c>
      <c r="S537" s="158">
        <v>0.079422553</v>
      </c>
      <c r="T537" s="157" t="s">
        <v>123</v>
      </c>
      <c r="U537" s="46" t="s">
        <v>651</v>
      </c>
      <c r="V537" s="46" t="b">
        <v>1</v>
      </c>
      <c r="W537" s="46">
        <v>0.95</v>
      </c>
      <c r="X537" s="46">
        <v>0.0575485746499999</v>
      </c>
      <c r="Y537" s="46" t="s">
        <v>640</v>
      </c>
      <c r="Z537" s="46" t="b">
        <v>0</v>
      </c>
      <c r="AA537" s="46" t="b">
        <v>0</v>
      </c>
    </row>
    <row r="538">
      <c r="A538" s="157" t="s">
        <v>556</v>
      </c>
      <c r="B538" s="158">
        <v>1.0</v>
      </c>
      <c r="C538" s="157" t="s">
        <v>642</v>
      </c>
      <c r="D538" s="157" t="s">
        <v>643</v>
      </c>
      <c r="E538" s="157" t="s">
        <v>644</v>
      </c>
      <c r="F538" s="157" t="s">
        <v>1888</v>
      </c>
      <c r="G538" s="157" t="s">
        <v>1889</v>
      </c>
      <c r="H538" s="157"/>
      <c r="I538" s="158">
        <v>55.32911</v>
      </c>
      <c r="J538" s="158">
        <v>-20.9289</v>
      </c>
      <c r="K538" s="157" t="s">
        <v>1890</v>
      </c>
      <c r="L538" s="157" t="s">
        <v>648</v>
      </c>
      <c r="M538" s="158">
        <v>2022.0</v>
      </c>
      <c r="N538" s="157" t="s">
        <v>649</v>
      </c>
      <c r="O538" s="157" t="s">
        <v>650</v>
      </c>
      <c r="P538" s="161" t="b">
        <v>0</v>
      </c>
      <c r="Q538" s="158">
        <v>0.835</v>
      </c>
      <c r="R538" s="158">
        <v>0.060559542</v>
      </c>
      <c r="S538" s="158">
        <v>0.774440458</v>
      </c>
      <c r="T538" s="157" t="s">
        <v>594</v>
      </c>
      <c r="U538" s="46" t="s">
        <v>651</v>
      </c>
      <c r="V538" s="46" t="b">
        <v>1</v>
      </c>
      <c r="W538" s="46">
        <v>0.95</v>
      </c>
      <c r="X538" s="46">
        <v>0.0575315649</v>
      </c>
      <c r="Y538" s="46" t="s">
        <v>640</v>
      </c>
      <c r="Z538" s="46" t="b">
        <v>0</v>
      </c>
      <c r="AA538" s="46" t="b">
        <v>0</v>
      </c>
    </row>
    <row r="539">
      <c r="A539" s="157" t="s">
        <v>564</v>
      </c>
      <c r="B539" s="158">
        <v>5.0</v>
      </c>
      <c r="C539" s="157" t="s">
        <v>652</v>
      </c>
      <c r="D539" s="157" t="s">
        <v>653</v>
      </c>
      <c r="E539" s="157" t="s">
        <v>654</v>
      </c>
      <c r="F539" s="157" t="s">
        <v>1891</v>
      </c>
      <c r="G539" s="157" t="s">
        <v>1892</v>
      </c>
      <c r="H539" s="157"/>
      <c r="I539" s="158">
        <v>8.403</v>
      </c>
      <c r="J539" s="158">
        <v>47.4166</v>
      </c>
      <c r="K539" s="157" t="s">
        <v>1893</v>
      </c>
      <c r="L539" s="157" t="s">
        <v>648</v>
      </c>
      <c r="M539" s="158">
        <v>2021.0</v>
      </c>
      <c r="N539" s="157" t="s">
        <v>116</v>
      </c>
      <c r="O539" s="157" t="s">
        <v>658</v>
      </c>
      <c r="P539" s="161" t="b">
        <v>1</v>
      </c>
      <c r="Q539" s="158">
        <v>0.11</v>
      </c>
      <c r="R539" s="158">
        <v>0.0605</v>
      </c>
      <c r="S539" s="158">
        <v>0.0495</v>
      </c>
      <c r="T539" s="157" t="s">
        <v>116</v>
      </c>
      <c r="U539" s="46" t="s">
        <v>651</v>
      </c>
      <c r="V539" s="46" t="b">
        <v>1</v>
      </c>
      <c r="W539" s="46">
        <v>0.95</v>
      </c>
      <c r="X539" s="46">
        <v>0.057475</v>
      </c>
      <c r="Y539" s="46">
        <v>26.2404328778427</v>
      </c>
      <c r="Z539" s="46" t="b">
        <v>1</v>
      </c>
      <c r="AA539" s="46" t="b">
        <v>1</v>
      </c>
    </row>
    <row r="540">
      <c r="A540" s="157" t="s">
        <v>557</v>
      </c>
      <c r="B540" s="158">
        <v>5.0</v>
      </c>
      <c r="C540" s="157" t="s">
        <v>652</v>
      </c>
      <c r="D540" s="157" t="s">
        <v>653</v>
      </c>
      <c r="E540" s="157" t="s">
        <v>654</v>
      </c>
      <c r="F540" s="162" t="s">
        <v>1894</v>
      </c>
      <c r="G540" s="157" t="s">
        <v>1895</v>
      </c>
      <c r="H540" s="157"/>
      <c r="I540" s="158">
        <v>7.16840293816789</v>
      </c>
      <c r="J540" s="158">
        <v>49.338141641104</v>
      </c>
      <c r="K540" s="157" t="s">
        <v>1896</v>
      </c>
      <c r="L540" s="157" t="s">
        <v>648</v>
      </c>
      <c r="M540" s="158">
        <v>2022.0</v>
      </c>
      <c r="N540" s="157" t="s">
        <v>116</v>
      </c>
      <c r="O540" s="157" t="s">
        <v>658</v>
      </c>
      <c r="P540" s="161" t="b">
        <v>1</v>
      </c>
      <c r="Q540" s="158">
        <v>0.12</v>
      </c>
      <c r="R540" s="158">
        <v>0.06</v>
      </c>
      <c r="S540" s="158">
        <v>0.06</v>
      </c>
      <c r="T540" s="157" t="s">
        <v>116</v>
      </c>
      <c r="U540" s="46" t="s">
        <v>651</v>
      </c>
      <c r="V540" s="46" t="b">
        <v>1</v>
      </c>
      <c r="W540" s="46">
        <v>0.95</v>
      </c>
      <c r="X540" s="46">
        <v>0.0569999999999999</v>
      </c>
      <c r="Y540" s="46">
        <v>2.26365947487455</v>
      </c>
      <c r="Z540" s="46" t="b">
        <v>1</v>
      </c>
      <c r="AA540" s="46" t="b">
        <v>1</v>
      </c>
    </row>
    <row r="541">
      <c r="A541" s="157" t="s">
        <v>556</v>
      </c>
      <c r="B541" s="158">
        <v>5.0</v>
      </c>
      <c r="C541" s="157" t="s">
        <v>652</v>
      </c>
      <c r="D541" s="157" t="s">
        <v>653</v>
      </c>
      <c r="E541" s="157" t="s">
        <v>654</v>
      </c>
      <c r="F541" s="157" t="s">
        <v>1897</v>
      </c>
      <c r="G541" s="157" t="s">
        <v>1898</v>
      </c>
      <c r="H541" s="157"/>
      <c r="I541" s="158">
        <v>-1.50555</v>
      </c>
      <c r="J541" s="158">
        <v>47.2245</v>
      </c>
      <c r="K541" s="157" t="s">
        <v>1899</v>
      </c>
      <c r="L541" s="157" t="s">
        <v>648</v>
      </c>
      <c r="M541" s="158">
        <v>2022.0</v>
      </c>
      <c r="N541" s="157" t="s">
        <v>116</v>
      </c>
      <c r="O541" s="157" t="s">
        <v>658</v>
      </c>
      <c r="P541" s="161" t="b">
        <v>1</v>
      </c>
      <c r="Q541" s="158">
        <v>0.109</v>
      </c>
      <c r="R541" s="158">
        <v>0.05995</v>
      </c>
      <c r="S541" s="158">
        <v>0.04905</v>
      </c>
      <c r="T541" s="157" t="s">
        <v>116</v>
      </c>
      <c r="U541" s="46" t="s">
        <v>651</v>
      </c>
      <c r="V541" s="46" t="b">
        <v>1</v>
      </c>
      <c r="W541" s="46">
        <v>0.95</v>
      </c>
      <c r="X541" s="46">
        <v>0.0569525</v>
      </c>
      <c r="Y541" s="46">
        <v>22.2885013597048</v>
      </c>
      <c r="Z541" s="46" t="b">
        <v>1</v>
      </c>
      <c r="AA541" s="46" t="b">
        <v>1</v>
      </c>
    </row>
    <row r="542">
      <c r="A542" s="157" t="s">
        <v>566</v>
      </c>
      <c r="B542" s="158">
        <v>6.0</v>
      </c>
      <c r="C542" s="157" t="s">
        <v>659</v>
      </c>
      <c r="D542" s="157" t="s">
        <v>717</v>
      </c>
      <c r="E542" s="157" t="s">
        <v>718</v>
      </c>
      <c r="F542" s="157" t="s">
        <v>1900</v>
      </c>
      <c r="G542" s="157" t="s">
        <v>1901</v>
      </c>
      <c r="H542" s="157"/>
      <c r="I542" s="158">
        <v>18.17860985</v>
      </c>
      <c r="J542" s="158">
        <v>51.28527832</v>
      </c>
      <c r="K542" s="157" t="s">
        <v>1902</v>
      </c>
      <c r="L542" s="157" t="s">
        <v>648</v>
      </c>
      <c r="M542" s="158">
        <v>2022.0</v>
      </c>
      <c r="N542" s="157" t="s">
        <v>123</v>
      </c>
      <c r="O542" s="157" t="s">
        <v>722</v>
      </c>
      <c r="P542" s="161" t="b">
        <v>1</v>
      </c>
      <c r="Q542" s="158">
        <v>0.138</v>
      </c>
      <c r="R542" s="158">
        <v>0.059712055</v>
      </c>
      <c r="S542" s="158">
        <v>0.078287945</v>
      </c>
      <c r="T542" s="157" t="s">
        <v>123</v>
      </c>
      <c r="U542" s="46" t="s">
        <v>651</v>
      </c>
      <c r="V542" s="46" t="b">
        <v>1</v>
      </c>
      <c r="W542" s="46">
        <v>0.95</v>
      </c>
      <c r="X542" s="46">
        <v>0.0567264522499999</v>
      </c>
      <c r="Y542" s="46" t="s">
        <v>640</v>
      </c>
      <c r="Z542" s="46" t="b">
        <v>0</v>
      </c>
      <c r="AA542" s="46" t="b">
        <v>0</v>
      </c>
    </row>
    <row r="543">
      <c r="A543" s="157" t="s">
        <v>568</v>
      </c>
      <c r="B543" s="158">
        <v>5.0</v>
      </c>
      <c r="C543" s="157" t="s">
        <v>652</v>
      </c>
      <c r="D543" s="157" t="s">
        <v>653</v>
      </c>
      <c r="E543" s="157" t="s">
        <v>654</v>
      </c>
      <c r="F543" s="157" t="s">
        <v>1903</v>
      </c>
      <c r="G543" s="157" t="s">
        <v>1904</v>
      </c>
      <c r="H543" s="157"/>
      <c r="I543" s="158">
        <v>12.4926122835539</v>
      </c>
      <c r="J543" s="158">
        <v>55.9010889816822</v>
      </c>
      <c r="K543" s="157" t="s">
        <v>1905</v>
      </c>
      <c r="L543" s="157" t="s">
        <v>648</v>
      </c>
      <c r="M543" s="158">
        <v>2022.0</v>
      </c>
      <c r="N543" s="157" t="s">
        <v>116</v>
      </c>
      <c r="O543" s="157" t="s">
        <v>658</v>
      </c>
      <c r="P543" s="161" t="b">
        <v>1</v>
      </c>
      <c r="Q543" s="158">
        <v>0.166232</v>
      </c>
      <c r="R543" s="158">
        <v>0.059443</v>
      </c>
      <c r="S543" s="158">
        <v>0.106789</v>
      </c>
      <c r="T543" s="157" t="s">
        <v>116</v>
      </c>
      <c r="U543" s="46" t="s">
        <v>651</v>
      </c>
      <c r="V543" s="46" t="b">
        <v>1</v>
      </c>
      <c r="W543" s="46">
        <v>0.95</v>
      </c>
      <c r="X543" s="46">
        <v>0.05647085</v>
      </c>
      <c r="Y543" s="46">
        <v>21.8295706240063</v>
      </c>
      <c r="Z543" s="46" t="b">
        <v>1</v>
      </c>
      <c r="AA543" s="46" t="b">
        <v>1</v>
      </c>
    </row>
    <row r="544">
      <c r="A544" s="157" t="s">
        <v>556</v>
      </c>
      <c r="B544" s="158">
        <v>5.0</v>
      </c>
      <c r="C544" s="157" t="s">
        <v>652</v>
      </c>
      <c r="D544" s="157" t="s">
        <v>653</v>
      </c>
      <c r="E544" s="157" t="s">
        <v>654</v>
      </c>
      <c r="F544" s="157" t="s">
        <v>1906</v>
      </c>
      <c r="G544" s="157" t="s">
        <v>1907</v>
      </c>
      <c r="H544" s="157"/>
      <c r="I544" s="158">
        <v>2.16155</v>
      </c>
      <c r="J544" s="158">
        <v>48.90826</v>
      </c>
      <c r="K544" s="157" t="s">
        <v>1908</v>
      </c>
      <c r="L544" s="157" t="s">
        <v>648</v>
      </c>
      <c r="M544" s="158">
        <v>2022.0</v>
      </c>
      <c r="N544" s="157" t="s">
        <v>116</v>
      </c>
      <c r="O544" s="157" t="s">
        <v>658</v>
      </c>
      <c r="P544" s="161" t="b">
        <v>1</v>
      </c>
      <c r="Q544" s="158">
        <v>0.108</v>
      </c>
      <c r="R544" s="158">
        <v>0.0594</v>
      </c>
      <c r="S544" s="158">
        <v>0.0486</v>
      </c>
      <c r="T544" s="157" t="s">
        <v>116</v>
      </c>
      <c r="U544" s="46" t="s">
        <v>651</v>
      </c>
      <c r="V544" s="46" t="b">
        <v>1</v>
      </c>
      <c r="W544" s="46">
        <v>0.95</v>
      </c>
      <c r="X544" s="46">
        <v>0.05643</v>
      </c>
      <c r="Y544" s="46">
        <v>6.92388761263448</v>
      </c>
      <c r="Z544" s="46" t="b">
        <v>1</v>
      </c>
      <c r="AA544" s="46" t="b">
        <v>1</v>
      </c>
    </row>
    <row r="545">
      <c r="A545" s="157" t="s">
        <v>572</v>
      </c>
      <c r="B545" s="158">
        <v>3.0</v>
      </c>
      <c r="C545" s="157" t="s">
        <v>1215</v>
      </c>
      <c r="D545" s="157" t="s">
        <v>1216</v>
      </c>
      <c r="E545" s="157" t="s">
        <v>1217</v>
      </c>
      <c r="F545" s="157" t="s">
        <v>1909</v>
      </c>
      <c r="G545" s="157" t="s">
        <v>1910</v>
      </c>
      <c r="H545" s="157"/>
      <c r="I545" s="158">
        <v>23.52458</v>
      </c>
      <c r="J545" s="158">
        <v>38.13018</v>
      </c>
      <c r="K545" s="157" t="s">
        <v>1911</v>
      </c>
      <c r="L545" s="157" t="s">
        <v>648</v>
      </c>
      <c r="M545" s="158">
        <v>2022.0</v>
      </c>
      <c r="N545" s="157" t="s">
        <v>114</v>
      </c>
      <c r="O545" s="157" t="s">
        <v>1221</v>
      </c>
      <c r="P545" s="161" t="b">
        <v>1</v>
      </c>
      <c r="Q545" s="158">
        <v>1.299</v>
      </c>
      <c r="R545" s="158">
        <v>0.059153583</v>
      </c>
      <c r="S545" s="158">
        <v>1.239846417</v>
      </c>
      <c r="T545" s="157" t="s">
        <v>114</v>
      </c>
      <c r="U545" s="46" t="s">
        <v>651</v>
      </c>
      <c r="V545" s="46" t="b">
        <v>1</v>
      </c>
      <c r="W545" s="46">
        <v>0.95</v>
      </c>
      <c r="X545" s="46">
        <v>0.05619590385</v>
      </c>
      <c r="Y545" s="46">
        <v>15.0471559360563</v>
      </c>
      <c r="Z545" s="46" t="b">
        <v>1</v>
      </c>
      <c r="AA545" s="46" t="b">
        <v>1</v>
      </c>
    </row>
    <row r="546">
      <c r="A546" s="157" t="s">
        <v>561</v>
      </c>
      <c r="B546" s="158">
        <v>4.0</v>
      </c>
      <c r="C546" s="157" t="s">
        <v>1092</v>
      </c>
      <c r="D546" s="157" t="s">
        <v>1912</v>
      </c>
      <c r="E546" s="157" t="s">
        <v>1913</v>
      </c>
      <c r="F546" s="157" t="s">
        <v>1914</v>
      </c>
      <c r="G546" s="157" t="s">
        <v>1915</v>
      </c>
      <c r="H546" s="157"/>
      <c r="I546" s="158">
        <v>-4.038539</v>
      </c>
      <c r="J546" s="158">
        <v>43.363203</v>
      </c>
      <c r="K546" s="157" t="s">
        <v>1916</v>
      </c>
      <c r="L546" s="157" t="s">
        <v>648</v>
      </c>
      <c r="M546" s="158">
        <v>2022.0</v>
      </c>
      <c r="N546" s="157" t="s">
        <v>201</v>
      </c>
      <c r="O546" s="157" t="s">
        <v>1098</v>
      </c>
      <c r="P546" s="161" t="b">
        <v>1</v>
      </c>
      <c r="Q546" s="158">
        <v>1.06</v>
      </c>
      <c r="R546" s="158">
        <v>0.059094077</v>
      </c>
      <c r="S546" s="158">
        <v>1.000905923</v>
      </c>
      <c r="T546" s="157" t="s">
        <v>201</v>
      </c>
      <c r="U546" s="46" t="s">
        <v>651</v>
      </c>
      <c r="V546" s="46" t="b">
        <v>1</v>
      </c>
      <c r="W546" s="46">
        <v>0.95</v>
      </c>
      <c r="X546" s="46">
        <v>0.05613937315</v>
      </c>
      <c r="Y546" s="46" t="s">
        <v>640</v>
      </c>
      <c r="Z546" s="46" t="b">
        <v>0</v>
      </c>
      <c r="AA546" s="46" t="b">
        <v>0</v>
      </c>
    </row>
    <row r="547">
      <c r="A547" s="157" t="s">
        <v>559</v>
      </c>
      <c r="B547" s="158">
        <v>5.0</v>
      </c>
      <c r="C547" s="157" t="s">
        <v>652</v>
      </c>
      <c r="D547" s="157" t="s">
        <v>653</v>
      </c>
      <c r="E547" s="157" t="s">
        <v>654</v>
      </c>
      <c r="F547" s="157" t="s">
        <v>1917</v>
      </c>
      <c r="G547" s="157" t="s">
        <v>1918</v>
      </c>
      <c r="H547" s="157"/>
      <c r="I547" s="158">
        <v>9.0725</v>
      </c>
      <c r="J547" s="158">
        <v>45.7733</v>
      </c>
      <c r="K547" s="157" t="s">
        <v>1919</v>
      </c>
      <c r="L547" s="157" t="s">
        <v>648</v>
      </c>
      <c r="M547" s="158">
        <v>2022.0</v>
      </c>
      <c r="N547" s="157" t="s">
        <v>116</v>
      </c>
      <c r="O547" s="157" t="s">
        <v>658</v>
      </c>
      <c r="P547" s="161" t="b">
        <v>1</v>
      </c>
      <c r="Q547" s="158">
        <v>0.107083</v>
      </c>
      <c r="R547" s="158">
        <v>0.05889565</v>
      </c>
      <c r="S547" s="158">
        <v>0.04818735</v>
      </c>
      <c r="T547" s="157" t="s">
        <v>116</v>
      </c>
      <c r="U547" s="46" t="s">
        <v>651</v>
      </c>
      <c r="V547" s="46" t="b">
        <v>1</v>
      </c>
      <c r="W547" s="46">
        <v>0.95</v>
      </c>
      <c r="X547" s="46">
        <v>0.0559508675</v>
      </c>
      <c r="Y547" s="46">
        <v>10.9340643587069</v>
      </c>
      <c r="Z547" s="46" t="b">
        <v>1</v>
      </c>
      <c r="AA547" s="46" t="b">
        <v>1</v>
      </c>
    </row>
    <row r="548">
      <c r="A548" s="157" t="s">
        <v>559</v>
      </c>
      <c r="B548" s="158">
        <v>1.0</v>
      </c>
      <c r="C548" s="157" t="s">
        <v>642</v>
      </c>
      <c r="D548" s="157" t="s">
        <v>643</v>
      </c>
      <c r="E548" s="157" t="s">
        <v>644</v>
      </c>
      <c r="F548" s="157" t="s">
        <v>1920</v>
      </c>
      <c r="G548" s="157" t="s">
        <v>1921</v>
      </c>
      <c r="H548" s="157"/>
      <c r="I548" s="158">
        <v>7.6105</v>
      </c>
      <c r="J548" s="158">
        <v>45.103</v>
      </c>
      <c r="K548" s="157" t="s">
        <v>870</v>
      </c>
      <c r="L548" s="157" t="s">
        <v>648</v>
      </c>
      <c r="M548" s="158">
        <v>2022.0</v>
      </c>
      <c r="N548" s="157" t="s">
        <v>649</v>
      </c>
      <c r="O548" s="157" t="s">
        <v>650</v>
      </c>
      <c r="P548" s="161" t="b">
        <v>0</v>
      </c>
      <c r="Q548" s="158">
        <v>0.811827</v>
      </c>
      <c r="R548" s="158">
        <v>0.058878887</v>
      </c>
      <c r="S548" s="158">
        <v>0.752948113</v>
      </c>
      <c r="T548" s="157" t="s">
        <v>594</v>
      </c>
      <c r="U548" s="46" t="s">
        <v>651</v>
      </c>
      <c r="V548" s="46" t="b">
        <v>1</v>
      </c>
      <c r="W548" s="46">
        <v>0.95</v>
      </c>
      <c r="X548" s="46">
        <v>0.0559349426499999</v>
      </c>
      <c r="Y548" s="46">
        <v>100.502709858194</v>
      </c>
      <c r="Z548" s="46" t="b">
        <v>0</v>
      </c>
      <c r="AA548" s="46" t="b">
        <v>0</v>
      </c>
    </row>
    <row r="549">
      <c r="A549" s="157" t="s">
        <v>556</v>
      </c>
      <c r="B549" s="158">
        <v>5.0</v>
      </c>
      <c r="C549" s="157" t="s">
        <v>652</v>
      </c>
      <c r="D549" s="157" t="s">
        <v>653</v>
      </c>
      <c r="E549" s="157" t="s">
        <v>654</v>
      </c>
      <c r="F549" s="157" t="s">
        <v>1922</v>
      </c>
      <c r="G549" s="157" t="s">
        <v>1923</v>
      </c>
      <c r="H549" s="157"/>
      <c r="I549" s="158">
        <v>2.8305</v>
      </c>
      <c r="J549" s="158">
        <v>49.00516</v>
      </c>
      <c r="K549" s="157" t="s">
        <v>1924</v>
      </c>
      <c r="L549" s="157" t="s">
        <v>648</v>
      </c>
      <c r="M549" s="158">
        <v>2022.0</v>
      </c>
      <c r="N549" s="157" t="s">
        <v>116</v>
      </c>
      <c r="O549" s="157" t="s">
        <v>658</v>
      </c>
      <c r="P549" s="161" t="b">
        <v>1</v>
      </c>
      <c r="Q549" s="158">
        <v>0.107</v>
      </c>
      <c r="R549" s="158">
        <v>0.05885</v>
      </c>
      <c r="S549" s="158">
        <v>0.04815</v>
      </c>
      <c r="T549" s="157" t="s">
        <v>116</v>
      </c>
      <c r="U549" s="46" t="s">
        <v>651</v>
      </c>
      <c r="V549" s="46" t="b">
        <v>1</v>
      </c>
      <c r="W549" s="46">
        <v>0.95</v>
      </c>
      <c r="X549" s="46">
        <v>0.0559075</v>
      </c>
      <c r="Y549" s="46">
        <v>30.1154760617068</v>
      </c>
      <c r="Z549" s="46" t="b">
        <v>1</v>
      </c>
      <c r="AA549" s="46" t="b">
        <v>1</v>
      </c>
    </row>
    <row r="550">
      <c r="A550" s="157" t="s">
        <v>556</v>
      </c>
      <c r="B550" s="158">
        <v>5.0</v>
      </c>
      <c r="C550" s="157" t="s">
        <v>652</v>
      </c>
      <c r="D550" s="157" t="s">
        <v>653</v>
      </c>
      <c r="E550" s="157" t="s">
        <v>654</v>
      </c>
      <c r="F550" s="157" t="s">
        <v>1925</v>
      </c>
      <c r="G550" s="157" t="s">
        <v>1926</v>
      </c>
      <c r="H550" s="157"/>
      <c r="I550" s="158">
        <v>2.276</v>
      </c>
      <c r="J550" s="158">
        <v>48.717</v>
      </c>
      <c r="K550" s="157" t="s">
        <v>1927</v>
      </c>
      <c r="L550" s="157" t="s">
        <v>648</v>
      </c>
      <c r="M550" s="158">
        <v>2022.0</v>
      </c>
      <c r="N550" s="157" t="s">
        <v>116</v>
      </c>
      <c r="O550" s="157" t="s">
        <v>658</v>
      </c>
      <c r="P550" s="161" t="b">
        <v>1</v>
      </c>
      <c r="Q550" s="158">
        <v>0.107</v>
      </c>
      <c r="R550" s="158">
        <v>0.05885</v>
      </c>
      <c r="S550" s="158">
        <v>0.04815</v>
      </c>
      <c r="T550" s="157" t="s">
        <v>116</v>
      </c>
      <c r="U550" s="46" t="s">
        <v>651</v>
      </c>
      <c r="V550" s="46" t="b">
        <v>1</v>
      </c>
      <c r="W550" s="46">
        <v>0.95</v>
      </c>
      <c r="X550" s="46">
        <v>0.0559075</v>
      </c>
      <c r="Y550" s="46">
        <v>19.5187348351067</v>
      </c>
      <c r="Z550" s="46" t="b">
        <v>1</v>
      </c>
      <c r="AA550" s="46" t="b">
        <v>1</v>
      </c>
    </row>
    <row r="551">
      <c r="A551" s="157" t="s">
        <v>566</v>
      </c>
      <c r="B551" s="158">
        <v>1.0</v>
      </c>
      <c r="C551" s="157" t="s">
        <v>642</v>
      </c>
      <c r="D551" s="157" t="s">
        <v>643</v>
      </c>
      <c r="E551" s="157" t="s">
        <v>644</v>
      </c>
      <c r="F551" s="157" t="s">
        <v>1928</v>
      </c>
      <c r="G551" s="157" t="s">
        <v>1929</v>
      </c>
      <c r="H551" s="157"/>
      <c r="I551" s="158">
        <v>19.42069435</v>
      </c>
      <c r="J551" s="158">
        <v>51.79819489</v>
      </c>
      <c r="K551" s="157" t="s">
        <v>1864</v>
      </c>
      <c r="L551" s="157" t="s">
        <v>648</v>
      </c>
      <c r="M551" s="158">
        <v>2022.0</v>
      </c>
      <c r="N551" s="157" t="s">
        <v>649</v>
      </c>
      <c r="O551" s="157" t="s">
        <v>650</v>
      </c>
      <c r="P551" s="161" t="b">
        <v>0</v>
      </c>
      <c r="Q551" s="158">
        <v>0.81</v>
      </c>
      <c r="R551" s="158">
        <v>0.058746382</v>
      </c>
      <c r="S551" s="158">
        <v>0.751253618</v>
      </c>
      <c r="T551" s="157" t="s">
        <v>594</v>
      </c>
      <c r="U551" s="46" t="s">
        <v>651</v>
      </c>
      <c r="V551" s="46" t="b">
        <v>1</v>
      </c>
      <c r="W551" s="46">
        <v>0.95</v>
      </c>
      <c r="X551" s="46">
        <v>0.0558090629</v>
      </c>
      <c r="Y551" s="46">
        <v>85.9106106849862</v>
      </c>
      <c r="Z551" s="46" t="b">
        <v>0</v>
      </c>
      <c r="AA551" s="46" t="b">
        <v>1</v>
      </c>
    </row>
    <row r="552">
      <c r="A552" s="157" t="s">
        <v>574</v>
      </c>
      <c r="B552" s="158">
        <v>4.0</v>
      </c>
      <c r="C552" s="157" t="s">
        <v>1092</v>
      </c>
      <c r="D552" s="157" t="s">
        <v>1093</v>
      </c>
      <c r="E552" s="157" t="s">
        <v>1094</v>
      </c>
      <c r="F552" s="162" t="s">
        <v>1930</v>
      </c>
      <c r="G552" s="157" t="s">
        <v>1931</v>
      </c>
      <c r="H552" s="157"/>
      <c r="I552" s="158">
        <v>17.937156</v>
      </c>
      <c r="J552" s="158">
        <v>48.181531</v>
      </c>
      <c r="K552" s="157" t="s">
        <v>1932</v>
      </c>
      <c r="L552" s="157" t="s">
        <v>648</v>
      </c>
      <c r="M552" s="158">
        <v>2017.0</v>
      </c>
      <c r="N552" s="157" t="s">
        <v>201</v>
      </c>
      <c r="O552" s="157" t="s">
        <v>1098</v>
      </c>
      <c r="P552" s="161" t="b">
        <v>1</v>
      </c>
      <c r="Q552" s="158">
        <v>1.05</v>
      </c>
      <c r="R552" s="158">
        <v>0.058536585</v>
      </c>
      <c r="S552" s="158">
        <v>0.991463415</v>
      </c>
      <c r="T552" s="157" t="s">
        <v>201</v>
      </c>
      <c r="U552" s="46" t="s">
        <v>651</v>
      </c>
      <c r="V552" s="46" t="b">
        <v>1</v>
      </c>
      <c r="W552" s="46">
        <v>0.95</v>
      </c>
      <c r="X552" s="46">
        <v>0.0556097557499999</v>
      </c>
      <c r="Y552" s="46" t="s">
        <v>640</v>
      </c>
      <c r="Z552" s="46" t="b">
        <v>0</v>
      </c>
      <c r="AA552" s="46" t="b">
        <v>0</v>
      </c>
    </row>
    <row r="553">
      <c r="A553" s="157" t="s">
        <v>559</v>
      </c>
      <c r="B553" s="158">
        <v>1.0</v>
      </c>
      <c r="C553" s="157" t="s">
        <v>642</v>
      </c>
      <c r="D553" s="157" t="s">
        <v>643</v>
      </c>
      <c r="E553" s="157" t="s">
        <v>644</v>
      </c>
      <c r="F553" s="157" t="s">
        <v>1933</v>
      </c>
      <c r="G553" s="157" t="s">
        <v>1934</v>
      </c>
      <c r="H553" s="157"/>
      <c r="I553" s="158">
        <v>7.7516</v>
      </c>
      <c r="J553" s="158">
        <v>45.1622</v>
      </c>
      <c r="K553" s="157" t="s">
        <v>1935</v>
      </c>
      <c r="L553" s="157" t="s">
        <v>648</v>
      </c>
      <c r="M553" s="158">
        <v>2022.0</v>
      </c>
      <c r="N553" s="157" t="s">
        <v>649</v>
      </c>
      <c r="O553" s="157" t="s">
        <v>650</v>
      </c>
      <c r="P553" s="161" t="b">
        <v>0</v>
      </c>
      <c r="Q553" s="158">
        <v>0.8045844</v>
      </c>
      <c r="R553" s="158">
        <v>0.058353608</v>
      </c>
      <c r="S553" s="158">
        <v>0.746230792</v>
      </c>
      <c r="T553" s="157" t="s">
        <v>594</v>
      </c>
      <c r="U553" s="46" t="s">
        <v>651</v>
      </c>
      <c r="V553" s="46" t="b">
        <v>1</v>
      </c>
      <c r="W553" s="46">
        <v>0.95</v>
      </c>
      <c r="X553" s="46">
        <v>0.0554359276</v>
      </c>
      <c r="Y553" s="46">
        <v>90.7075982321527</v>
      </c>
      <c r="Z553" s="46" t="b">
        <v>0</v>
      </c>
      <c r="AA553" s="46" t="b">
        <v>1</v>
      </c>
    </row>
    <row r="554">
      <c r="A554" s="157" t="s">
        <v>556</v>
      </c>
      <c r="B554" s="158">
        <v>5.0</v>
      </c>
      <c r="C554" s="157" t="s">
        <v>652</v>
      </c>
      <c r="D554" s="157" t="s">
        <v>653</v>
      </c>
      <c r="E554" s="157" t="s">
        <v>654</v>
      </c>
      <c r="F554" s="157" t="s">
        <v>1936</v>
      </c>
      <c r="G554" s="157" t="s">
        <v>1432</v>
      </c>
      <c r="H554" s="157"/>
      <c r="I554" s="158">
        <v>-0.50707</v>
      </c>
      <c r="J554" s="158">
        <v>44.8513</v>
      </c>
      <c r="K554" s="157" t="s">
        <v>1937</v>
      </c>
      <c r="L554" s="157" t="s">
        <v>648</v>
      </c>
      <c r="M554" s="158">
        <v>2022.0</v>
      </c>
      <c r="N554" s="157" t="s">
        <v>116</v>
      </c>
      <c r="O554" s="157" t="s">
        <v>658</v>
      </c>
      <c r="P554" s="161" t="b">
        <v>1</v>
      </c>
      <c r="Q554" s="158">
        <v>0.106</v>
      </c>
      <c r="R554" s="158">
        <v>0.0583</v>
      </c>
      <c r="S554" s="158">
        <v>0.0477</v>
      </c>
      <c r="T554" s="157" t="s">
        <v>116</v>
      </c>
      <c r="U554" s="46" t="s">
        <v>651</v>
      </c>
      <c r="V554" s="46" t="b">
        <v>1</v>
      </c>
      <c r="W554" s="46">
        <v>0.95</v>
      </c>
      <c r="X554" s="46">
        <v>0.055385</v>
      </c>
      <c r="Y554" s="46">
        <v>4.2725581988736</v>
      </c>
      <c r="Z554" s="46" t="b">
        <v>1</v>
      </c>
      <c r="AA554" s="46" t="b">
        <v>1</v>
      </c>
    </row>
    <row r="555">
      <c r="A555" s="157" t="s">
        <v>561</v>
      </c>
      <c r="B555" s="158">
        <v>1.0</v>
      </c>
      <c r="C555" s="157" t="s">
        <v>642</v>
      </c>
      <c r="D555" s="157" t="s">
        <v>643</v>
      </c>
      <c r="E555" s="157" t="s">
        <v>644</v>
      </c>
      <c r="F555" s="157" t="s">
        <v>1938</v>
      </c>
      <c r="G555" s="157" t="s">
        <v>1939</v>
      </c>
      <c r="H555" s="157"/>
      <c r="I555" s="158">
        <v>-0.946256</v>
      </c>
      <c r="J555" s="158">
        <v>37.570458</v>
      </c>
      <c r="K555" s="157" t="s">
        <v>1395</v>
      </c>
      <c r="L555" s="157" t="s">
        <v>648</v>
      </c>
      <c r="M555" s="158">
        <v>2022.0</v>
      </c>
      <c r="N555" s="157" t="s">
        <v>649</v>
      </c>
      <c r="O555" s="157" t="s">
        <v>650</v>
      </c>
      <c r="P555" s="161" t="b">
        <v>0</v>
      </c>
      <c r="Q555" s="158">
        <v>0.802</v>
      </c>
      <c r="R555" s="158">
        <v>0.05816617</v>
      </c>
      <c r="S555" s="158">
        <v>0.74383383</v>
      </c>
      <c r="T555" s="157" t="s">
        <v>594</v>
      </c>
      <c r="U555" s="46" t="s">
        <v>651</v>
      </c>
      <c r="V555" s="46" t="b">
        <v>1</v>
      </c>
      <c r="W555" s="46">
        <v>0.95</v>
      </c>
      <c r="X555" s="46">
        <v>0.0552578615</v>
      </c>
      <c r="Y555" s="46" t="s">
        <v>640</v>
      </c>
      <c r="Z555" s="46" t="b">
        <v>0</v>
      </c>
      <c r="AA555" s="46" t="b">
        <v>0</v>
      </c>
    </row>
    <row r="556">
      <c r="A556" s="157" t="s">
        <v>556</v>
      </c>
      <c r="B556" s="158">
        <v>5.0</v>
      </c>
      <c r="C556" s="157" t="s">
        <v>652</v>
      </c>
      <c r="D556" s="157" t="s">
        <v>653</v>
      </c>
      <c r="E556" s="157" t="s">
        <v>654</v>
      </c>
      <c r="F556" s="157" t="s">
        <v>1940</v>
      </c>
      <c r="G556" s="157" t="s">
        <v>1941</v>
      </c>
      <c r="H556" s="157"/>
      <c r="I556" s="158">
        <v>2.50012</v>
      </c>
      <c r="J556" s="158">
        <v>49.28</v>
      </c>
      <c r="K556" s="157" t="s">
        <v>1942</v>
      </c>
      <c r="L556" s="157" t="s">
        <v>648</v>
      </c>
      <c r="M556" s="158">
        <v>2022.0</v>
      </c>
      <c r="N556" s="157" t="s">
        <v>116</v>
      </c>
      <c r="O556" s="157" t="s">
        <v>658</v>
      </c>
      <c r="P556" s="161" t="b">
        <v>1</v>
      </c>
      <c r="Q556" s="158">
        <v>0.105</v>
      </c>
      <c r="R556" s="158">
        <v>0.05775</v>
      </c>
      <c r="S556" s="158">
        <v>0.04725</v>
      </c>
      <c r="T556" s="157" t="s">
        <v>116</v>
      </c>
      <c r="U556" s="46" t="s">
        <v>651</v>
      </c>
      <c r="V556" s="46" t="b">
        <v>1</v>
      </c>
      <c r="W556" s="46">
        <v>0.95</v>
      </c>
      <c r="X556" s="46">
        <v>0.0548625</v>
      </c>
      <c r="Y556" s="46">
        <v>41.100896889366</v>
      </c>
      <c r="Z556" s="46" t="b">
        <v>1</v>
      </c>
      <c r="AA556" s="46" t="b">
        <v>1</v>
      </c>
    </row>
    <row r="557">
      <c r="A557" s="157" t="s">
        <v>556</v>
      </c>
      <c r="B557" s="158">
        <v>8.0</v>
      </c>
      <c r="C557" s="157" t="s">
        <v>1175</v>
      </c>
      <c r="D557" s="157" t="s">
        <v>1176</v>
      </c>
      <c r="E557" s="157" t="s">
        <v>1177</v>
      </c>
      <c r="F557" s="157" t="s">
        <v>1943</v>
      </c>
      <c r="G557" s="157" t="s">
        <v>1944</v>
      </c>
      <c r="H557" s="157"/>
      <c r="I557" s="158">
        <v>3.47998</v>
      </c>
      <c r="J557" s="158">
        <v>49.8349</v>
      </c>
      <c r="K557" s="157" t="s">
        <v>1945</v>
      </c>
      <c r="L557" s="157" t="s">
        <v>648</v>
      </c>
      <c r="M557" s="158">
        <v>2022.0</v>
      </c>
      <c r="N557" s="157" t="s">
        <v>552</v>
      </c>
      <c r="O557" s="157" t="s">
        <v>1181</v>
      </c>
      <c r="P557" s="161" t="b">
        <v>1</v>
      </c>
      <c r="Q557" s="158">
        <v>0.439</v>
      </c>
      <c r="R557" s="158">
        <v>0.057725324</v>
      </c>
      <c r="S557" s="158">
        <v>0.381274676</v>
      </c>
      <c r="T557" s="157" t="s">
        <v>552</v>
      </c>
      <c r="U557" s="46" t="s">
        <v>651</v>
      </c>
      <c r="V557" s="46" t="b">
        <v>1</v>
      </c>
      <c r="W557" s="46">
        <v>0.95</v>
      </c>
      <c r="X557" s="46">
        <v>0.0548390578</v>
      </c>
      <c r="Y557" s="46">
        <v>62.1199937180012</v>
      </c>
      <c r="Z557" s="46" t="b">
        <v>0</v>
      </c>
      <c r="AA557" s="46" t="b">
        <v>1</v>
      </c>
    </row>
    <row r="558">
      <c r="A558" s="157" t="s">
        <v>572</v>
      </c>
      <c r="B558" s="158">
        <v>1.0</v>
      </c>
      <c r="C558" s="157" t="s">
        <v>642</v>
      </c>
      <c r="D558" s="157" t="s">
        <v>643</v>
      </c>
      <c r="E558" s="157" t="s">
        <v>644</v>
      </c>
      <c r="F558" s="157" t="s">
        <v>1946</v>
      </c>
      <c r="G558" s="157" t="s">
        <v>1947</v>
      </c>
      <c r="H558" s="157"/>
      <c r="I558" s="158">
        <v>23.32946</v>
      </c>
      <c r="J558" s="158">
        <v>38.27949</v>
      </c>
      <c r="K558" s="157" t="s">
        <v>1948</v>
      </c>
      <c r="L558" s="157" t="s">
        <v>648</v>
      </c>
      <c r="M558" s="158">
        <v>2022.0</v>
      </c>
      <c r="N558" s="157" t="s">
        <v>649</v>
      </c>
      <c r="O558" s="157" t="s">
        <v>650</v>
      </c>
      <c r="P558" s="161" t="b">
        <v>0</v>
      </c>
      <c r="Q558" s="158">
        <v>0.79</v>
      </c>
      <c r="R558" s="158">
        <v>0.057295854</v>
      </c>
      <c r="S558" s="158">
        <v>0.732704146</v>
      </c>
      <c r="T558" s="157" t="s">
        <v>594</v>
      </c>
      <c r="U558" s="46" t="s">
        <v>651</v>
      </c>
      <c r="V558" s="46" t="b">
        <v>1</v>
      </c>
      <c r="W558" s="46">
        <v>0.95</v>
      </c>
      <c r="X558" s="46">
        <v>0.0544310613</v>
      </c>
      <c r="Y558" s="46">
        <v>11.9189421811977</v>
      </c>
      <c r="Z558" s="46" t="b">
        <v>1</v>
      </c>
      <c r="AA558" s="46" t="b">
        <v>1</v>
      </c>
    </row>
    <row r="559">
      <c r="A559" s="157" t="s">
        <v>556</v>
      </c>
      <c r="B559" s="158">
        <v>5.0</v>
      </c>
      <c r="C559" s="157" t="s">
        <v>652</v>
      </c>
      <c r="D559" s="157" t="s">
        <v>653</v>
      </c>
      <c r="E559" s="157" t="s">
        <v>654</v>
      </c>
      <c r="F559" s="157" t="s">
        <v>1949</v>
      </c>
      <c r="G559" s="157" t="s">
        <v>1950</v>
      </c>
      <c r="H559" s="157"/>
      <c r="I559" s="158">
        <v>2.85</v>
      </c>
      <c r="J559" s="158">
        <v>50.42</v>
      </c>
      <c r="K559" s="157" t="s">
        <v>1951</v>
      </c>
      <c r="L559" s="157" t="s">
        <v>648</v>
      </c>
      <c r="M559" s="158">
        <v>2022.0</v>
      </c>
      <c r="N559" s="157" t="s">
        <v>116</v>
      </c>
      <c r="O559" s="157" t="s">
        <v>658</v>
      </c>
      <c r="P559" s="161" t="b">
        <v>1</v>
      </c>
      <c r="Q559" s="158">
        <v>0.104</v>
      </c>
      <c r="R559" s="158">
        <v>0.0572</v>
      </c>
      <c r="S559" s="158">
        <v>0.0468</v>
      </c>
      <c r="T559" s="157" t="s">
        <v>116</v>
      </c>
      <c r="U559" s="46" t="s">
        <v>651</v>
      </c>
      <c r="V559" s="46" t="b">
        <v>1</v>
      </c>
      <c r="W559" s="46">
        <v>0.95</v>
      </c>
      <c r="X559" s="46">
        <v>0.05434</v>
      </c>
      <c r="Y559" s="46">
        <v>35.2257014745468</v>
      </c>
      <c r="Z559" s="46" t="b">
        <v>1</v>
      </c>
      <c r="AA559" s="46" t="b">
        <v>1</v>
      </c>
    </row>
    <row r="560">
      <c r="A560" s="157" t="s">
        <v>561</v>
      </c>
      <c r="B560" s="158">
        <v>1.0</v>
      </c>
      <c r="C560" s="157" t="s">
        <v>642</v>
      </c>
      <c r="D560" s="157" t="s">
        <v>643</v>
      </c>
      <c r="E560" s="157" t="s">
        <v>644</v>
      </c>
      <c r="F560" s="157" t="s">
        <v>1952</v>
      </c>
      <c r="G560" s="157" t="s">
        <v>1953</v>
      </c>
      <c r="H560" s="157"/>
      <c r="I560" s="158">
        <v>2.231541</v>
      </c>
      <c r="J560" s="158">
        <v>41.420804</v>
      </c>
      <c r="K560" s="157" t="s">
        <v>1184</v>
      </c>
      <c r="L560" s="157" t="s">
        <v>648</v>
      </c>
      <c r="M560" s="158">
        <v>2022.0</v>
      </c>
      <c r="N560" s="157" t="s">
        <v>649</v>
      </c>
      <c r="O560" s="157" t="s">
        <v>650</v>
      </c>
      <c r="P560" s="161" t="b">
        <v>0</v>
      </c>
      <c r="Q560" s="158">
        <v>0.787</v>
      </c>
      <c r="R560" s="158">
        <v>0.057078275</v>
      </c>
      <c r="S560" s="158">
        <v>0.729921725</v>
      </c>
      <c r="T560" s="157" t="s">
        <v>594</v>
      </c>
      <c r="U560" s="46" t="s">
        <v>651</v>
      </c>
      <c r="V560" s="46" t="b">
        <v>1</v>
      </c>
      <c r="W560" s="46">
        <v>0.95</v>
      </c>
      <c r="X560" s="46">
        <v>0.05422436125</v>
      </c>
      <c r="Y560" s="46" t="s">
        <v>640</v>
      </c>
      <c r="Z560" s="46" t="b">
        <v>0</v>
      </c>
      <c r="AA560" s="46" t="b">
        <v>0</v>
      </c>
    </row>
    <row r="561">
      <c r="A561" s="157" t="s">
        <v>556</v>
      </c>
      <c r="B561" s="158">
        <v>1.0</v>
      </c>
      <c r="C561" s="157" t="s">
        <v>642</v>
      </c>
      <c r="D561" s="157" t="s">
        <v>643</v>
      </c>
      <c r="E561" s="157" t="s">
        <v>644</v>
      </c>
      <c r="F561" s="157" t="s">
        <v>1954</v>
      </c>
      <c r="G561" s="157" t="s">
        <v>1765</v>
      </c>
      <c r="H561" s="157"/>
      <c r="I561" s="158">
        <v>5.91212</v>
      </c>
      <c r="J561" s="158">
        <v>48.6937</v>
      </c>
      <c r="K561" s="157" t="s">
        <v>1955</v>
      </c>
      <c r="L561" s="157" t="s">
        <v>648</v>
      </c>
      <c r="M561" s="158">
        <v>2022.0</v>
      </c>
      <c r="N561" s="157" t="s">
        <v>649</v>
      </c>
      <c r="O561" s="157" t="s">
        <v>650</v>
      </c>
      <c r="P561" s="161" t="b">
        <v>0</v>
      </c>
      <c r="Q561" s="158">
        <v>0.786</v>
      </c>
      <c r="R561" s="158">
        <v>0.057005748</v>
      </c>
      <c r="S561" s="158">
        <v>0.728994252</v>
      </c>
      <c r="T561" s="157" t="s">
        <v>594</v>
      </c>
      <c r="U561" s="46" t="s">
        <v>651</v>
      </c>
      <c r="V561" s="46" t="b">
        <v>1</v>
      </c>
      <c r="W561" s="46">
        <v>0.95</v>
      </c>
      <c r="X561" s="46">
        <v>0.0541554606</v>
      </c>
      <c r="Y561" s="46">
        <v>83.6596374288878</v>
      </c>
      <c r="Z561" s="46" t="b">
        <v>0</v>
      </c>
      <c r="AA561" s="46" t="b">
        <v>1</v>
      </c>
    </row>
    <row r="562">
      <c r="A562" s="157" t="s">
        <v>557</v>
      </c>
      <c r="B562" s="158">
        <v>3.0</v>
      </c>
      <c r="C562" s="157" t="s">
        <v>1215</v>
      </c>
      <c r="D562" s="157" t="s">
        <v>1371</v>
      </c>
      <c r="E562" s="157" t="s">
        <v>1372</v>
      </c>
      <c r="F562" s="162" t="s">
        <v>1956</v>
      </c>
      <c r="G562" s="157" t="s">
        <v>1750</v>
      </c>
      <c r="H562" s="157"/>
      <c r="I562" s="158">
        <v>8.03701249412366</v>
      </c>
      <c r="J562" s="158">
        <v>49.602026022856</v>
      </c>
      <c r="K562" s="157" t="s">
        <v>1957</v>
      </c>
      <c r="L562" s="157" t="s">
        <v>648</v>
      </c>
      <c r="M562" s="158">
        <v>2022.0</v>
      </c>
      <c r="N562" s="157" t="s">
        <v>114</v>
      </c>
      <c r="O562" s="157" t="s">
        <v>1376</v>
      </c>
      <c r="P562" s="161" t="b">
        <v>1</v>
      </c>
      <c r="Q562" s="158">
        <v>0.774</v>
      </c>
      <c r="R562" s="158">
        <v>0.057</v>
      </c>
      <c r="S562" s="158">
        <v>0.717</v>
      </c>
      <c r="T562" s="157" t="s">
        <v>114</v>
      </c>
      <c r="U562" s="46" t="s">
        <v>651</v>
      </c>
      <c r="V562" s="46" t="b">
        <v>1</v>
      </c>
      <c r="W562" s="46">
        <v>0.95</v>
      </c>
      <c r="X562" s="46">
        <v>0.05415</v>
      </c>
      <c r="Y562" s="46">
        <v>5.22462164166002</v>
      </c>
      <c r="Z562" s="46" t="b">
        <v>1</v>
      </c>
      <c r="AA562" s="46" t="b">
        <v>1</v>
      </c>
    </row>
    <row r="563">
      <c r="A563" s="157" t="s">
        <v>572</v>
      </c>
      <c r="B563" s="158">
        <v>1.0</v>
      </c>
      <c r="C563" s="157" t="s">
        <v>642</v>
      </c>
      <c r="D563" s="157" t="s">
        <v>643</v>
      </c>
      <c r="E563" s="157" t="s">
        <v>644</v>
      </c>
      <c r="F563" s="157" t="s">
        <v>1958</v>
      </c>
      <c r="G563" s="157" t="s">
        <v>1959</v>
      </c>
      <c r="H563" s="157"/>
      <c r="I563" s="158">
        <v>23.06881</v>
      </c>
      <c r="J563" s="158">
        <v>37.92361</v>
      </c>
      <c r="K563" s="157" t="s">
        <v>1960</v>
      </c>
      <c r="L563" s="157" t="s">
        <v>648</v>
      </c>
      <c r="M563" s="158">
        <v>2022.0</v>
      </c>
      <c r="N563" s="157" t="s">
        <v>649</v>
      </c>
      <c r="O563" s="157" t="s">
        <v>650</v>
      </c>
      <c r="P563" s="161" t="b">
        <v>0</v>
      </c>
      <c r="Q563" s="158">
        <v>0.782</v>
      </c>
      <c r="R563" s="158">
        <v>0.056715643</v>
      </c>
      <c r="S563" s="158">
        <v>0.725284357</v>
      </c>
      <c r="T563" s="157" t="s">
        <v>594</v>
      </c>
      <c r="U563" s="46" t="s">
        <v>651</v>
      </c>
      <c r="V563" s="46" t="b">
        <v>1</v>
      </c>
      <c r="W563" s="46">
        <v>0.95</v>
      </c>
      <c r="X563" s="46">
        <v>0.05387986085</v>
      </c>
      <c r="Y563" s="46">
        <v>57.2808245556852</v>
      </c>
      <c r="Z563" s="46" t="b">
        <v>0</v>
      </c>
      <c r="AA563" s="46" t="b">
        <v>1</v>
      </c>
    </row>
    <row r="564">
      <c r="A564" s="157" t="s">
        <v>559</v>
      </c>
      <c r="B564" s="158">
        <v>5.0</v>
      </c>
      <c r="C564" s="157" t="s">
        <v>652</v>
      </c>
      <c r="D564" s="157" t="s">
        <v>653</v>
      </c>
      <c r="E564" s="157" t="s">
        <v>654</v>
      </c>
      <c r="F564" s="157" t="s">
        <v>1961</v>
      </c>
      <c r="G564" s="157" t="s">
        <v>1962</v>
      </c>
      <c r="H564" s="157"/>
      <c r="I564" s="158">
        <v>9.7325</v>
      </c>
      <c r="J564" s="158">
        <v>45.0585</v>
      </c>
      <c r="K564" s="157" t="s">
        <v>1963</v>
      </c>
      <c r="L564" s="157" t="s">
        <v>648</v>
      </c>
      <c r="M564" s="158">
        <v>2022.0</v>
      </c>
      <c r="N564" s="157" t="s">
        <v>116</v>
      </c>
      <c r="O564" s="157" t="s">
        <v>658</v>
      </c>
      <c r="P564" s="161" t="b">
        <v>1</v>
      </c>
      <c r="Q564" s="158">
        <v>0.103008</v>
      </c>
      <c r="R564" s="158">
        <v>0.0566544</v>
      </c>
      <c r="S564" s="158">
        <v>0.0463536</v>
      </c>
      <c r="T564" s="157" t="s">
        <v>116</v>
      </c>
      <c r="U564" s="46" t="s">
        <v>651</v>
      </c>
      <c r="V564" s="46" t="b">
        <v>1</v>
      </c>
      <c r="W564" s="46">
        <v>0.95</v>
      </c>
      <c r="X564" s="46">
        <v>0.05382168</v>
      </c>
      <c r="Y564" s="46">
        <v>6.34771438157382</v>
      </c>
      <c r="Z564" s="46" t="b">
        <v>1</v>
      </c>
      <c r="AA564" s="46" t="b">
        <v>1</v>
      </c>
    </row>
    <row r="565">
      <c r="A565" s="157" t="s">
        <v>562</v>
      </c>
      <c r="B565" s="158">
        <v>5.0</v>
      </c>
      <c r="C565" s="157" t="s">
        <v>652</v>
      </c>
      <c r="D565" s="157" t="s">
        <v>653</v>
      </c>
      <c r="E565" s="157" t="s">
        <v>654</v>
      </c>
      <c r="F565" s="162" t="s">
        <v>1964</v>
      </c>
      <c r="G565" s="157" t="s">
        <v>1965</v>
      </c>
      <c r="H565" s="157"/>
      <c r="I565" s="158">
        <v>5.15779</v>
      </c>
      <c r="J565" s="158">
        <v>51.0814</v>
      </c>
      <c r="K565" s="157" t="s">
        <v>1966</v>
      </c>
      <c r="L565" s="157" t="s">
        <v>648</v>
      </c>
      <c r="M565" s="158">
        <v>2022.0</v>
      </c>
      <c r="N565" s="157" t="s">
        <v>116</v>
      </c>
      <c r="O565" s="157" t="s">
        <v>658</v>
      </c>
      <c r="P565" s="161" t="b">
        <v>1</v>
      </c>
      <c r="Q565" s="158">
        <v>0.103</v>
      </c>
      <c r="R565" s="158">
        <v>0.05665</v>
      </c>
      <c r="S565" s="158">
        <v>0.04635</v>
      </c>
      <c r="T565" s="157" t="s">
        <v>116</v>
      </c>
      <c r="U565" s="46" t="s">
        <v>651</v>
      </c>
      <c r="V565" s="46" t="b">
        <v>1</v>
      </c>
      <c r="W565" s="46">
        <v>0.95</v>
      </c>
      <c r="X565" s="46">
        <v>0.0538175</v>
      </c>
      <c r="Y565" s="46">
        <v>9.21769126103238</v>
      </c>
      <c r="Z565" s="46" t="b">
        <v>1</v>
      </c>
      <c r="AA565" s="46" t="b">
        <v>1</v>
      </c>
    </row>
    <row r="566">
      <c r="A566" s="157" t="s">
        <v>556</v>
      </c>
      <c r="B566" s="158">
        <v>5.0</v>
      </c>
      <c r="C566" s="157" t="s">
        <v>652</v>
      </c>
      <c r="D566" s="157" t="s">
        <v>653</v>
      </c>
      <c r="E566" s="157" t="s">
        <v>654</v>
      </c>
      <c r="F566" s="157" t="s">
        <v>1967</v>
      </c>
      <c r="G566" s="157" t="s">
        <v>1968</v>
      </c>
      <c r="H566" s="157"/>
      <c r="I566" s="158">
        <v>3.55071</v>
      </c>
      <c r="J566" s="158">
        <v>50.3935</v>
      </c>
      <c r="K566" s="157" t="s">
        <v>1969</v>
      </c>
      <c r="L566" s="157" t="s">
        <v>648</v>
      </c>
      <c r="M566" s="158">
        <v>2022.0</v>
      </c>
      <c r="N566" s="157" t="s">
        <v>116</v>
      </c>
      <c r="O566" s="157" t="s">
        <v>658</v>
      </c>
      <c r="P566" s="161" t="b">
        <v>1</v>
      </c>
      <c r="Q566" s="158">
        <v>0.103</v>
      </c>
      <c r="R566" s="158">
        <v>0.05665</v>
      </c>
      <c r="S566" s="158">
        <v>0.04635</v>
      </c>
      <c r="T566" s="157" t="s">
        <v>116</v>
      </c>
      <c r="U566" s="46" t="s">
        <v>651</v>
      </c>
      <c r="V566" s="46" t="b">
        <v>1</v>
      </c>
      <c r="W566" s="46">
        <v>0.95</v>
      </c>
      <c r="X566" s="46">
        <v>0.0538175</v>
      </c>
      <c r="Y566" s="46">
        <v>25.7001120177296</v>
      </c>
      <c r="Z566" s="46" t="b">
        <v>1</v>
      </c>
      <c r="AA566" s="46" t="b">
        <v>1</v>
      </c>
    </row>
    <row r="567">
      <c r="A567" s="157" t="s">
        <v>556</v>
      </c>
      <c r="B567" s="158">
        <v>5.0</v>
      </c>
      <c r="C567" s="157" t="s">
        <v>652</v>
      </c>
      <c r="D567" s="157" t="s">
        <v>653</v>
      </c>
      <c r="E567" s="157" t="s">
        <v>654</v>
      </c>
      <c r="F567" s="157" t="s">
        <v>1970</v>
      </c>
      <c r="G567" s="157" t="s">
        <v>1971</v>
      </c>
      <c r="H567" s="157"/>
      <c r="I567" s="158">
        <v>5.81475</v>
      </c>
      <c r="J567" s="158">
        <v>46.08779</v>
      </c>
      <c r="K567" s="157" t="s">
        <v>1972</v>
      </c>
      <c r="L567" s="157" t="s">
        <v>648</v>
      </c>
      <c r="M567" s="158">
        <v>2022.0</v>
      </c>
      <c r="N567" s="157" t="s">
        <v>116</v>
      </c>
      <c r="O567" s="157" t="s">
        <v>658</v>
      </c>
      <c r="P567" s="161" t="b">
        <v>1</v>
      </c>
      <c r="Q567" s="158">
        <v>0.103</v>
      </c>
      <c r="R567" s="158">
        <v>0.05665</v>
      </c>
      <c r="S567" s="158">
        <v>0.04635</v>
      </c>
      <c r="T567" s="157" t="s">
        <v>116</v>
      </c>
      <c r="U567" s="46" t="s">
        <v>651</v>
      </c>
      <c r="V567" s="46" t="b">
        <v>1</v>
      </c>
      <c r="W567" s="46">
        <v>0.95</v>
      </c>
      <c r="X567" s="46">
        <v>0.0538175</v>
      </c>
      <c r="Y567" s="46">
        <v>71.1978800903471</v>
      </c>
      <c r="Z567" s="46" t="b">
        <v>0</v>
      </c>
      <c r="AA567" s="46" t="b">
        <v>1</v>
      </c>
    </row>
    <row r="568">
      <c r="A568" s="157" t="s">
        <v>555</v>
      </c>
      <c r="B568" s="158">
        <v>1.0</v>
      </c>
      <c r="C568" s="157" t="s">
        <v>642</v>
      </c>
      <c r="D568" s="157" t="s">
        <v>643</v>
      </c>
      <c r="E568" s="157" t="s">
        <v>644</v>
      </c>
      <c r="F568" s="162" t="s">
        <v>1973</v>
      </c>
      <c r="G568" s="157" t="s">
        <v>1974</v>
      </c>
      <c r="H568" s="157"/>
      <c r="I568" s="158">
        <v>25.51853</v>
      </c>
      <c r="J568" s="158">
        <v>65.0345</v>
      </c>
      <c r="K568" s="157" t="s">
        <v>721</v>
      </c>
      <c r="L568" s="157" t="s">
        <v>648</v>
      </c>
      <c r="M568" s="158">
        <v>2022.0</v>
      </c>
      <c r="N568" s="157" t="s">
        <v>649</v>
      </c>
      <c r="O568" s="157" t="s">
        <v>650</v>
      </c>
      <c r="P568" s="161" t="b">
        <v>0</v>
      </c>
      <c r="Q568" s="158">
        <v>0.113</v>
      </c>
      <c r="R568" s="158">
        <v>0.056</v>
      </c>
      <c r="S568" s="158">
        <v>0.057</v>
      </c>
      <c r="T568" s="157" t="s">
        <v>117</v>
      </c>
      <c r="U568" s="46" t="s">
        <v>651</v>
      </c>
      <c r="V568" s="46" t="b">
        <v>1</v>
      </c>
      <c r="W568" s="46">
        <v>0.95</v>
      </c>
      <c r="X568" s="46">
        <v>0.0532</v>
      </c>
      <c r="Y568" s="46" t="s">
        <v>640</v>
      </c>
      <c r="Z568" s="46" t="b">
        <v>0</v>
      </c>
      <c r="AA568" s="46" t="b">
        <v>0</v>
      </c>
    </row>
    <row r="569">
      <c r="A569" s="157" t="s">
        <v>559</v>
      </c>
      <c r="B569" s="158">
        <v>1.0</v>
      </c>
      <c r="C569" s="157" t="s">
        <v>642</v>
      </c>
      <c r="D569" s="157" t="s">
        <v>643</v>
      </c>
      <c r="E569" s="157" t="s">
        <v>644</v>
      </c>
      <c r="F569" s="157" t="s">
        <v>1975</v>
      </c>
      <c r="G569" s="157" t="s">
        <v>1976</v>
      </c>
      <c r="H569" s="157"/>
      <c r="I569" s="158">
        <v>10.4494</v>
      </c>
      <c r="J569" s="158">
        <v>43.3816</v>
      </c>
      <c r="K569" s="157" t="s">
        <v>1806</v>
      </c>
      <c r="L569" s="157" t="s">
        <v>648</v>
      </c>
      <c r="M569" s="158">
        <v>2022.0</v>
      </c>
      <c r="N569" s="157" t="s">
        <v>649</v>
      </c>
      <c r="O569" s="157" t="s">
        <v>650</v>
      </c>
      <c r="P569" s="161" t="b">
        <v>0</v>
      </c>
      <c r="Q569" s="158">
        <v>0.77201964</v>
      </c>
      <c r="R569" s="158">
        <v>0.055991803</v>
      </c>
      <c r="S569" s="158">
        <v>0.716027837</v>
      </c>
      <c r="T569" s="157" t="s">
        <v>594</v>
      </c>
      <c r="U569" s="46" t="s">
        <v>651</v>
      </c>
      <c r="V569" s="46" t="b">
        <v>1</v>
      </c>
      <c r="W569" s="46">
        <v>0.95</v>
      </c>
      <c r="X569" s="46">
        <v>0.05319221285</v>
      </c>
      <c r="Y569" s="46">
        <v>154.250429705519</v>
      </c>
      <c r="Z569" s="46" t="b">
        <v>0</v>
      </c>
      <c r="AA569" s="46" t="b">
        <v>0</v>
      </c>
    </row>
    <row r="570">
      <c r="A570" s="157" t="s">
        <v>562</v>
      </c>
      <c r="B570" s="158">
        <v>5.0</v>
      </c>
      <c r="C570" s="157" t="s">
        <v>652</v>
      </c>
      <c r="D570" s="157" t="s">
        <v>653</v>
      </c>
      <c r="E570" s="157" t="s">
        <v>654</v>
      </c>
      <c r="F570" s="162" t="s">
        <v>1977</v>
      </c>
      <c r="G570" s="157" t="s">
        <v>1978</v>
      </c>
      <c r="H570" s="157"/>
      <c r="I570" s="158">
        <v>3.51709</v>
      </c>
      <c r="J570" s="158">
        <v>51.21203</v>
      </c>
      <c r="K570" s="157" t="s">
        <v>1979</v>
      </c>
      <c r="L570" s="157" t="s">
        <v>648</v>
      </c>
      <c r="M570" s="158">
        <v>2022.0</v>
      </c>
      <c r="N570" s="157" t="s">
        <v>116</v>
      </c>
      <c r="O570" s="157" t="s">
        <v>658</v>
      </c>
      <c r="P570" s="161" t="b">
        <v>1</v>
      </c>
      <c r="Q570" s="158">
        <v>0.101</v>
      </c>
      <c r="R570" s="158">
        <v>0.05555</v>
      </c>
      <c r="S570" s="158">
        <v>0.04545</v>
      </c>
      <c r="T570" s="157" t="s">
        <v>116</v>
      </c>
      <c r="U570" s="46" t="s">
        <v>651</v>
      </c>
      <c r="V570" s="46" t="b">
        <v>1</v>
      </c>
      <c r="W570" s="46">
        <v>0.95</v>
      </c>
      <c r="X570" s="46">
        <v>0.0527725</v>
      </c>
      <c r="Y570" s="46">
        <v>15.3861451143845</v>
      </c>
      <c r="Z570" s="46" t="b">
        <v>1</v>
      </c>
      <c r="AA570" s="46" t="b">
        <v>1</v>
      </c>
    </row>
    <row r="571">
      <c r="A571" s="157" t="s">
        <v>556</v>
      </c>
      <c r="B571" s="158">
        <v>5.0</v>
      </c>
      <c r="C571" s="157" t="s">
        <v>652</v>
      </c>
      <c r="D571" s="157" t="s">
        <v>653</v>
      </c>
      <c r="E571" s="157" t="s">
        <v>654</v>
      </c>
      <c r="F571" s="157" t="s">
        <v>1980</v>
      </c>
      <c r="G571" s="157" t="s">
        <v>1981</v>
      </c>
      <c r="H571" s="157"/>
      <c r="I571" s="158">
        <v>5.89551</v>
      </c>
      <c r="J571" s="158">
        <v>45.59021</v>
      </c>
      <c r="K571" s="157" t="s">
        <v>1982</v>
      </c>
      <c r="L571" s="157" t="s">
        <v>648</v>
      </c>
      <c r="M571" s="158">
        <v>2022.0</v>
      </c>
      <c r="N571" s="157" t="s">
        <v>116</v>
      </c>
      <c r="O571" s="157" t="s">
        <v>658</v>
      </c>
      <c r="P571" s="161" t="b">
        <v>1</v>
      </c>
      <c r="Q571" s="158">
        <v>0.101</v>
      </c>
      <c r="R571" s="158">
        <v>0.05555</v>
      </c>
      <c r="S571" s="158">
        <v>0.04545</v>
      </c>
      <c r="T571" s="157" t="s">
        <v>116</v>
      </c>
      <c r="U571" s="46" t="s">
        <v>651</v>
      </c>
      <c r="V571" s="46" t="b">
        <v>1</v>
      </c>
      <c r="W571" s="46">
        <v>0.95</v>
      </c>
      <c r="X571" s="46">
        <v>0.0527725</v>
      </c>
      <c r="Y571" s="46">
        <v>84.4436100528981</v>
      </c>
      <c r="Z571" s="46" t="b">
        <v>0</v>
      </c>
      <c r="AA571" s="46" t="b">
        <v>1</v>
      </c>
    </row>
    <row r="572">
      <c r="A572" s="157" t="s">
        <v>559</v>
      </c>
      <c r="B572" s="158">
        <v>5.0</v>
      </c>
      <c r="C572" s="157" t="s">
        <v>652</v>
      </c>
      <c r="D572" s="157" t="s">
        <v>653</v>
      </c>
      <c r="E572" s="157" t="s">
        <v>654</v>
      </c>
      <c r="F572" s="157" t="s">
        <v>1983</v>
      </c>
      <c r="G572" s="157" t="s">
        <v>1984</v>
      </c>
      <c r="H572" s="157"/>
      <c r="I572" s="158">
        <v>9.1825</v>
      </c>
      <c r="J572" s="158">
        <v>45.6164</v>
      </c>
      <c r="K572" s="157" t="s">
        <v>1985</v>
      </c>
      <c r="L572" s="157" t="s">
        <v>648</v>
      </c>
      <c r="M572" s="158">
        <v>2022.0</v>
      </c>
      <c r="N572" s="157" t="s">
        <v>116</v>
      </c>
      <c r="O572" s="157" t="s">
        <v>658</v>
      </c>
      <c r="P572" s="161" t="b">
        <v>1</v>
      </c>
      <c r="Q572" s="158">
        <v>0.10068584</v>
      </c>
      <c r="R572" s="158">
        <v>0.055377212</v>
      </c>
      <c r="S572" s="158">
        <v>0.045308628</v>
      </c>
      <c r="T572" s="157" t="s">
        <v>116</v>
      </c>
      <c r="U572" s="46" t="s">
        <v>651</v>
      </c>
      <c r="V572" s="46" t="b">
        <v>1</v>
      </c>
      <c r="W572" s="46">
        <v>0.95</v>
      </c>
      <c r="X572" s="46">
        <v>0.0526083513999999</v>
      </c>
      <c r="Y572" s="46">
        <v>15.2187229312304</v>
      </c>
      <c r="Z572" s="46" t="b">
        <v>1</v>
      </c>
      <c r="AA572" s="46" t="b">
        <v>1</v>
      </c>
    </row>
    <row r="573">
      <c r="A573" s="157" t="s">
        <v>559</v>
      </c>
      <c r="B573" s="158">
        <v>1.0</v>
      </c>
      <c r="C573" s="157" t="s">
        <v>642</v>
      </c>
      <c r="D573" s="157" t="s">
        <v>643</v>
      </c>
      <c r="E573" s="157" t="s">
        <v>644</v>
      </c>
      <c r="F573" s="157" t="s">
        <v>1986</v>
      </c>
      <c r="G573" s="157" t="s">
        <v>1987</v>
      </c>
      <c r="H573" s="157"/>
      <c r="I573" s="158">
        <v>11.2511</v>
      </c>
      <c r="J573" s="158">
        <v>45.0297</v>
      </c>
      <c r="K573" s="157" t="s">
        <v>1988</v>
      </c>
      <c r="L573" s="157" t="s">
        <v>648</v>
      </c>
      <c r="M573" s="158">
        <v>2022.0</v>
      </c>
      <c r="N573" s="157" t="s">
        <v>649</v>
      </c>
      <c r="O573" s="157" t="s">
        <v>650</v>
      </c>
      <c r="P573" s="161" t="b">
        <v>0</v>
      </c>
      <c r="Q573" s="158">
        <v>0.7612881</v>
      </c>
      <c r="R573" s="158">
        <v>0.055213483</v>
      </c>
      <c r="S573" s="158">
        <v>0.706074617</v>
      </c>
      <c r="T573" s="157" t="s">
        <v>594</v>
      </c>
      <c r="U573" s="46" t="s">
        <v>651</v>
      </c>
      <c r="V573" s="46" t="b">
        <v>1</v>
      </c>
      <c r="W573" s="46">
        <v>0.95</v>
      </c>
      <c r="X573" s="46">
        <v>0.05245280885</v>
      </c>
      <c r="Y573" s="46">
        <v>1.95428983236414</v>
      </c>
      <c r="Z573" s="46" t="b">
        <v>1</v>
      </c>
      <c r="AA573" s="46" t="b">
        <v>1</v>
      </c>
    </row>
    <row r="574">
      <c r="A574" s="157" t="s">
        <v>566</v>
      </c>
      <c r="B574" s="158">
        <v>4.0</v>
      </c>
      <c r="C574" s="157" t="s">
        <v>1092</v>
      </c>
      <c r="D574" s="157" t="s">
        <v>1093</v>
      </c>
      <c r="E574" s="157" t="s">
        <v>1094</v>
      </c>
      <c r="F574" s="157" t="s">
        <v>1989</v>
      </c>
      <c r="G574" s="157" t="s">
        <v>1990</v>
      </c>
      <c r="H574" s="157"/>
      <c r="I574" s="158">
        <v>18.11083412</v>
      </c>
      <c r="J574" s="158">
        <v>52.76444626</v>
      </c>
      <c r="K574" s="157" t="s">
        <v>1991</v>
      </c>
      <c r="L574" s="157" t="s">
        <v>648</v>
      </c>
      <c r="M574" s="158">
        <v>2022.0</v>
      </c>
      <c r="N574" s="157" t="s">
        <v>201</v>
      </c>
      <c r="O574" s="157" t="s">
        <v>1098</v>
      </c>
      <c r="P574" s="161" t="b">
        <v>1</v>
      </c>
      <c r="Q574" s="158">
        <v>0.988</v>
      </c>
      <c r="R574" s="158">
        <v>0.055080139</v>
      </c>
      <c r="S574" s="158">
        <v>0.932919861</v>
      </c>
      <c r="T574" s="157" t="s">
        <v>201</v>
      </c>
      <c r="U574" s="46" t="s">
        <v>651</v>
      </c>
      <c r="V574" s="46" t="b">
        <v>1</v>
      </c>
      <c r="W574" s="46">
        <v>0.95</v>
      </c>
      <c r="X574" s="46">
        <v>0.0523261320499999</v>
      </c>
      <c r="Y574" s="46">
        <v>4.10179045593047</v>
      </c>
      <c r="Z574" s="46" t="b">
        <v>1</v>
      </c>
      <c r="AA574" s="46" t="b">
        <v>1</v>
      </c>
    </row>
    <row r="575">
      <c r="A575" s="157" t="s">
        <v>556</v>
      </c>
      <c r="B575" s="158">
        <v>1.0</v>
      </c>
      <c r="C575" s="157" t="s">
        <v>642</v>
      </c>
      <c r="D575" s="157" t="s">
        <v>643</v>
      </c>
      <c r="E575" s="157" t="s">
        <v>644</v>
      </c>
      <c r="F575" s="157" t="s">
        <v>1992</v>
      </c>
      <c r="G575" s="157" t="s">
        <v>1993</v>
      </c>
      <c r="H575" s="157"/>
      <c r="I575" s="158">
        <v>55.39911</v>
      </c>
      <c r="J575" s="158">
        <v>-21.28168</v>
      </c>
      <c r="K575" s="157" t="s">
        <v>1994</v>
      </c>
      <c r="L575" s="157" t="s">
        <v>648</v>
      </c>
      <c r="M575" s="158">
        <v>2022.0</v>
      </c>
      <c r="N575" s="157" t="s">
        <v>649</v>
      </c>
      <c r="O575" s="157" t="s">
        <v>650</v>
      </c>
      <c r="P575" s="161" t="b">
        <v>0</v>
      </c>
      <c r="Q575" s="158">
        <v>0.757</v>
      </c>
      <c r="R575" s="158">
        <v>0.054902483</v>
      </c>
      <c r="S575" s="158">
        <v>0.702097517</v>
      </c>
      <c r="T575" s="157" t="s">
        <v>594</v>
      </c>
      <c r="U575" s="46" t="s">
        <v>651</v>
      </c>
      <c r="V575" s="46" t="b">
        <v>1</v>
      </c>
      <c r="W575" s="46">
        <v>0.95</v>
      </c>
      <c r="X575" s="46">
        <v>0.05215735885</v>
      </c>
      <c r="Y575" s="46" t="s">
        <v>640</v>
      </c>
      <c r="Z575" s="46" t="b">
        <v>0</v>
      </c>
      <c r="AA575" s="46" t="b">
        <v>0</v>
      </c>
    </row>
    <row r="576">
      <c r="A576" s="157" t="s">
        <v>559</v>
      </c>
      <c r="B576" s="158">
        <v>6.0</v>
      </c>
      <c r="C576" s="157" t="s">
        <v>659</v>
      </c>
      <c r="D576" s="157" t="s">
        <v>717</v>
      </c>
      <c r="E576" s="157" t="s">
        <v>718</v>
      </c>
      <c r="F576" s="157" t="s">
        <v>1995</v>
      </c>
      <c r="G576" s="157" t="s">
        <v>1996</v>
      </c>
      <c r="H576" s="157"/>
      <c r="I576" s="158">
        <v>13.0169</v>
      </c>
      <c r="J576" s="158">
        <v>46.3939</v>
      </c>
      <c r="K576" s="157" t="s">
        <v>1997</v>
      </c>
      <c r="L576" s="157" t="s">
        <v>648</v>
      </c>
      <c r="M576" s="158">
        <v>2022.0</v>
      </c>
      <c r="N576" s="157" t="s">
        <v>123</v>
      </c>
      <c r="O576" s="157" t="s">
        <v>722</v>
      </c>
      <c r="P576" s="161" t="b">
        <v>1</v>
      </c>
      <c r="Q576" s="158">
        <v>0.12547161</v>
      </c>
      <c r="R576" s="158">
        <v>0.05429107</v>
      </c>
      <c r="S576" s="158">
        <v>0.07118054</v>
      </c>
      <c r="T576" s="157" t="s">
        <v>123</v>
      </c>
      <c r="U576" s="46" t="s">
        <v>651</v>
      </c>
      <c r="V576" s="46" t="b">
        <v>1</v>
      </c>
      <c r="W576" s="46">
        <v>0.95</v>
      </c>
      <c r="X576" s="46">
        <v>0.0515765164999999</v>
      </c>
      <c r="Y576" s="46">
        <v>118.516665982107</v>
      </c>
      <c r="Z576" s="46" t="b">
        <v>0</v>
      </c>
      <c r="AA576" s="46" t="b">
        <v>0</v>
      </c>
    </row>
    <row r="577">
      <c r="A577" s="157" t="s">
        <v>559</v>
      </c>
      <c r="B577" s="158">
        <v>1.0</v>
      </c>
      <c r="C577" s="157" t="s">
        <v>642</v>
      </c>
      <c r="D577" s="157" t="s">
        <v>643</v>
      </c>
      <c r="E577" s="157" t="s">
        <v>644</v>
      </c>
      <c r="F577" s="157" t="s">
        <v>1998</v>
      </c>
      <c r="G577" s="157" t="s">
        <v>1999</v>
      </c>
      <c r="H577" s="157"/>
      <c r="I577" s="158">
        <v>15.9735</v>
      </c>
      <c r="J577" s="158">
        <v>38.4408</v>
      </c>
      <c r="K577" s="157" t="s">
        <v>2000</v>
      </c>
      <c r="L577" s="157" t="s">
        <v>648</v>
      </c>
      <c r="M577" s="158">
        <v>2022.0</v>
      </c>
      <c r="N577" s="157" t="s">
        <v>649</v>
      </c>
      <c r="O577" s="157" t="s">
        <v>650</v>
      </c>
      <c r="P577" s="161" t="b">
        <v>0</v>
      </c>
      <c r="Q577" s="158">
        <v>0.743911</v>
      </c>
      <c r="R577" s="158">
        <v>0.053953185</v>
      </c>
      <c r="S577" s="158">
        <v>0.689957815</v>
      </c>
      <c r="T577" s="157" t="s">
        <v>594</v>
      </c>
      <c r="U577" s="46" t="s">
        <v>651</v>
      </c>
      <c r="V577" s="46" t="b">
        <v>1</v>
      </c>
      <c r="W577" s="46">
        <v>0.95</v>
      </c>
      <c r="X577" s="46">
        <v>0.0512555257499999</v>
      </c>
      <c r="Y577" s="46" t="s">
        <v>640</v>
      </c>
      <c r="Z577" s="46" t="b">
        <v>0</v>
      </c>
      <c r="AA577" s="46" t="b">
        <v>0</v>
      </c>
    </row>
    <row r="578">
      <c r="A578" s="157" t="s">
        <v>566</v>
      </c>
      <c r="B578" s="158">
        <v>3.0</v>
      </c>
      <c r="C578" s="157" t="s">
        <v>1215</v>
      </c>
      <c r="D578" s="157" t="s">
        <v>1216</v>
      </c>
      <c r="E578" s="157" t="s">
        <v>1217</v>
      </c>
      <c r="F578" s="157" t="s">
        <v>2001</v>
      </c>
      <c r="G578" s="157" t="s">
        <v>2002</v>
      </c>
      <c r="H578" s="157"/>
      <c r="I578" s="158">
        <v>23.5443573</v>
      </c>
      <c r="J578" s="158">
        <v>51.1371727</v>
      </c>
      <c r="K578" s="157" t="s">
        <v>2003</v>
      </c>
      <c r="L578" s="157" t="s">
        <v>648</v>
      </c>
      <c r="M578" s="158">
        <v>2022.0</v>
      </c>
      <c r="N578" s="157" t="s">
        <v>114</v>
      </c>
      <c r="O578" s="157" t="s">
        <v>1221</v>
      </c>
      <c r="P578" s="161" t="b">
        <v>1</v>
      </c>
      <c r="Q578" s="158">
        <v>1.17</v>
      </c>
      <c r="R578" s="158">
        <v>0.053279209</v>
      </c>
      <c r="S578" s="158">
        <v>1.116720791</v>
      </c>
      <c r="T578" s="157" t="s">
        <v>114</v>
      </c>
      <c r="U578" s="46" t="s">
        <v>651</v>
      </c>
      <c r="V578" s="46" t="b">
        <v>1</v>
      </c>
      <c r="W578" s="46">
        <v>0.95</v>
      </c>
      <c r="X578" s="46">
        <v>0.05061524855</v>
      </c>
      <c r="Y578" s="46" t="s">
        <v>640</v>
      </c>
      <c r="Z578" s="46" t="b">
        <v>0</v>
      </c>
      <c r="AA578" s="46" t="b">
        <v>0</v>
      </c>
    </row>
    <row r="579">
      <c r="A579" s="157" t="s">
        <v>556</v>
      </c>
      <c r="B579" s="158">
        <v>6.0</v>
      </c>
      <c r="C579" s="157" t="s">
        <v>659</v>
      </c>
      <c r="D579" s="157" t="s">
        <v>717</v>
      </c>
      <c r="E579" s="157" t="s">
        <v>718</v>
      </c>
      <c r="F579" s="157" t="s">
        <v>2004</v>
      </c>
      <c r="G579" s="157" t="s">
        <v>2005</v>
      </c>
      <c r="H579" s="157"/>
      <c r="I579" s="158">
        <v>-0.91382</v>
      </c>
      <c r="J579" s="158">
        <v>43.91568</v>
      </c>
      <c r="K579" s="157" t="s">
        <v>2006</v>
      </c>
      <c r="L579" s="157" t="s">
        <v>648</v>
      </c>
      <c r="M579" s="158">
        <v>2022.0</v>
      </c>
      <c r="N579" s="157" t="s">
        <v>123</v>
      </c>
      <c r="O579" s="157" t="s">
        <v>722</v>
      </c>
      <c r="P579" s="161" t="b">
        <v>1</v>
      </c>
      <c r="Q579" s="158">
        <v>0.123</v>
      </c>
      <c r="R579" s="158">
        <v>0.053221614</v>
      </c>
      <c r="S579" s="158">
        <v>0.069778386</v>
      </c>
      <c r="T579" s="157" t="s">
        <v>123</v>
      </c>
      <c r="U579" s="46" t="s">
        <v>651</v>
      </c>
      <c r="V579" s="46" t="b">
        <v>1</v>
      </c>
      <c r="W579" s="46">
        <v>0.95</v>
      </c>
      <c r="X579" s="46">
        <v>0.0505605332999999</v>
      </c>
      <c r="Y579" s="46">
        <v>1.27581482476991</v>
      </c>
      <c r="Z579" s="46" t="b">
        <v>1</v>
      </c>
      <c r="AA579" s="46" t="b">
        <v>1</v>
      </c>
    </row>
    <row r="580">
      <c r="A580" s="157" t="s">
        <v>554</v>
      </c>
      <c r="B580" s="158">
        <v>2.0</v>
      </c>
      <c r="C580" s="157" t="s">
        <v>916</v>
      </c>
      <c r="D580" s="157" t="s">
        <v>917</v>
      </c>
      <c r="E580" s="157" t="s">
        <v>918</v>
      </c>
      <c r="F580" s="157" t="s">
        <v>2007</v>
      </c>
      <c r="G580" s="157" t="s">
        <v>2008</v>
      </c>
      <c r="H580" s="157"/>
      <c r="I580" s="158">
        <v>20.70867</v>
      </c>
      <c r="J580" s="158">
        <v>67.19643</v>
      </c>
      <c r="K580" s="157" t="s">
        <v>2009</v>
      </c>
      <c r="L580" s="157" t="s">
        <v>648</v>
      </c>
      <c r="M580" s="158">
        <v>2022.0</v>
      </c>
      <c r="N580" s="157" t="s">
        <v>549</v>
      </c>
      <c r="O580" s="157" t="s">
        <v>922</v>
      </c>
      <c r="P580" s="161" t="b">
        <v>1</v>
      </c>
      <c r="Q580" s="158">
        <v>0.144</v>
      </c>
      <c r="R580" s="158">
        <v>0.0532</v>
      </c>
      <c r="S580" s="158">
        <v>0.0908</v>
      </c>
      <c r="T580" s="157" t="s">
        <v>549</v>
      </c>
      <c r="U580" s="46" t="s">
        <v>651</v>
      </c>
      <c r="V580" s="46" t="b">
        <v>1</v>
      </c>
      <c r="W580" s="46">
        <v>0.95</v>
      </c>
      <c r="X580" s="46">
        <v>0.0505399999999999</v>
      </c>
      <c r="Y580" s="46" t="s">
        <v>640</v>
      </c>
      <c r="Z580" s="46" t="b">
        <v>0</v>
      </c>
      <c r="AA580" s="46" t="b">
        <v>0</v>
      </c>
    </row>
    <row r="581">
      <c r="A581" s="157" t="s">
        <v>556</v>
      </c>
      <c r="B581" s="158">
        <v>1.0</v>
      </c>
      <c r="C581" s="157" t="s">
        <v>642</v>
      </c>
      <c r="D581" s="157" t="s">
        <v>643</v>
      </c>
      <c r="E581" s="157" t="s">
        <v>644</v>
      </c>
      <c r="F581" s="157" t="s">
        <v>2010</v>
      </c>
      <c r="G581" s="157" t="s">
        <v>2011</v>
      </c>
      <c r="H581" s="157"/>
      <c r="I581" s="158">
        <v>4.94219</v>
      </c>
      <c r="J581" s="158">
        <v>43.45997</v>
      </c>
      <c r="K581" s="157" t="s">
        <v>1000</v>
      </c>
      <c r="L581" s="157" t="s">
        <v>648</v>
      </c>
      <c r="M581" s="158">
        <v>2022.0</v>
      </c>
      <c r="N581" s="157" t="s">
        <v>649</v>
      </c>
      <c r="O581" s="157" t="s">
        <v>650</v>
      </c>
      <c r="P581" s="161" t="b">
        <v>0</v>
      </c>
      <c r="Q581" s="158">
        <v>0.732</v>
      </c>
      <c r="R581" s="158">
        <v>0.053089323</v>
      </c>
      <c r="S581" s="158">
        <v>0.678910677</v>
      </c>
      <c r="T581" s="157" t="s">
        <v>594</v>
      </c>
      <c r="U581" s="46" t="s">
        <v>651</v>
      </c>
      <c r="V581" s="46" t="b">
        <v>1</v>
      </c>
      <c r="W581" s="46">
        <v>0.95</v>
      </c>
      <c r="X581" s="46">
        <v>0.05043485685</v>
      </c>
      <c r="Y581" s="46">
        <v>18.8376648985327</v>
      </c>
      <c r="Z581" s="46" t="b">
        <v>1</v>
      </c>
      <c r="AA581" s="46" t="b">
        <v>1</v>
      </c>
    </row>
    <row r="582">
      <c r="A582" s="157" t="s">
        <v>559</v>
      </c>
      <c r="B582" s="158">
        <v>1.0</v>
      </c>
      <c r="C582" s="157" t="s">
        <v>642</v>
      </c>
      <c r="D582" s="157" t="s">
        <v>643</v>
      </c>
      <c r="E582" s="157" t="s">
        <v>644</v>
      </c>
      <c r="F582" s="157" t="s">
        <v>2012</v>
      </c>
      <c r="G582" s="157" t="s">
        <v>2013</v>
      </c>
      <c r="H582" s="157"/>
      <c r="I582" s="158">
        <v>14.5638</v>
      </c>
      <c r="J582" s="158">
        <v>42.0497</v>
      </c>
      <c r="K582" s="157" t="s">
        <v>2014</v>
      </c>
      <c r="L582" s="157" t="s">
        <v>648</v>
      </c>
      <c r="M582" s="158">
        <v>2022.0</v>
      </c>
      <c r="N582" s="157" t="s">
        <v>649</v>
      </c>
      <c r="O582" s="157" t="s">
        <v>650</v>
      </c>
      <c r="P582" s="161" t="b">
        <v>0</v>
      </c>
      <c r="Q582" s="158">
        <v>0.731155</v>
      </c>
      <c r="R582" s="158">
        <v>0.053028038</v>
      </c>
      <c r="S582" s="158">
        <v>0.678126962</v>
      </c>
      <c r="T582" s="157" t="s">
        <v>594</v>
      </c>
      <c r="U582" s="46" t="s">
        <v>651</v>
      </c>
      <c r="V582" s="46" t="b">
        <v>1</v>
      </c>
      <c r="W582" s="46">
        <v>0.95</v>
      </c>
      <c r="X582" s="46">
        <v>0.0503766361</v>
      </c>
      <c r="Y582" s="46" t="s">
        <v>640</v>
      </c>
      <c r="Z582" s="46" t="b">
        <v>0</v>
      </c>
      <c r="AA582" s="46" t="b">
        <v>0</v>
      </c>
    </row>
    <row r="583">
      <c r="A583" s="157" t="s">
        <v>558</v>
      </c>
      <c r="B583" s="158">
        <v>1.0</v>
      </c>
      <c r="C583" s="157" t="s">
        <v>642</v>
      </c>
      <c r="D583" s="157" t="s">
        <v>643</v>
      </c>
      <c r="E583" s="157" t="s">
        <v>644</v>
      </c>
      <c r="F583" s="157" t="s">
        <v>2015</v>
      </c>
      <c r="G583" s="157" t="s">
        <v>2016</v>
      </c>
      <c r="H583" s="157"/>
      <c r="I583" s="158">
        <v>-8.77444</v>
      </c>
      <c r="J583" s="158">
        <v>40.12417</v>
      </c>
      <c r="K583" s="157" t="s">
        <v>2017</v>
      </c>
      <c r="L583" s="157" t="s">
        <v>648</v>
      </c>
      <c r="M583" s="158">
        <v>2022.0</v>
      </c>
      <c r="N583" s="157" t="s">
        <v>649</v>
      </c>
      <c r="O583" s="157" t="s">
        <v>650</v>
      </c>
      <c r="P583" s="161" t="b">
        <v>0</v>
      </c>
      <c r="Q583" s="158">
        <v>0.729</v>
      </c>
      <c r="R583" s="158">
        <v>0.052871743</v>
      </c>
      <c r="S583" s="158">
        <v>0.676128257</v>
      </c>
      <c r="T583" s="157" t="s">
        <v>594</v>
      </c>
      <c r="U583" s="46" t="s">
        <v>651</v>
      </c>
      <c r="V583" s="46" t="b">
        <v>1</v>
      </c>
      <c r="W583" s="46">
        <v>0.95</v>
      </c>
      <c r="X583" s="46">
        <v>0.05022815585</v>
      </c>
      <c r="Y583" s="46" t="s">
        <v>640</v>
      </c>
      <c r="Z583" s="46" t="b">
        <v>0</v>
      </c>
      <c r="AA583" s="46" t="b">
        <v>0</v>
      </c>
    </row>
    <row r="584">
      <c r="A584" s="157" t="s">
        <v>556</v>
      </c>
      <c r="B584" s="158">
        <v>6.0</v>
      </c>
      <c r="C584" s="157" t="s">
        <v>659</v>
      </c>
      <c r="D584" s="157" t="s">
        <v>717</v>
      </c>
      <c r="E584" s="157" t="s">
        <v>718</v>
      </c>
      <c r="F584" s="157" t="s">
        <v>2018</v>
      </c>
      <c r="G584" s="157" t="s">
        <v>2019</v>
      </c>
      <c r="H584" s="157"/>
      <c r="I584" s="158">
        <v>6.1185</v>
      </c>
      <c r="J584" s="158">
        <v>45.4537</v>
      </c>
      <c r="K584" s="157" t="s">
        <v>2020</v>
      </c>
      <c r="L584" s="157" t="s">
        <v>648</v>
      </c>
      <c r="M584" s="158">
        <v>2022.0</v>
      </c>
      <c r="N584" s="157" t="s">
        <v>123</v>
      </c>
      <c r="O584" s="157" t="s">
        <v>722</v>
      </c>
      <c r="P584" s="161" t="b">
        <v>1</v>
      </c>
      <c r="Q584" s="158">
        <v>0.122</v>
      </c>
      <c r="R584" s="158">
        <v>0.052788918</v>
      </c>
      <c r="S584" s="158">
        <v>0.069211082</v>
      </c>
      <c r="T584" s="157" t="s">
        <v>123</v>
      </c>
      <c r="U584" s="46" t="s">
        <v>651</v>
      </c>
      <c r="V584" s="46" t="b">
        <v>1</v>
      </c>
      <c r="W584" s="46">
        <v>0.95</v>
      </c>
      <c r="X584" s="46">
        <v>0.0501494720999999</v>
      </c>
      <c r="Y584" s="46">
        <v>102.541038794085</v>
      </c>
      <c r="Z584" s="46" t="b">
        <v>0</v>
      </c>
      <c r="AA584" s="46" t="b">
        <v>0</v>
      </c>
    </row>
    <row r="585">
      <c r="A585" s="157" t="s">
        <v>566</v>
      </c>
      <c r="B585" s="158">
        <v>1.0</v>
      </c>
      <c r="C585" s="157" t="s">
        <v>642</v>
      </c>
      <c r="D585" s="157" t="s">
        <v>643</v>
      </c>
      <c r="E585" s="157" t="s">
        <v>644</v>
      </c>
      <c r="F585" s="157" t="s">
        <v>2021</v>
      </c>
      <c r="G585" s="157" t="s">
        <v>2022</v>
      </c>
      <c r="H585" s="157"/>
      <c r="I585" s="158">
        <v>18.08750153</v>
      </c>
      <c r="J585" s="158">
        <v>53.09916687</v>
      </c>
      <c r="K585" s="157" t="s">
        <v>2023</v>
      </c>
      <c r="L585" s="157" t="s">
        <v>648</v>
      </c>
      <c r="M585" s="158">
        <v>2022.0</v>
      </c>
      <c r="N585" s="157" t="s">
        <v>649</v>
      </c>
      <c r="O585" s="157" t="s">
        <v>650</v>
      </c>
      <c r="P585" s="161" t="b">
        <v>0</v>
      </c>
      <c r="Q585" s="158">
        <v>0.723</v>
      </c>
      <c r="R585" s="158">
        <v>0.052436585</v>
      </c>
      <c r="S585" s="158">
        <v>0.670563415</v>
      </c>
      <c r="T585" s="157" t="s">
        <v>594</v>
      </c>
      <c r="U585" s="46" t="s">
        <v>651</v>
      </c>
      <c r="V585" s="46" t="b">
        <v>1</v>
      </c>
      <c r="W585" s="46">
        <v>0.95</v>
      </c>
      <c r="X585" s="46">
        <v>0.04981475575</v>
      </c>
      <c r="Y585" s="46">
        <v>33.1830053635495</v>
      </c>
      <c r="Z585" s="46" t="b">
        <v>1</v>
      </c>
      <c r="AA585" s="46" t="b">
        <v>1</v>
      </c>
    </row>
    <row r="586">
      <c r="A586" s="157" t="s">
        <v>555</v>
      </c>
      <c r="B586" s="158">
        <v>1.0</v>
      </c>
      <c r="C586" s="157" t="s">
        <v>642</v>
      </c>
      <c r="D586" s="157" t="s">
        <v>643</v>
      </c>
      <c r="E586" s="157" t="s">
        <v>644</v>
      </c>
      <c r="F586" s="162" t="s">
        <v>2024</v>
      </c>
      <c r="G586" s="157" t="s">
        <v>2025</v>
      </c>
      <c r="H586" s="157"/>
      <c r="I586" s="158">
        <v>23.77675</v>
      </c>
      <c r="J586" s="158">
        <v>61.50999</v>
      </c>
      <c r="K586" s="157" t="s">
        <v>2026</v>
      </c>
      <c r="L586" s="157" t="s">
        <v>648</v>
      </c>
      <c r="M586" s="158">
        <v>2022.0</v>
      </c>
      <c r="N586" s="157" t="s">
        <v>649</v>
      </c>
      <c r="O586" s="157" t="s">
        <v>650</v>
      </c>
      <c r="P586" s="161" t="b">
        <v>0</v>
      </c>
      <c r="Q586" s="158">
        <v>0.138</v>
      </c>
      <c r="R586" s="158">
        <v>0.0524</v>
      </c>
      <c r="S586" s="158">
        <v>0.0856</v>
      </c>
      <c r="T586" s="157" t="s">
        <v>117</v>
      </c>
      <c r="U586" s="46" t="s">
        <v>651</v>
      </c>
      <c r="V586" s="46" t="b">
        <v>1</v>
      </c>
      <c r="W586" s="46">
        <v>0.95</v>
      </c>
      <c r="X586" s="46">
        <v>0.04978</v>
      </c>
      <c r="Y586" s="46" t="s">
        <v>640</v>
      </c>
      <c r="Z586" s="46" t="b">
        <v>0</v>
      </c>
      <c r="AA586" s="46" t="b">
        <v>0</v>
      </c>
    </row>
    <row r="587">
      <c r="A587" s="157" t="s">
        <v>561</v>
      </c>
      <c r="B587" s="158">
        <v>1.0</v>
      </c>
      <c r="C587" s="157" t="s">
        <v>642</v>
      </c>
      <c r="D587" s="157" t="s">
        <v>643</v>
      </c>
      <c r="E587" s="157" t="s">
        <v>644</v>
      </c>
      <c r="F587" s="157" t="s">
        <v>2027</v>
      </c>
      <c r="G587" s="157" t="s">
        <v>2028</v>
      </c>
      <c r="H587" s="157"/>
      <c r="I587" s="158">
        <v>2.680348</v>
      </c>
      <c r="J587" s="158">
        <v>39.648724</v>
      </c>
      <c r="K587" s="157" t="s">
        <v>937</v>
      </c>
      <c r="L587" s="157" t="s">
        <v>648</v>
      </c>
      <c r="M587" s="158">
        <v>2022.0</v>
      </c>
      <c r="N587" s="157" t="s">
        <v>649</v>
      </c>
      <c r="O587" s="157" t="s">
        <v>650</v>
      </c>
      <c r="P587" s="161" t="b">
        <v>0</v>
      </c>
      <c r="Q587" s="158">
        <v>0.722</v>
      </c>
      <c r="R587" s="158">
        <v>0.052364059</v>
      </c>
      <c r="S587" s="158">
        <v>0.669635941</v>
      </c>
      <c r="T587" s="157" t="s">
        <v>594</v>
      </c>
      <c r="U587" s="46" t="s">
        <v>651</v>
      </c>
      <c r="V587" s="46" t="b">
        <v>1</v>
      </c>
      <c r="W587" s="46">
        <v>0.95</v>
      </c>
      <c r="X587" s="46">
        <v>0.0497458560499999</v>
      </c>
      <c r="Y587" s="46" t="s">
        <v>640</v>
      </c>
      <c r="Z587" s="46" t="b">
        <v>0</v>
      </c>
      <c r="AA587" s="46" t="b">
        <v>0</v>
      </c>
    </row>
    <row r="588">
      <c r="A588" s="157" t="s">
        <v>566</v>
      </c>
      <c r="B588" s="158">
        <v>6.0</v>
      </c>
      <c r="C588" s="157" t="s">
        <v>659</v>
      </c>
      <c r="D588" s="157" t="s">
        <v>717</v>
      </c>
      <c r="E588" s="157" t="s">
        <v>718</v>
      </c>
      <c r="F588" s="157" t="s">
        <v>2029</v>
      </c>
      <c r="G588" s="157" t="s">
        <v>2030</v>
      </c>
      <c r="H588" s="157"/>
      <c r="I588" s="158">
        <v>22.47702789</v>
      </c>
      <c r="J588" s="158">
        <v>53.63199997</v>
      </c>
      <c r="K588" s="157" t="s">
        <v>1855</v>
      </c>
      <c r="L588" s="157" t="s">
        <v>648</v>
      </c>
      <c r="M588" s="158">
        <v>2022.0</v>
      </c>
      <c r="N588" s="157" t="s">
        <v>123</v>
      </c>
      <c r="O588" s="157" t="s">
        <v>722</v>
      </c>
      <c r="P588" s="161" t="b">
        <v>1</v>
      </c>
      <c r="Q588" s="158">
        <v>0.121</v>
      </c>
      <c r="R588" s="158">
        <v>0.052356222</v>
      </c>
      <c r="S588" s="158">
        <v>0.068643778</v>
      </c>
      <c r="T588" s="157" t="s">
        <v>123</v>
      </c>
      <c r="U588" s="46" t="s">
        <v>651</v>
      </c>
      <c r="V588" s="46" t="b">
        <v>1</v>
      </c>
      <c r="W588" s="46">
        <v>0.95</v>
      </c>
      <c r="X588" s="46">
        <v>0.0497384109</v>
      </c>
      <c r="Y588" s="46" t="s">
        <v>640</v>
      </c>
      <c r="Z588" s="46" t="b">
        <v>0</v>
      </c>
      <c r="AA588" s="46" t="b">
        <v>0</v>
      </c>
    </row>
    <row r="589">
      <c r="A589" s="157" t="s">
        <v>572</v>
      </c>
      <c r="B589" s="158">
        <v>1.0</v>
      </c>
      <c r="C589" s="157" t="s">
        <v>642</v>
      </c>
      <c r="D589" s="157" t="s">
        <v>643</v>
      </c>
      <c r="E589" s="157" t="s">
        <v>644</v>
      </c>
      <c r="F589" s="157" t="s">
        <v>2031</v>
      </c>
      <c r="G589" s="157" t="s">
        <v>2032</v>
      </c>
      <c r="H589" s="157"/>
      <c r="I589" s="158">
        <v>26.13804</v>
      </c>
      <c r="J589" s="158">
        <v>35.00491</v>
      </c>
      <c r="K589" s="157" t="s">
        <v>2033</v>
      </c>
      <c r="L589" s="157" t="s">
        <v>648</v>
      </c>
      <c r="M589" s="158">
        <v>2022.0</v>
      </c>
      <c r="N589" s="157" t="s">
        <v>649</v>
      </c>
      <c r="O589" s="157" t="s">
        <v>650</v>
      </c>
      <c r="P589" s="161" t="b">
        <v>0</v>
      </c>
      <c r="Q589" s="158">
        <v>0.717</v>
      </c>
      <c r="R589" s="158">
        <v>0.052001427</v>
      </c>
      <c r="S589" s="158">
        <v>0.664998573</v>
      </c>
      <c r="T589" s="157" t="s">
        <v>594</v>
      </c>
      <c r="U589" s="46" t="s">
        <v>651</v>
      </c>
      <c r="V589" s="46" t="b">
        <v>1</v>
      </c>
      <c r="W589" s="46">
        <v>0.95</v>
      </c>
      <c r="X589" s="46">
        <v>0.04940135565</v>
      </c>
      <c r="Y589" s="46" t="s">
        <v>640</v>
      </c>
      <c r="Z589" s="46" t="b">
        <v>0</v>
      </c>
      <c r="AA589" s="46" t="b">
        <v>0</v>
      </c>
    </row>
    <row r="590">
      <c r="A590" s="157" t="s">
        <v>571</v>
      </c>
      <c r="B590" s="158">
        <v>6.0</v>
      </c>
      <c r="C590" s="157" t="s">
        <v>659</v>
      </c>
      <c r="D590" s="157" t="s">
        <v>717</v>
      </c>
      <c r="E590" s="157" t="s">
        <v>718</v>
      </c>
      <c r="F590" s="157" t="s">
        <v>2034</v>
      </c>
      <c r="G590" s="157" t="s">
        <v>2035</v>
      </c>
      <c r="H590" s="157"/>
      <c r="I590" s="158">
        <v>25.086705</v>
      </c>
      <c r="J590" s="158">
        <v>54.678451</v>
      </c>
      <c r="K590" s="157" t="s">
        <v>2036</v>
      </c>
      <c r="L590" s="157" t="s">
        <v>648</v>
      </c>
      <c r="M590" s="158">
        <v>2022.0</v>
      </c>
      <c r="N590" s="157" t="s">
        <v>123</v>
      </c>
      <c r="O590" s="157" t="s">
        <v>722</v>
      </c>
      <c r="P590" s="161" t="b">
        <v>1</v>
      </c>
      <c r="Q590" s="158">
        <v>0.118</v>
      </c>
      <c r="R590" s="158">
        <v>0.051058134</v>
      </c>
      <c r="S590" s="158">
        <v>0.066941866</v>
      </c>
      <c r="T590" s="157" t="s">
        <v>123</v>
      </c>
      <c r="U590" s="46" t="s">
        <v>651</v>
      </c>
      <c r="V590" s="46" t="b">
        <v>1</v>
      </c>
      <c r="W590" s="46">
        <v>0.95</v>
      </c>
      <c r="X590" s="46">
        <v>0.0485052272999999</v>
      </c>
      <c r="Y590" s="46" t="s">
        <v>640</v>
      </c>
      <c r="Z590" s="46" t="b">
        <v>0</v>
      </c>
      <c r="AA590" s="46" t="b">
        <v>0</v>
      </c>
    </row>
    <row r="591">
      <c r="A591" s="157" t="s">
        <v>561</v>
      </c>
      <c r="B591" s="158">
        <v>1.0</v>
      </c>
      <c r="C591" s="157" t="s">
        <v>642</v>
      </c>
      <c r="D591" s="157" t="s">
        <v>643</v>
      </c>
      <c r="E591" s="157" t="s">
        <v>644</v>
      </c>
      <c r="F591" s="157" t="s">
        <v>2037</v>
      </c>
      <c r="G591" s="157" t="s">
        <v>2038</v>
      </c>
      <c r="H591" s="157"/>
      <c r="I591" s="158">
        <v>-8.499971</v>
      </c>
      <c r="J591" s="158">
        <v>43.332727</v>
      </c>
      <c r="K591" s="157" t="s">
        <v>2039</v>
      </c>
      <c r="L591" s="157" t="s">
        <v>648</v>
      </c>
      <c r="M591" s="158">
        <v>2022.0</v>
      </c>
      <c r="N591" s="157" t="s">
        <v>649</v>
      </c>
      <c r="O591" s="157" t="s">
        <v>650</v>
      </c>
      <c r="P591" s="161" t="b">
        <v>0</v>
      </c>
      <c r="Q591" s="158">
        <v>0.7</v>
      </c>
      <c r="R591" s="158">
        <v>0.050768478</v>
      </c>
      <c r="S591" s="158">
        <v>0.649231522</v>
      </c>
      <c r="T591" s="157" t="s">
        <v>594</v>
      </c>
      <c r="U591" s="46" t="s">
        <v>651</v>
      </c>
      <c r="V591" s="46" t="b">
        <v>1</v>
      </c>
      <c r="W591" s="46">
        <v>0.95</v>
      </c>
      <c r="X591" s="46">
        <v>0.0482300540999999</v>
      </c>
      <c r="Y591" s="46" t="s">
        <v>640</v>
      </c>
      <c r="Z591" s="46" t="b">
        <v>0</v>
      </c>
      <c r="AA591" s="46" t="b">
        <v>0</v>
      </c>
    </row>
    <row r="592">
      <c r="A592" s="157" t="s">
        <v>566</v>
      </c>
      <c r="B592" s="158">
        <v>6.0</v>
      </c>
      <c r="C592" s="157" t="s">
        <v>659</v>
      </c>
      <c r="D592" s="157" t="s">
        <v>717</v>
      </c>
      <c r="E592" s="157" t="s">
        <v>718</v>
      </c>
      <c r="F592" s="157" t="s">
        <v>2040</v>
      </c>
      <c r="G592" s="157" t="s">
        <v>2041</v>
      </c>
      <c r="H592" s="157"/>
      <c r="I592" s="158">
        <v>15.08318901</v>
      </c>
      <c r="J592" s="158">
        <v>52.02193451</v>
      </c>
      <c r="K592" s="157" t="s">
        <v>2042</v>
      </c>
      <c r="L592" s="157" t="s">
        <v>648</v>
      </c>
      <c r="M592" s="158">
        <v>2022.0</v>
      </c>
      <c r="N592" s="157" t="s">
        <v>123</v>
      </c>
      <c r="O592" s="157" t="s">
        <v>722</v>
      </c>
      <c r="P592" s="161" t="b">
        <v>1</v>
      </c>
      <c r="Q592" s="158">
        <v>0.117</v>
      </c>
      <c r="R592" s="158">
        <v>0.050625438</v>
      </c>
      <c r="S592" s="158">
        <v>0.066374562</v>
      </c>
      <c r="T592" s="157" t="s">
        <v>123</v>
      </c>
      <c r="U592" s="46" t="s">
        <v>651</v>
      </c>
      <c r="V592" s="46" t="b">
        <v>1</v>
      </c>
      <c r="W592" s="46">
        <v>0.95</v>
      </c>
      <c r="X592" s="46">
        <v>0.0480941661</v>
      </c>
      <c r="Y592" s="46">
        <v>55.4423946415278</v>
      </c>
      <c r="Z592" s="46" t="b">
        <v>0</v>
      </c>
      <c r="AA592" s="46" t="b">
        <v>1</v>
      </c>
    </row>
    <row r="593">
      <c r="A593" s="157" t="s">
        <v>566</v>
      </c>
      <c r="B593" s="158">
        <v>6.0</v>
      </c>
      <c r="C593" s="157" t="s">
        <v>659</v>
      </c>
      <c r="D593" s="157" t="s">
        <v>717</v>
      </c>
      <c r="E593" s="157" t="s">
        <v>718</v>
      </c>
      <c r="F593" s="157" t="s">
        <v>2043</v>
      </c>
      <c r="G593" s="157" t="s">
        <v>2044</v>
      </c>
      <c r="H593" s="157"/>
      <c r="I593" s="158">
        <v>22.92900467</v>
      </c>
      <c r="J593" s="158">
        <v>54.04150009</v>
      </c>
      <c r="K593" s="157" t="s">
        <v>2045</v>
      </c>
      <c r="L593" s="157" t="s">
        <v>648</v>
      </c>
      <c r="M593" s="158">
        <v>2022.0</v>
      </c>
      <c r="N593" s="157" t="s">
        <v>123</v>
      </c>
      <c r="O593" s="157" t="s">
        <v>722</v>
      </c>
      <c r="P593" s="161" t="b">
        <v>1</v>
      </c>
      <c r="Q593" s="158">
        <v>0.117</v>
      </c>
      <c r="R593" s="158">
        <v>0.050625438</v>
      </c>
      <c r="S593" s="158">
        <v>0.066374562</v>
      </c>
      <c r="T593" s="157" t="s">
        <v>123</v>
      </c>
      <c r="U593" s="46" t="s">
        <v>651</v>
      </c>
      <c r="V593" s="46" t="b">
        <v>1</v>
      </c>
      <c r="W593" s="46">
        <v>0.95</v>
      </c>
      <c r="X593" s="46">
        <v>0.0480941661</v>
      </c>
      <c r="Y593" s="46" t="s">
        <v>640</v>
      </c>
      <c r="Z593" s="46" t="b">
        <v>0</v>
      </c>
      <c r="AA593" s="46" t="b">
        <v>0</v>
      </c>
    </row>
    <row r="594">
      <c r="A594" s="157" t="s">
        <v>559</v>
      </c>
      <c r="B594" s="158">
        <v>1.0</v>
      </c>
      <c r="C594" s="157" t="s">
        <v>642</v>
      </c>
      <c r="D594" s="157" t="s">
        <v>643</v>
      </c>
      <c r="E594" s="157" t="s">
        <v>644</v>
      </c>
      <c r="F594" s="157" t="s">
        <v>2046</v>
      </c>
      <c r="G594" s="157" t="s">
        <v>2047</v>
      </c>
      <c r="H594" s="157"/>
      <c r="I594" s="158">
        <v>15.4759</v>
      </c>
      <c r="J594" s="158">
        <v>41.2018</v>
      </c>
      <c r="K594" s="157" t="s">
        <v>2048</v>
      </c>
      <c r="L594" s="157" t="s">
        <v>648</v>
      </c>
      <c r="M594" s="158">
        <v>2022.0</v>
      </c>
      <c r="N594" s="157" t="s">
        <v>649</v>
      </c>
      <c r="O594" s="157" t="s">
        <v>650</v>
      </c>
      <c r="P594" s="161" t="b">
        <v>0</v>
      </c>
      <c r="Q594" s="158">
        <v>0.696479</v>
      </c>
      <c r="R594" s="158">
        <v>0.050513113</v>
      </c>
      <c r="S594" s="158">
        <v>0.645965887</v>
      </c>
      <c r="T594" s="157" t="s">
        <v>594</v>
      </c>
      <c r="U594" s="46" t="s">
        <v>651</v>
      </c>
      <c r="V594" s="46" t="b">
        <v>1</v>
      </c>
      <c r="W594" s="46">
        <v>0.95</v>
      </c>
      <c r="X594" s="46">
        <v>0.04798745735</v>
      </c>
      <c r="Y594" s="46" t="s">
        <v>640</v>
      </c>
      <c r="Z594" s="46" t="b">
        <v>0</v>
      </c>
      <c r="AA594" s="46" t="b">
        <v>0</v>
      </c>
    </row>
    <row r="595">
      <c r="A595" s="157" t="s">
        <v>556</v>
      </c>
      <c r="B595" s="158">
        <v>1.0</v>
      </c>
      <c r="C595" s="157" t="s">
        <v>642</v>
      </c>
      <c r="D595" s="157" t="s">
        <v>643</v>
      </c>
      <c r="E595" s="157" t="s">
        <v>644</v>
      </c>
      <c r="F595" s="157" t="s">
        <v>2049</v>
      </c>
      <c r="G595" s="157" t="s">
        <v>2050</v>
      </c>
      <c r="H595" s="157"/>
      <c r="I595" s="158">
        <v>-61.32555</v>
      </c>
      <c r="J595" s="158">
        <v>16.30904</v>
      </c>
      <c r="K595" s="157" t="s">
        <v>2051</v>
      </c>
      <c r="L595" s="157" t="s">
        <v>648</v>
      </c>
      <c r="M595" s="158">
        <v>2022.0</v>
      </c>
      <c r="N595" s="157" t="s">
        <v>649</v>
      </c>
      <c r="O595" s="157" t="s">
        <v>650</v>
      </c>
      <c r="P595" s="161" t="b">
        <v>0</v>
      </c>
      <c r="Q595" s="158">
        <v>0.692</v>
      </c>
      <c r="R595" s="158">
        <v>0.050188267</v>
      </c>
      <c r="S595" s="158">
        <v>0.641811733</v>
      </c>
      <c r="T595" s="157" t="s">
        <v>594</v>
      </c>
      <c r="U595" s="46" t="s">
        <v>651</v>
      </c>
      <c r="V595" s="46" t="b">
        <v>1</v>
      </c>
      <c r="W595" s="46">
        <v>0.95</v>
      </c>
      <c r="X595" s="46">
        <v>0.04767885365</v>
      </c>
      <c r="Y595" s="46" t="s">
        <v>640</v>
      </c>
      <c r="Z595" s="46" t="b">
        <v>0</v>
      </c>
      <c r="AA595" s="46" t="b">
        <v>0</v>
      </c>
    </row>
    <row r="596">
      <c r="A596" s="157" t="s">
        <v>562</v>
      </c>
      <c r="B596" s="158">
        <v>1.0</v>
      </c>
      <c r="C596" s="157" t="s">
        <v>642</v>
      </c>
      <c r="D596" s="157" t="s">
        <v>643</v>
      </c>
      <c r="E596" s="157" t="s">
        <v>644</v>
      </c>
      <c r="F596" s="157" t="s">
        <v>2052</v>
      </c>
      <c r="G596" s="157" t="s">
        <v>2053</v>
      </c>
      <c r="H596" s="157"/>
      <c r="I596" s="158">
        <v>4.3954873</v>
      </c>
      <c r="J596" s="158">
        <v>50.431004</v>
      </c>
      <c r="K596" s="157" t="s">
        <v>2054</v>
      </c>
      <c r="L596" s="157" t="s">
        <v>648</v>
      </c>
      <c r="M596" s="158">
        <v>2022.0</v>
      </c>
      <c r="N596" s="157" t="s">
        <v>649</v>
      </c>
      <c r="O596" s="157" t="s">
        <v>650</v>
      </c>
      <c r="P596" s="161" t="b">
        <v>0</v>
      </c>
      <c r="Q596" s="158">
        <v>0.689</v>
      </c>
      <c r="R596" s="158">
        <v>0.049970688</v>
      </c>
      <c r="S596" s="158">
        <v>0.639029312</v>
      </c>
      <c r="T596" s="157" t="s">
        <v>594</v>
      </c>
      <c r="U596" s="46" t="s">
        <v>651</v>
      </c>
      <c r="V596" s="46" t="b">
        <v>1</v>
      </c>
      <c r="W596" s="46">
        <v>0.95</v>
      </c>
      <c r="X596" s="46">
        <v>0.0474721536</v>
      </c>
      <c r="Y596" s="46">
        <v>4.71459760006912</v>
      </c>
      <c r="Z596" s="46" t="b">
        <v>1</v>
      </c>
      <c r="AA596" s="46" t="b">
        <v>1</v>
      </c>
    </row>
    <row r="597">
      <c r="A597" s="157" t="s">
        <v>569</v>
      </c>
      <c r="B597" s="158">
        <v>1.0</v>
      </c>
      <c r="C597" s="157" t="s">
        <v>642</v>
      </c>
      <c r="D597" s="157" t="s">
        <v>643</v>
      </c>
      <c r="E597" s="157" t="s">
        <v>644</v>
      </c>
      <c r="F597" s="157" t="s">
        <v>2055</v>
      </c>
      <c r="G597" s="157" t="s">
        <v>2056</v>
      </c>
      <c r="H597" s="157"/>
      <c r="I597" s="158">
        <v>18.943049</v>
      </c>
      <c r="J597" s="158">
        <v>46.944216</v>
      </c>
      <c r="K597" s="157" t="s">
        <v>2057</v>
      </c>
      <c r="L597" s="157" t="s">
        <v>648</v>
      </c>
      <c r="M597" s="158">
        <v>2022.0</v>
      </c>
      <c r="N597" s="157" t="s">
        <v>649</v>
      </c>
      <c r="O597" s="157" t="s">
        <v>650</v>
      </c>
      <c r="P597" s="161" t="b">
        <v>0</v>
      </c>
      <c r="Q597" s="158">
        <v>0.688093</v>
      </c>
      <c r="R597" s="158">
        <v>0.049904906</v>
      </c>
      <c r="S597" s="158">
        <v>0.638188094</v>
      </c>
      <c r="T597" s="157" t="s">
        <v>594</v>
      </c>
      <c r="U597" s="46" t="s">
        <v>651</v>
      </c>
      <c r="V597" s="46" t="b">
        <v>1</v>
      </c>
      <c r="W597" s="46">
        <v>0.95</v>
      </c>
      <c r="X597" s="46">
        <v>0.0474096606999999</v>
      </c>
      <c r="Y597" s="46" t="s">
        <v>640</v>
      </c>
      <c r="Z597" s="46" t="b">
        <v>0</v>
      </c>
      <c r="AA597" s="46" t="b">
        <v>0</v>
      </c>
    </row>
    <row r="598">
      <c r="A598" s="157" t="s">
        <v>561</v>
      </c>
      <c r="B598" s="158">
        <v>6.0</v>
      </c>
      <c r="C598" s="157" t="s">
        <v>659</v>
      </c>
      <c r="D598" s="157" t="s">
        <v>717</v>
      </c>
      <c r="E598" s="157" t="s">
        <v>718</v>
      </c>
      <c r="F598" s="157" t="s">
        <v>2058</v>
      </c>
      <c r="G598" s="157" t="s">
        <v>2059</v>
      </c>
      <c r="H598" s="157"/>
      <c r="I598" s="158">
        <v>-3.799581</v>
      </c>
      <c r="J598" s="158">
        <v>37.978635</v>
      </c>
      <c r="K598" s="157" t="s">
        <v>2060</v>
      </c>
      <c r="L598" s="157" t="s">
        <v>648</v>
      </c>
      <c r="M598" s="158">
        <v>2022.0</v>
      </c>
      <c r="N598" s="157" t="s">
        <v>123</v>
      </c>
      <c r="O598" s="157" t="s">
        <v>722</v>
      </c>
      <c r="P598" s="161" t="b">
        <v>1</v>
      </c>
      <c r="Q598" s="158">
        <v>0.115</v>
      </c>
      <c r="R598" s="158">
        <v>0.049760046</v>
      </c>
      <c r="S598" s="158">
        <v>0.065239954</v>
      </c>
      <c r="T598" s="157" t="s">
        <v>123</v>
      </c>
      <c r="U598" s="46" t="s">
        <v>651</v>
      </c>
      <c r="V598" s="46" t="b">
        <v>1</v>
      </c>
      <c r="W598" s="46">
        <v>0.95</v>
      </c>
      <c r="X598" s="46">
        <v>0.0472720437</v>
      </c>
      <c r="Y598" s="46" t="s">
        <v>640</v>
      </c>
      <c r="Z598" s="46" t="b">
        <v>0</v>
      </c>
      <c r="AA598" s="46" t="b">
        <v>0</v>
      </c>
    </row>
    <row r="599">
      <c r="A599" s="157" t="s">
        <v>566</v>
      </c>
      <c r="B599" s="158">
        <v>1.0</v>
      </c>
      <c r="C599" s="157" t="s">
        <v>642</v>
      </c>
      <c r="D599" s="157" t="s">
        <v>643</v>
      </c>
      <c r="E599" s="157" t="s">
        <v>644</v>
      </c>
      <c r="F599" s="157" t="s">
        <v>2061</v>
      </c>
      <c r="G599" s="157" t="s">
        <v>2062</v>
      </c>
      <c r="H599" s="157"/>
      <c r="I599" s="158">
        <v>23.16826057</v>
      </c>
      <c r="J599" s="158">
        <v>53.14852524</v>
      </c>
      <c r="K599" s="157" t="s">
        <v>2063</v>
      </c>
      <c r="L599" s="157" t="s">
        <v>648</v>
      </c>
      <c r="M599" s="158">
        <v>2022.0</v>
      </c>
      <c r="N599" s="157" t="s">
        <v>649</v>
      </c>
      <c r="O599" s="157" t="s">
        <v>650</v>
      </c>
      <c r="P599" s="161" t="b">
        <v>0</v>
      </c>
      <c r="Q599" s="158">
        <v>0.686</v>
      </c>
      <c r="R599" s="158">
        <v>0.049753108</v>
      </c>
      <c r="S599" s="158">
        <v>0.636246892</v>
      </c>
      <c r="T599" s="157" t="s">
        <v>594</v>
      </c>
      <c r="U599" s="46" t="s">
        <v>651</v>
      </c>
      <c r="V599" s="46" t="b">
        <v>1</v>
      </c>
      <c r="W599" s="46">
        <v>0.95</v>
      </c>
      <c r="X599" s="46">
        <v>0.0472654525999999</v>
      </c>
      <c r="Y599" s="46" t="s">
        <v>640</v>
      </c>
      <c r="Z599" s="46" t="b">
        <v>0</v>
      </c>
      <c r="AA599" s="46" t="b">
        <v>0</v>
      </c>
    </row>
    <row r="600">
      <c r="A600" s="157" t="s">
        <v>556</v>
      </c>
      <c r="B600" s="158">
        <v>1.0</v>
      </c>
      <c r="C600" s="157" t="s">
        <v>642</v>
      </c>
      <c r="D600" s="157" t="s">
        <v>643</v>
      </c>
      <c r="E600" s="157" t="s">
        <v>644</v>
      </c>
      <c r="F600" s="157" t="s">
        <v>2064</v>
      </c>
      <c r="G600" s="157" t="s">
        <v>2065</v>
      </c>
      <c r="H600" s="157"/>
      <c r="I600" s="158">
        <v>3.29084</v>
      </c>
      <c r="J600" s="158">
        <v>46.2693</v>
      </c>
      <c r="K600" s="157" t="s">
        <v>2066</v>
      </c>
      <c r="L600" s="157" t="s">
        <v>648</v>
      </c>
      <c r="M600" s="158">
        <v>2022.0</v>
      </c>
      <c r="N600" s="157" t="s">
        <v>649</v>
      </c>
      <c r="O600" s="157" t="s">
        <v>650</v>
      </c>
      <c r="P600" s="161" t="b">
        <v>0</v>
      </c>
      <c r="Q600" s="158">
        <v>0.685</v>
      </c>
      <c r="R600" s="158">
        <v>0.049680582</v>
      </c>
      <c r="S600" s="158">
        <v>0.635319418</v>
      </c>
      <c r="T600" s="157" t="s">
        <v>594</v>
      </c>
      <c r="U600" s="46" t="s">
        <v>651</v>
      </c>
      <c r="V600" s="46" t="b">
        <v>1</v>
      </c>
      <c r="W600" s="46">
        <v>0.95</v>
      </c>
      <c r="X600" s="46">
        <v>0.0471965529</v>
      </c>
      <c r="Y600" s="46">
        <v>124.563703862553</v>
      </c>
      <c r="Z600" s="46" t="b">
        <v>0</v>
      </c>
      <c r="AA600" s="46" t="b">
        <v>0</v>
      </c>
    </row>
    <row r="601">
      <c r="A601" s="157" t="s">
        <v>577</v>
      </c>
      <c r="B601" s="158">
        <v>6.0</v>
      </c>
      <c r="C601" s="157" t="s">
        <v>659</v>
      </c>
      <c r="D601" s="157" t="s">
        <v>717</v>
      </c>
      <c r="E601" s="157" t="s">
        <v>718</v>
      </c>
      <c r="F601" s="157" t="s">
        <v>2067</v>
      </c>
      <c r="G601" s="157" t="s">
        <v>2068</v>
      </c>
      <c r="H601" s="157"/>
      <c r="I601" s="158">
        <v>15.491861</v>
      </c>
      <c r="J601" s="158">
        <v>45.954139</v>
      </c>
      <c r="K601" s="157" t="s">
        <v>2069</v>
      </c>
      <c r="L601" s="157" t="s">
        <v>648</v>
      </c>
      <c r="M601" s="158">
        <v>2020.0</v>
      </c>
      <c r="N601" s="157" t="s">
        <v>123</v>
      </c>
      <c r="O601" s="157" t="s">
        <v>722</v>
      </c>
      <c r="P601" s="161" t="b">
        <v>1</v>
      </c>
      <c r="Q601" s="158">
        <v>0.139727</v>
      </c>
      <c r="R601" s="158">
        <v>0.049671</v>
      </c>
      <c r="S601" s="158">
        <v>0.090056</v>
      </c>
      <c r="T601" s="157" t="s">
        <v>123</v>
      </c>
      <c r="U601" s="46" t="s">
        <v>651</v>
      </c>
      <c r="V601" s="46" t="b">
        <v>1</v>
      </c>
      <c r="W601" s="46">
        <v>0.95</v>
      </c>
      <c r="X601" s="46">
        <v>0.04718745</v>
      </c>
      <c r="Y601" s="46" t="s">
        <v>640</v>
      </c>
      <c r="Z601" s="46" t="b">
        <v>0</v>
      </c>
      <c r="AA601" s="46" t="b">
        <v>0</v>
      </c>
    </row>
    <row r="602">
      <c r="A602" s="157" t="s">
        <v>560</v>
      </c>
      <c r="B602" s="158">
        <v>5.0</v>
      </c>
      <c r="C602" s="157" t="s">
        <v>652</v>
      </c>
      <c r="D602" s="157" t="s">
        <v>895</v>
      </c>
      <c r="E602" s="157" t="s">
        <v>896</v>
      </c>
      <c r="F602" s="157" t="s">
        <v>2070</v>
      </c>
      <c r="G602" s="157" t="s">
        <v>1138</v>
      </c>
      <c r="H602" s="157"/>
      <c r="I602" s="158">
        <v>16.460528</v>
      </c>
      <c r="J602" s="158">
        <v>48.173944</v>
      </c>
      <c r="K602" s="157" t="s">
        <v>1278</v>
      </c>
      <c r="L602" s="157" t="s">
        <v>648</v>
      </c>
      <c r="M602" s="158">
        <v>2022.0</v>
      </c>
      <c r="N602" s="157" t="s">
        <v>116</v>
      </c>
      <c r="O602" s="157" t="s">
        <v>900</v>
      </c>
      <c r="P602" s="161" t="b">
        <v>1</v>
      </c>
      <c r="Q602" s="158">
        <v>0.3</v>
      </c>
      <c r="R602" s="158">
        <v>0.049531369</v>
      </c>
      <c r="S602" s="158">
        <v>0.250468631</v>
      </c>
      <c r="T602" s="157" t="s">
        <v>116</v>
      </c>
      <c r="U602" s="46" t="s">
        <v>651</v>
      </c>
      <c r="V602" s="46" t="b">
        <v>1</v>
      </c>
      <c r="W602" s="46">
        <v>0.95</v>
      </c>
      <c r="X602" s="46">
        <v>0.04705480055</v>
      </c>
      <c r="Y602" s="46" t="s">
        <v>640</v>
      </c>
      <c r="Z602" s="46" t="b">
        <v>0</v>
      </c>
      <c r="AA602" s="46" t="b">
        <v>0</v>
      </c>
    </row>
    <row r="603">
      <c r="A603" s="157" t="s">
        <v>560</v>
      </c>
      <c r="B603" s="158">
        <v>1.0</v>
      </c>
      <c r="C603" s="157" t="s">
        <v>642</v>
      </c>
      <c r="D603" s="157" t="s">
        <v>643</v>
      </c>
      <c r="E603" s="157" t="s">
        <v>644</v>
      </c>
      <c r="F603" s="157" t="s">
        <v>2071</v>
      </c>
      <c r="G603" s="157" t="s">
        <v>1138</v>
      </c>
      <c r="H603" s="157"/>
      <c r="I603" s="158">
        <v>16.463222</v>
      </c>
      <c r="J603" s="158">
        <v>48.198972</v>
      </c>
      <c r="K603" s="157" t="s">
        <v>2072</v>
      </c>
      <c r="L603" s="157" t="s">
        <v>648</v>
      </c>
      <c r="M603" s="158">
        <v>2022.0</v>
      </c>
      <c r="N603" s="157" t="s">
        <v>649</v>
      </c>
      <c r="O603" s="157" t="s">
        <v>650</v>
      </c>
      <c r="P603" s="161" t="b">
        <v>0</v>
      </c>
      <c r="Q603" s="158">
        <v>0.677</v>
      </c>
      <c r="R603" s="158">
        <v>0.049100371</v>
      </c>
      <c r="S603" s="158">
        <v>0.627899629</v>
      </c>
      <c r="T603" s="157" t="s">
        <v>594</v>
      </c>
      <c r="U603" s="46" t="s">
        <v>651</v>
      </c>
      <c r="V603" s="46" t="b">
        <v>1</v>
      </c>
      <c r="W603" s="46">
        <v>0.95</v>
      </c>
      <c r="X603" s="46">
        <v>0.04664535245</v>
      </c>
      <c r="Y603" s="46" t="s">
        <v>640</v>
      </c>
      <c r="Z603" s="46" t="b">
        <v>0</v>
      </c>
      <c r="AA603" s="46" t="b">
        <v>0</v>
      </c>
    </row>
    <row r="604">
      <c r="A604" s="157" t="s">
        <v>559</v>
      </c>
      <c r="B604" s="158">
        <v>1.0</v>
      </c>
      <c r="C604" s="157" t="s">
        <v>642</v>
      </c>
      <c r="D604" s="157" t="s">
        <v>643</v>
      </c>
      <c r="E604" s="157" t="s">
        <v>644</v>
      </c>
      <c r="F604" s="157" t="s">
        <v>2073</v>
      </c>
      <c r="G604" s="157" t="s">
        <v>2074</v>
      </c>
      <c r="H604" s="157"/>
      <c r="I604" s="158">
        <v>9.7104</v>
      </c>
      <c r="J604" s="158">
        <v>45.0545</v>
      </c>
      <c r="K604" s="157" t="s">
        <v>1963</v>
      </c>
      <c r="L604" s="157" t="s">
        <v>648</v>
      </c>
      <c r="M604" s="158">
        <v>2022.0</v>
      </c>
      <c r="N604" s="157" t="s">
        <v>649</v>
      </c>
      <c r="O604" s="157" t="s">
        <v>650</v>
      </c>
      <c r="P604" s="161" t="b">
        <v>0</v>
      </c>
      <c r="Q604" s="158">
        <v>0.675305</v>
      </c>
      <c r="R604" s="158">
        <v>0.048977439</v>
      </c>
      <c r="S604" s="158">
        <v>0.626327561</v>
      </c>
      <c r="T604" s="157" t="s">
        <v>594</v>
      </c>
      <c r="U604" s="46" t="s">
        <v>651</v>
      </c>
      <c r="V604" s="46" t="b">
        <v>1</v>
      </c>
      <c r="W604" s="46">
        <v>0.95</v>
      </c>
      <c r="X604" s="46">
        <v>0.04652856705</v>
      </c>
      <c r="Y604" s="46">
        <v>7.02831001709002</v>
      </c>
      <c r="Z604" s="46" t="b">
        <v>1</v>
      </c>
      <c r="AA604" s="46" t="b">
        <v>1</v>
      </c>
    </row>
    <row r="605">
      <c r="A605" s="157" t="s">
        <v>572</v>
      </c>
      <c r="B605" s="158">
        <v>3.0</v>
      </c>
      <c r="C605" s="157" t="s">
        <v>1215</v>
      </c>
      <c r="D605" s="157" t="s">
        <v>1216</v>
      </c>
      <c r="E605" s="157" t="s">
        <v>1217</v>
      </c>
      <c r="F605" s="157" t="s">
        <v>2075</v>
      </c>
      <c r="G605" s="157" t="s">
        <v>2076</v>
      </c>
      <c r="H605" s="157"/>
      <c r="I605" s="158">
        <v>22.9845</v>
      </c>
      <c r="J605" s="158">
        <v>39.35171</v>
      </c>
      <c r="K605" s="157" t="s">
        <v>2077</v>
      </c>
      <c r="L605" s="157" t="s">
        <v>648</v>
      </c>
      <c r="M605" s="158">
        <v>2022.0</v>
      </c>
      <c r="N605" s="157" t="s">
        <v>114</v>
      </c>
      <c r="O605" s="157" t="s">
        <v>1221</v>
      </c>
      <c r="P605" s="161" t="b">
        <v>1</v>
      </c>
      <c r="Q605" s="158">
        <v>1.07</v>
      </c>
      <c r="R605" s="158">
        <v>0.04872543</v>
      </c>
      <c r="S605" s="158">
        <v>1.02127457</v>
      </c>
      <c r="T605" s="157" t="s">
        <v>114</v>
      </c>
      <c r="U605" s="46" t="s">
        <v>651</v>
      </c>
      <c r="V605" s="46" t="b">
        <v>1</v>
      </c>
      <c r="W605" s="46">
        <v>0.95</v>
      </c>
      <c r="X605" s="46">
        <v>0.0462891585</v>
      </c>
      <c r="Y605" s="46">
        <v>75.4059380304754</v>
      </c>
      <c r="Z605" s="46" t="b">
        <v>0</v>
      </c>
      <c r="AA605" s="46" t="b">
        <v>1</v>
      </c>
    </row>
    <row r="606">
      <c r="A606" s="157" t="s">
        <v>563</v>
      </c>
      <c r="B606" s="158">
        <v>3.0</v>
      </c>
      <c r="C606" s="157" t="s">
        <v>1215</v>
      </c>
      <c r="D606" s="157" t="s">
        <v>1216</v>
      </c>
      <c r="E606" s="157" t="s">
        <v>1217</v>
      </c>
      <c r="F606" s="157" t="s">
        <v>2078</v>
      </c>
      <c r="G606" s="157" t="s">
        <v>2079</v>
      </c>
      <c r="H606" s="157"/>
      <c r="I606" s="158">
        <v>-1.8746695</v>
      </c>
      <c r="J606" s="158">
        <v>53.043603</v>
      </c>
      <c r="K606" s="157" t="s">
        <v>2080</v>
      </c>
      <c r="L606" s="157" t="s">
        <v>648</v>
      </c>
      <c r="M606" s="158">
        <v>2019.0</v>
      </c>
      <c r="N606" s="157" t="s">
        <v>114</v>
      </c>
      <c r="O606" s="157" t="s">
        <v>1221</v>
      </c>
      <c r="P606" s="161" t="b">
        <v>1</v>
      </c>
      <c r="Q606" s="158">
        <v>0.586</v>
      </c>
      <c r="R606" s="158">
        <v>0.048</v>
      </c>
      <c r="S606" s="158">
        <v>0.538</v>
      </c>
      <c r="T606" s="157" t="s">
        <v>114</v>
      </c>
      <c r="U606" s="46" t="s">
        <v>651</v>
      </c>
      <c r="V606" s="46" t="b">
        <v>1</v>
      </c>
      <c r="W606" s="46">
        <v>0.95</v>
      </c>
      <c r="X606" s="46">
        <v>0.0456</v>
      </c>
      <c r="Y606" s="46">
        <v>49.9965178328873</v>
      </c>
      <c r="Z606" s="46" t="b">
        <v>1</v>
      </c>
      <c r="AA606" s="46" t="b">
        <v>1</v>
      </c>
    </row>
    <row r="607">
      <c r="A607" s="157" t="s">
        <v>566</v>
      </c>
      <c r="B607" s="158">
        <v>3.0</v>
      </c>
      <c r="C607" s="157" t="s">
        <v>1215</v>
      </c>
      <c r="D607" s="157" t="s">
        <v>1216</v>
      </c>
      <c r="E607" s="157" t="s">
        <v>1217</v>
      </c>
      <c r="F607" s="157" t="s">
        <v>2081</v>
      </c>
      <c r="G607" s="157" t="s">
        <v>2082</v>
      </c>
      <c r="H607" s="157"/>
      <c r="I607" s="158">
        <v>20.52222252</v>
      </c>
      <c r="J607" s="158">
        <v>50.80694199</v>
      </c>
      <c r="K607" s="157" t="s">
        <v>2083</v>
      </c>
      <c r="L607" s="157" t="s">
        <v>648</v>
      </c>
      <c r="M607" s="158">
        <v>2022.0</v>
      </c>
      <c r="N607" s="157" t="s">
        <v>114</v>
      </c>
      <c r="O607" s="157" t="s">
        <v>1221</v>
      </c>
      <c r="P607" s="161" t="b">
        <v>1</v>
      </c>
      <c r="Q607" s="158">
        <v>1.05</v>
      </c>
      <c r="R607" s="158">
        <v>0.047814675</v>
      </c>
      <c r="S607" s="158">
        <v>1.002185325</v>
      </c>
      <c r="T607" s="157" t="s">
        <v>114</v>
      </c>
      <c r="U607" s="46" t="s">
        <v>651</v>
      </c>
      <c r="V607" s="46" t="b">
        <v>1</v>
      </c>
      <c r="W607" s="46">
        <v>0.95</v>
      </c>
      <c r="X607" s="46">
        <v>0.0454239412499999</v>
      </c>
      <c r="Y607" s="46" t="s">
        <v>640</v>
      </c>
      <c r="Z607" s="46" t="b">
        <v>0</v>
      </c>
      <c r="AA607" s="46" t="b">
        <v>0</v>
      </c>
    </row>
    <row r="608">
      <c r="A608" s="157" t="s">
        <v>566</v>
      </c>
      <c r="B608" s="158">
        <v>1.0</v>
      </c>
      <c r="C608" s="157" t="s">
        <v>642</v>
      </c>
      <c r="D608" s="157" t="s">
        <v>643</v>
      </c>
      <c r="E608" s="157" t="s">
        <v>644</v>
      </c>
      <c r="F608" s="157" t="s">
        <v>2084</v>
      </c>
      <c r="G608" s="157" t="s">
        <v>2085</v>
      </c>
      <c r="H608" s="157"/>
      <c r="I608" s="158">
        <v>18.47963333</v>
      </c>
      <c r="J608" s="158">
        <v>54.55390167</v>
      </c>
      <c r="K608" s="157" t="s">
        <v>2086</v>
      </c>
      <c r="L608" s="157" t="s">
        <v>648</v>
      </c>
      <c r="M608" s="158">
        <v>2022.0</v>
      </c>
      <c r="N608" s="157" t="s">
        <v>649</v>
      </c>
      <c r="O608" s="157" t="s">
        <v>650</v>
      </c>
      <c r="P608" s="161" t="b">
        <v>0</v>
      </c>
      <c r="Q608" s="158">
        <v>0.655</v>
      </c>
      <c r="R608" s="158">
        <v>0.04750479</v>
      </c>
      <c r="S608" s="158">
        <v>0.60749521</v>
      </c>
      <c r="T608" s="157" t="s">
        <v>594</v>
      </c>
      <c r="U608" s="46" t="s">
        <v>651</v>
      </c>
      <c r="V608" s="46" t="b">
        <v>1</v>
      </c>
      <c r="W608" s="46">
        <v>0.95</v>
      </c>
      <c r="X608" s="46">
        <v>0.0451295505</v>
      </c>
      <c r="Y608" s="46">
        <v>29.5899242373522</v>
      </c>
      <c r="Z608" s="46" t="b">
        <v>1</v>
      </c>
      <c r="AA608" s="46" t="b">
        <v>1</v>
      </c>
    </row>
    <row r="609">
      <c r="A609" s="157" t="s">
        <v>559</v>
      </c>
      <c r="B609" s="158">
        <v>1.0</v>
      </c>
      <c r="C609" s="157" t="s">
        <v>642</v>
      </c>
      <c r="D609" s="157" t="s">
        <v>643</v>
      </c>
      <c r="E609" s="157" t="s">
        <v>644</v>
      </c>
      <c r="F609" s="157" t="s">
        <v>2087</v>
      </c>
      <c r="G609" s="157" t="s">
        <v>2088</v>
      </c>
      <c r="H609" s="157"/>
      <c r="I609" s="158">
        <v>13.5455</v>
      </c>
      <c r="J609" s="158">
        <v>45.7969</v>
      </c>
      <c r="K609" s="157" t="s">
        <v>2089</v>
      </c>
      <c r="L609" s="157" t="s">
        <v>648</v>
      </c>
      <c r="M609" s="158">
        <v>2022.0</v>
      </c>
      <c r="N609" s="157" t="s">
        <v>649</v>
      </c>
      <c r="O609" s="157" t="s">
        <v>650</v>
      </c>
      <c r="P609" s="161" t="b">
        <v>0</v>
      </c>
      <c r="Q609" s="158">
        <v>0.65103508</v>
      </c>
      <c r="R609" s="158">
        <v>0.047217229</v>
      </c>
      <c r="S609" s="158">
        <v>0.603817851</v>
      </c>
      <c r="T609" s="157" t="s">
        <v>594</v>
      </c>
      <c r="U609" s="46" t="s">
        <v>651</v>
      </c>
      <c r="V609" s="46" t="b">
        <v>1</v>
      </c>
      <c r="W609" s="46">
        <v>0.95</v>
      </c>
      <c r="X609" s="46">
        <v>0.04485636755</v>
      </c>
      <c r="Y609" s="46">
        <v>103.851416834322</v>
      </c>
      <c r="Z609" s="46" t="b">
        <v>0</v>
      </c>
      <c r="AA609" s="46" t="b">
        <v>0</v>
      </c>
    </row>
    <row r="610">
      <c r="A610" s="157" t="s">
        <v>566</v>
      </c>
      <c r="B610" s="158">
        <v>1.0</v>
      </c>
      <c r="C610" s="157" t="s">
        <v>642</v>
      </c>
      <c r="D610" s="157" t="s">
        <v>643</v>
      </c>
      <c r="E610" s="157" t="s">
        <v>644</v>
      </c>
      <c r="F610" s="157" t="s">
        <v>2090</v>
      </c>
      <c r="G610" s="157" t="s">
        <v>2091</v>
      </c>
      <c r="H610" s="157"/>
      <c r="I610" s="158">
        <v>18.9635849</v>
      </c>
      <c r="J610" s="158">
        <v>52.72475052</v>
      </c>
      <c r="K610" s="157" t="s">
        <v>2092</v>
      </c>
      <c r="L610" s="157" t="s">
        <v>648</v>
      </c>
      <c r="M610" s="158">
        <v>2022.0</v>
      </c>
      <c r="N610" s="157" t="s">
        <v>649</v>
      </c>
      <c r="O610" s="157" t="s">
        <v>650</v>
      </c>
      <c r="P610" s="161" t="b">
        <v>0</v>
      </c>
      <c r="Q610" s="158">
        <v>0.646</v>
      </c>
      <c r="R610" s="158">
        <v>0.046852053</v>
      </c>
      <c r="S610" s="158">
        <v>0.599147947</v>
      </c>
      <c r="T610" s="157" t="s">
        <v>594</v>
      </c>
      <c r="U610" s="46" t="s">
        <v>651</v>
      </c>
      <c r="V610" s="46" t="b">
        <v>1</v>
      </c>
      <c r="W610" s="46">
        <v>0.95</v>
      </c>
      <c r="X610" s="46">
        <v>0.0445094503499999</v>
      </c>
      <c r="Y610" s="46">
        <v>1.55972243288906</v>
      </c>
      <c r="Z610" s="46" t="b">
        <v>1</v>
      </c>
      <c r="AA610" s="46" t="b">
        <v>1</v>
      </c>
    </row>
    <row r="611">
      <c r="A611" s="157" t="s">
        <v>569</v>
      </c>
      <c r="B611" s="158">
        <v>2.0</v>
      </c>
      <c r="C611" s="157" t="s">
        <v>916</v>
      </c>
      <c r="D611" s="157" t="s">
        <v>917</v>
      </c>
      <c r="E611" s="157" t="s">
        <v>918</v>
      </c>
      <c r="F611" s="157" t="s">
        <v>2093</v>
      </c>
      <c r="G611" s="157" t="s">
        <v>2094</v>
      </c>
      <c r="H611" s="157"/>
      <c r="I611" s="158">
        <v>18.940529</v>
      </c>
      <c r="J611" s="158">
        <v>46.943314</v>
      </c>
      <c r="K611" s="157" t="s">
        <v>2057</v>
      </c>
      <c r="L611" s="157" t="s">
        <v>648</v>
      </c>
      <c r="M611" s="158">
        <v>2022.0</v>
      </c>
      <c r="N611" s="157" t="s">
        <v>549</v>
      </c>
      <c r="O611" s="157" t="s">
        <v>922</v>
      </c>
      <c r="P611" s="161" t="b">
        <v>1</v>
      </c>
      <c r="Q611" s="158">
        <v>0.581313</v>
      </c>
      <c r="R611" s="158">
        <v>0.046470744</v>
      </c>
      <c r="S611" s="158">
        <v>0.534842256</v>
      </c>
      <c r="T611" s="157" t="s">
        <v>549</v>
      </c>
      <c r="U611" s="46" t="s">
        <v>651</v>
      </c>
      <c r="V611" s="46" t="b">
        <v>1</v>
      </c>
      <c r="W611" s="46">
        <v>0.95</v>
      </c>
      <c r="X611" s="46">
        <v>0.0441472068</v>
      </c>
      <c r="Y611" s="46" t="s">
        <v>640</v>
      </c>
      <c r="Z611" s="46" t="b">
        <v>0</v>
      </c>
      <c r="AA611" s="46" t="b">
        <v>0</v>
      </c>
    </row>
    <row r="612">
      <c r="A612" s="157" t="s">
        <v>558</v>
      </c>
      <c r="B612" s="158">
        <v>3.0</v>
      </c>
      <c r="C612" s="157" t="s">
        <v>1215</v>
      </c>
      <c r="D612" s="157" t="s">
        <v>1371</v>
      </c>
      <c r="E612" s="157" t="s">
        <v>1372</v>
      </c>
      <c r="F612" s="157" t="s">
        <v>2095</v>
      </c>
      <c r="G612" s="157" t="s">
        <v>2096</v>
      </c>
      <c r="H612" s="157"/>
      <c r="I612" s="158">
        <v>-9.00969</v>
      </c>
      <c r="J612" s="158">
        <v>38.92382</v>
      </c>
      <c r="K612" s="157" t="s">
        <v>2097</v>
      </c>
      <c r="L612" s="157" t="s">
        <v>648</v>
      </c>
      <c r="M612" s="158">
        <v>2022.0</v>
      </c>
      <c r="N612" s="157" t="s">
        <v>114</v>
      </c>
      <c r="O612" s="157" t="s">
        <v>1376</v>
      </c>
      <c r="P612" s="161" t="b">
        <v>1</v>
      </c>
      <c r="Q612" s="158">
        <v>1.2</v>
      </c>
      <c r="R612" s="158">
        <v>0.046233214</v>
      </c>
      <c r="S612" s="158">
        <v>1.153766786</v>
      </c>
      <c r="T612" s="157" t="s">
        <v>114</v>
      </c>
      <c r="U612" s="46" t="s">
        <v>651</v>
      </c>
      <c r="V612" s="46" t="b">
        <v>1</v>
      </c>
      <c r="W612" s="46">
        <v>0.95</v>
      </c>
      <c r="X612" s="46">
        <v>0.0439215533</v>
      </c>
      <c r="Y612" s="46" t="s">
        <v>640</v>
      </c>
      <c r="Z612" s="46" t="b">
        <v>0</v>
      </c>
      <c r="AA612" s="46" t="b">
        <v>0</v>
      </c>
    </row>
    <row r="613">
      <c r="A613" s="157" t="s">
        <v>562</v>
      </c>
      <c r="B613" s="158">
        <v>1.0</v>
      </c>
      <c r="C613" s="157" t="s">
        <v>642</v>
      </c>
      <c r="D613" s="157" t="s">
        <v>643</v>
      </c>
      <c r="E613" s="157" t="s">
        <v>644</v>
      </c>
      <c r="F613" s="162" t="s">
        <v>2098</v>
      </c>
      <c r="G613" s="157" t="s">
        <v>2099</v>
      </c>
      <c r="H613" s="157"/>
      <c r="I613" s="158">
        <v>5.10484</v>
      </c>
      <c r="J613" s="158">
        <v>51.05821</v>
      </c>
      <c r="K613" s="157" t="s">
        <v>2100</v>
      </c>
      <c r="L613" s="157" t="s">
        <v>648</v>
      </c>
      <c r="M613" s="158">
        <v>2022.0</v>
      </c>
      <c r="N613" s="157" t="s">
        <v>649</v>
      </c>
      <c r="O613" s="157" t="s">
        <v>650</v>
      </c>
      <c r="P613" s="161" t="b">
        <v>0</v>
      </c>
      <c r="Q613" s="158">
        <v>0.637</v>
      </c>
      <c r="R613" s="158">
        <v>0.046199315</v>
      </c>
      <c r="S613" s="158">
        <v>0.590800685</v>
      </c>
      <c r="T613" s="157" t="s">
        <v>594</v>
      </c>
      <c r="U613" s="46" t="s">
        <v>651</v>
      </c>
      <c r="V613" s="46" t="b">
        <v>1</v>
      </c>
      <c r="W613" s="46">
        <v>0.95</v>
      </c>
      <c r="X613" s="46">
        <v>0.0438893492499999</v>
      </c>
      <c r="Y613" s="46">
        <v>5.16628612173149</v>
      </c>
      <c r="Z613" s="46" t="b">
        <v>1</v>
      </c>
      <c r="AA613" s="46" t="b">
        <v>1</v>
      </c>
    </row>
    <row r="614">
      <c r="A614" s="157" t="s">
        <v>562</v>
      </c>
      <c r="B614" s="158">
        <v>3.0</v>
      </c>
      <c r="C614" s="157" t="s">
        <v>1215</v>
      </c>
      <c r="D614" s="157" t="s">
        <v>1371</v>
      </c>
      <c r="E614" s="157" t="s">
        <v>1372</v>
      </c>
      <c r="F614" s="157" t="s">
        <v>2101</v>
      </c>
      <c r="G614" s="157" t="s">
        <v>2102</v>
      </c>
      <c r="H614" s="157"/>
      <c r="I614" s="158">
        <v>5.6725326</v>
      </c>
      <c r="J614" s="158">
        <v>50.76022</v>
      </c>
      <c r="K614" s="157" t="s">
        <v>2103</v>
      </c>
      <c r="L614" s="157" t="s">
        <v>648</v>
      </c>
      <c r="M614" s="158">
        <v>2022.0</v>
      </c>
      <c r="N614" s="157" t="s">
        <v>114</v>
      </c>
      <c r="O614" s="157" t="s">
        <v>1376</v>
      </c>
      <c r="P614" s="161" t="b">
        <v>1</v>
      </c>
      <c r="Q614" s="158">
        <v>1.18</v>
      </c>
      <c r="R614" s="158">
        <v>0.045462661</v>
      </c>
      <c r="S614" s="158">
        <v>1.134537339</v>
      </c>
      <c r="T614" s="157" t="s">
        <v>114</v>
      </c>
      <c r="U614" s="46" t="s">
        <v>651</v>
      </c>
      <c r="V614" s="46" t="b">
        <v>1</v>
      </c>
      <c r="W614" s="46">
        <v>0.95</v>
      </c>
      <c r="X614" s="46">
        <v>0.04318952795</v>
      </c>
      <c r="Y614" s="46">
        <v>0.282659991387648</v>
      </c>
      <c r="Z614" s="46" t="b">
        <v>1</v>
      </c>
      <c r="AA614" s="46" t="b">
        <v>1</v>
      </c>
    </row>
    <row r="615">
      <c r="A615" s="157" t="s">
        <v>574</v>
      </c>
      <c r="B615" s="158">
        <v>1.0</v>
      </c>
      <c r="C615" s="157" t="s">
        <v>642</v>
      </c>
      <c r="D615" s="157" t="s">
        <v>643</v>
      </c>
      <c r="E615" s="157" t="s">
        <v>644</v>
      </c>
      <c r="F615" s="162" t="s">
        <v>2104</v>
      </c>
      <c r="G615" s="157" t="s">
        <v>2105</v>
      </c>
      <c r="H615" s="157"/>
      <c r="I615" s="158">
        <v>21.972625</v>
      </c>
      <c r="J615" s="158">
        <v>48.55251</v>
      </c>
      <c r="K615" s="157" t="s">
        <v>2106</v>
      </c>
      <c r="L615" s="157" t="s">
        <v>648</v>
      </c>
      <c r="M615" s="158">
        <v>2017.0</v>
      </c>
      <c r="N615" s="157" t="s">
        <v>649</v>
      </c>
      <c r="O615" s="157" t="s">
        <v>650</v>
      </c>
      <c r="P615" s="161" t="b">
        <v>0</v>
      </c>
      <c r="Q615" s="158">
        <v>0.618</v>
      </c>
      <c r="R615" s="158">
        <v>0.044821313</v>
      </c>
      <c r="S615" s="158">
        <v>0.573178687</v>
      </c>
      <c r="T615" s="157" t="s">
        <v>594</v>
      </c>
      <c r="U615" s="46" t="s">
        <v>651</v>
      </c>
      <c r="V615" s="46" t="b">
        <v>1</v>
      </c>
      <c r="W615" s="46">
        <v>0.95</v>
      </c>
      <c r="X615" s="46">
        <v>0.04258024735</v>
      </c>
      <c r="Y615" s="46" t="s">
        <v>640</v>
      </c>
      <c r="Z615" s="46" t="b">
        <v>0</v>
      </c>
      <c r="AA615" s="46" t="b">
        <v>0</v>
      </c>
    </row>
    <row r="616">
      <c r="A616" s="157" t="s">
        <v>562</v>
      </c>
      <c r="B616" s="158">
        <v>3.0</v>
      </c>
      <c r="C616" s="157" t="s">
        <v>1215</v>
      </c>
      <c r="D616" s="157" t="s">
        <v>1371</v>
      </c>
      <c r="E616" s="157" t="s">
        <v>1372</v>
      </c>
      <c r="F616" s="157" t="s">
        <v>2107</v>
      </c>
      <c r="G616" s="157" t="s">
        <v>2108</v>
      </c>
      <c r="H616" s="157"/>
      <c r="I616" s="158">
        <v>3.4877694</v>
      </c>
      <c r="J616" s="158">
        <v>50.600388</v>
      </c>
      <c r="K616" s="157" t="s">
        <v>2109</v>
      </c>
      <c r="L616" s="157" t="s">
        <v>648</v>
      </c>
      <c r="M616" s="158">
        <v>2022.0</v>
      </c>
      <c r="N616" s="157" t="s">
        <v>114</v>
      </c>
      <c r="O616" s="157" t="s">
        <v>1376</v>
      </c>
      <c r="P616" s="161" t="b">
        <v>1</v>
      </c>
      <c r="Q616" s="158">
        <v>1.16</v>
      </c>
      <c r="R616" s="158">
        <v>0.044692107</v>
      </c>
      <c r="S616" s="158">
        <v>1.115307893</v>
      </c>
      <c r="T616" s="157" t="s">
        <v>114</v>
      </c>
      <c r="U616" s="46" t="s">
        <v>651</v>
      </c>
      <c r="V616" s="46" t="b">
        <v>1</v>
      </c>
      <c r="W616" s="46">
        <v>0.95</v>
      </c>
      <c r="X616" s="46">
        <v>0.04245750165</v>
      </c>
      <c r="Y616" s="46">
        <v>32.438778507534</v>
      </c>
      <c r="Z616" s="46" t="b">
        <v>1</v>
      </c>
      <c r="AA616" s="46" t="b">
        <v>1</v>
      </c>
    </row>
    <row r="617">
      <c r="A617" s="157" t="s">
        <v>572</v>
      </c>
      <c r="B617" s="158">
        <v>1.0</v>
      </c>
      <c r="C617" s="157" t="s">
        <v>642</v>
      </c>
      <c r="D617" s="157" t="s">
        <v>643</v>
      </c>
      <c r="E617" s="157" t="s">
        <v>644</v>
      </c>
      <c r="F617" s="157" t="s">
        <v>2110</v>
      </c>
      <c r="G617" s="157" t="s">
        <v>2111</v>
      </c>
      <c r="H617" s="157"/>
      <c r="I617" s="158">
        <v>22.8853</v>
      </c>
      <c r="J617" s="158">
        <v>40.68713</v>
      </c>
      <c r="K617" s="157" t="s">
        <v>2112</v>
      </c>
      <c r="L617" s="157" t="s">
        <v>648</v>
      </c>
      <c r="M617" s="158">
        <v>2022.0</v>
      </c>
      <c r="N617" s="157" t="s">
        <v>649</v>
      </c>
      <c r="O617" s="157" t="s">
        <v>650</v>
      </c>
      <c r="P617" s="161" t="b">
        <v>0</v>
      </c>
      <c r="Q617" s="158">
        <v>0.613</v>
      </c>
      <c r="R617" s="158">
        <v>0.044458681</v>
      </c>
      <c r="S617" s="158">
        <v>0.568541319</v>
      </c>
      <c r="T617" s="157" t="s">
        <v>594</v>
      </c>
      <c r="U617" s="46" t="s">
        <v>651</v>
      </c>
      <c r="V617" s="46" t="b">
        <v>1</v>
      </c>
      <c r="W617" s="46">
        <v>0.95</v>
      </c>
      <c r="X617" s="46">
        <v>0.04223574695</v>
      </c>
      <c r="Y617" s="46" t="s">
        <v>640</v>
      </c>
      <c r="Z617" s="46" t="b">
        <v>0</v>
      </c>
      <c r="AA617" s="46" t="b">
        <v>0</v>
      </c>
    </row>
    <row r="618">
      <c r="A618" s="157" t="s">
        <v>571</v>
      </c>
      <c r="B618" s="158">
        <v>3.0</v>
      </c>
      <c r="C618" s="157" t="s">
        <v>1215</v>
      </c>
      <c r="D618" s="157" t="s">
        <v>2113</v>
      </c>
      <c r="E618" s="157" t="s">
        <v>2114</v>
      </c>
      <c r="F618" s="157" t="s">
        <v>2115</v>
      </c>
      <c r="G618" s="157" t="s">
        <v>2116</v>
      </c>
      <c r="H618" s="157"/>
      <c r="I618" s="158">
        <v>22.911998</v>
      </c>
      <c r="J618" s="158">
        <v>56.314417</v>
      </c>
      <c r="K618" s="157" t="s">
        <v>2117</v>
      </c>
      <c r="L618" s="157" t="s">
        <v>648</v>
      </c>
      <c r="M618" s="158">
        <v>2022.0</v>
      </c>
      <c r="N618" s="157" t="s">
        <v>114</v>
      </c>
      <c r="O618" s="157" t="s">
        <v>2118</v>
      </c>
      <c r="P618" s="161" t="b">
        <v>1</v>
      </c>
      <c r="Q618" s="158">
        <v>0.982</v>
      </c>
      <c r="R618" s="158">
        <v>0.044199265</v>
      </c>
      <c r="S618" s="158">
        <v>0.937800735</v>
      </c>
      <c r="T618" s="157" t="s">
        <v>114</v>
      </c>
      <c r="U618" s="46" t="s">
        <v>651</v>
      </c>
      <c r="V618" s="46" t="b">
        <v>1</v>
      </c>
      <c r="W618" s="46">
        <v>0.95</v>
      </c>
      <c r="X618" s="46">
        <v>0.04198930175</v>
      </c>
      <c r="Y618" s="46">
        <v>41.2821868825011</v>
      </c>
      <c r="Z618" s="46" t="b">
        <v>1</v>
      </c>
      <c r="AA618" s="46" t="b">
        <v>1</v>
      </c>
    </row>
    <row r="619">
      <c r="A619" s="157" t="s">
        <v>557</v>
      </c>
      <c r="B619" s="158">
        <v>6.0</v>
      </c>
      <c r="C619" s="157" t="s">
        <v>659</v>
      </c>
      <c r="D619" s="157" t="s">
        <v>717</v>
      </c>
      <c r="E619" s="157" t="s">
        <v>718</v>
      </c>
      <c r="F619" s="162" t="s">
        <v>2119</v>
      </c>
      <c r="G619" s="157" t="s">
        <v>2120</v>
      </c>
      <c r="H619" s="157"/>
      <c r="I619" s="158">
        <v>6.6530059121098</v>
      </c>
      <c r="J619" s="158">
        <v>50.7065918471057</v>
      </c>
      <c r="K619" s="157" t="s">
        <v>2121</v>
      </c>
      <c r="L619" s="157" t="s">
        <v>648</v>
      </c>
      <c r="M619" s="158">
        <v>2022.0</v>
      </c>
      <c r="N619" s="157" t="s">
        <v>123</v>
      </c>
      <c r="O619" s="157" t="s">
        <v>722</v>
      </c>
      <c r="P619" s="161" t="b">
        <v>1</v>
      </c>
      <c r="Q619" s="158">
        <v>0.198</v>
      </c>
      <c r="R619" s="158">
        <v>0.044</v>
      </c>
      <c r="S619" s="158">
        <v>0.154</v>
      </c>
      <c r="T619" s="157" t="s">
        <v>123</v>
      </c>
      <c r="U619" s="46" t="s">
        <v>651</v>
      </c>
      <c r="V619" s="46" t="b">
        <v>1</v>
      </c>
      <c r="W619" s="46">
        <v>0.95</v>
      </c>
      <c r="X619" s="46">
        <v>0.0418</v>
      </c>
      <c r="Y619" s="46">
        <v>19.1281294874379</v>
      </c>
      <c r="Z619" s="46" t="b">
        <v>1</v>
      </c>
      <c r="AA619" s="46" t="b">
        <v>1</v>
      </c>
    </row>
    <row r="620">
      <c r="A620" s="157" t="s">
        <v>556</v>
      </c>
      <c r="B620" s="158">
        <v>1.0</v>
      </c>
      <c r="C620" s="157" t="s">
        <v>642</v>
      </c>
      <c r="D620" s="157" t="s">
        <v>643</v>
      </c>
      <c r="E620" s="157" t="s">
        <v>644</v>
      </c>
      <c r="F620" s="157" t="s">
        <v>2122</v>
      </c>
      <c r="G620" s="157" t="s">
        <v>2123</v>
      </c>
      <c r="H620" s="157"/>
      <c r="I620" s="158">
        <v>6.03856</v>
      </c>
      <c r="J620" s="158">
        <v>48.8827</v>
      </c>
      <c r="K620" s="157" t="s">
        <v>2124</v>
      </c>
      <c r="L620" s="157" t="s">
        <v>648</v>
      </c>
      <c r="M620" s="158">
        <v>2022.0</v>
      </c>
      <c r="N620" s="157" t="s">
        <v>649</v>
      </c>
      <c r="O620" s="157" t="s">
        <v>650</v>
      </c>
      <c r="P620" s="161" t="b">
        <v>0</v>
      </c>
      <c r="Q620" s="158">
        <v>0.604</v>
      </c>
      <c r="R620" s="158">
        <v>0.043805944</v>
      </c>
      <c r="S620" s="158">
        <v>0.560194056</v>
      </c>
      <c r="T620" s="157" t="s">
        <v>594</v>
      </c>
      <c r="U620" s="46" t="s">
        <v>651</v>
      </c>
      <c r="V620" s="46" t="b">
        <v>1</v>
      </c>
      <c r="W620" s="46">
        <v>0.95</v>
      </c>
      <c r="X620" s="46">
        <v>0.0416156467999999</v>
      </c>
      <c r="Y620" s="46">
        <v>64.4323964898857</v>
      </c>
      <c r="Z620" s="46" t="b">
        <v>0</v>
      </c>
      <c r="AA620" s="46" t="b">
        <v>1</v>
      </c>
    </row>
    <row r="621">
      <c r="A621" s="157" t="s">
        <v>579</v>
      </c>
      <c r="B621" s="158">
        <v>6.0</v>
      </c>
      <c r="C621" s="157" t="s">
        <v>659</v>
      </c>
      <c r="D621" s="157" t="s">
        <v>717</v>
      </c>
      <c r="E621" s="157" t="s">
        <v>718</v>
      </c>
      <c r="F621" s="157" t="s">
        <v>2125</v>
      </c>
      <c r="G621" s="157" t="s">
        <v>2126</v>
      </c>
      <c r="H621" s="157"/>
      <c r="I621" s="158">
        <v>18.41069</v>
      </c>
      <c r="J621" s="158">
        <v>45.68608</v>
      </c>
      <c r="K621" s="157" t="s">
        <v>2127</v>
      </c>
      <c r="L621" s="157" t="s">
        <v>648</v>
      </c>
      <c r="M621" s="158">
        <v>2021.0</v>
      </c>
      <c r="N621" s="157" t="s">
        <v>123</v>
      </c>
      <c r="O621" s="157" t="s">
        <v>722</v>
      </c>
      <c r="P621" s="161" t="b">
        <v>1</v>
      </c>
      <c r="Q621" s="158">
        <v>0.101</v>
      </c>
      <c r="R621" s="158">
        <v>0.043702301</v>
      </c>
      <c r="S621" s="158">
        <v>0.057297699</v>
      </c>
      <c r="T621" s="157" t="s">
        <v>123</v>
      </c>
      <c r="U621" s="46" t="s">
        <v>651</v>
      </c>
      <c r="V621" s="46" t="b">
        <v>1</v>
      </c>
      <c r="W621" s="46">
        <v>0.95</v>
      </c>
      <c r="X621" s="46">
        <v>0.04151718595</v>
      </c>
      <c r="Y621" s="46">
        <v>7.46441123736192</v>
      </c>
      <c r="Z621" s="46" t="b">
        <v>1</v>
      </c>
      <c r="AA621" s="46" t="b">
        <v>1</v>
      </c>
    </row>
    <row r="622">
      <c r="A622" s="157" t="s">
        <v>566</v>
      </c>
      <c r="B622" s="158">
        <v>1.0</v>
      </c>
      <c r="C622" s="157" t="s">
        <v>642</v>
      </c>
      <c r="D622" s="157" t="s">
        <v>643</v>
      </c>
      <c r="E622" s="157" t="s">
        <v>644</v>
      </c>
      <c r="F622" s="157" t="s">
        <v>2128</v>
      </c>
      <c r="G622" s="157" t="s">
        <v>2129</v>
      </c>
      <c r="H622" s="157"/>
      <c r="I622" s="158">
        <v>14.52527714</v>
      </c>
      <c r="J622" s="158">
        <v>53.39111328</v>
      </c>
      <c r="K622" s="157" t="s">
        <v>1595</v>
      </c>
      <c r="L622" s="157" t="s">
        <v>648</v>
      </c>
      <c r="M622" s="158">
        <v>2022.0</v>
      </c>
      <c r="N622" s="157" t="s">
        <v>649</v>
      </c>
      <c r="O622" s="157" t="s">
        <v>650</v>
      </c>
      <c r="P622" s="161" t="b">
        <v>0</v>
      </c>
      <c r="Q622" s="158">
        <v>0.601</v>
      </c>
      <c r="R622" s="158">
        <v>0.043588365</v>
      </c>
      <c r="S622" s="158">
        <v>0.557411635</v>
      </c>
      <c r="T622" s="157" t="s">
        <v>594</v>
      </c>
      <c r="U622" s="46" t="s">
        <v>651</v>
      </c>
      <c r="V622" s="46" t="b">
        <v>1</v>
      </c>
      <c r="W622" s="46">
        <v>0.95</v>
      </c>
      <c r="X622" s="46">
        <v>0.0414089467499999</v>
      </c>
      <c r="Y622" s="46">
        <v>87.5871112498676</v>
      </c>
      <c r="Z622" s="46" t="b">
        <v>0</v>
      </c>
      <c r="AA622" s="46" t="b">
        <v>1</v>
      </c>
    </row>
    <row r="623">
      <c r="A623" s="157" t="s">
        <v>572</v>
      </c>
      <c r="B623" s="158">
        <v>1.0</v>
      </c>
      <c r="C623" s="157" t="s">
        <v>642</v>
      </c>
      <c r="D623" s="157" t="s">
        <v>643</v>
      </c>
      <c r="E623" s="157" t="s">
        <v>644</v>
      </c>
      <c r="F623" s="157" t="s">
        <v>2130</v>
      </c>
      <c r="G623" s="157" t="s">
        <v>2131</v>
      </c>
      <c r="H623" s="157"/>
      <c r="I623" s="158">
        <v>22.9489</v>
      </c>
      <c r="J623" s="158">
        <v>38.23702</v>
      </c>
      <c r="K623" s="157" t="s">
        <v>2132</v>
      </c>
      <c r="L623" s="157" t="s">
        <v>648</v>
      </c>
      <c r="M623" s="158">
        <v>2022.0</v>
      </c>
      <c r="N623" s="157" t="s">
        <v>649</v>
      </c>
      <c r="O623" s="157" t="s">
        <v>650</v>
      </c>
      <c r="P623" s="161" t="b">
        <v>0</v>
      </c>
      <c r="Q623" s="158">
        <v>0.596</v>
      </c>
      <c r="R623" s="158">
        <v>0.043225733</v>
      </c>
      <c r="S623" s="158">
        <v>0.552774267</v>
      </c>
      <c r="T623" s="157" t="s">
        <v>594</v>
      </c>
      <c r="U623" s="46" t="s">
        <v>651</v>
      </c>
      <c r="V623" s="46" t="b">
        <v>1</v>
      </c>
      <c r="W623" s="46">
        <v>0.95</v>
      </c>
      <c r="X623" s="46">
        <v>0.04106444635</v>
      </c>
      <c r="Y623" s="46">
        <v>33.4192205959124</v>
      </c>
      <c r="Z623" s="46" t="b">
        <v>1</v>
      </c>
      <c r="AA623" s="46" t="b">
        <v>1</v>
      </c>
    </row>
    <row r="624">
      <c r="A624" s="157" t="s">
        <v>572</v>
      </c>
      <c r="B624" s="158">
        <v>1.0</v>
      </c>
      <c r="C624" s="157" t="s">
        <v>642</v>
      </c>
      <c r="D624" s="157" t="s">
        <v>643</v>
      </c>
      <c r="E624" s="157" t="s">
        <v>644</v>
      </c>
      <c r="F624" s="157" t="s">
        <v>2133</v>
      </c>
      <c r="G624" s="157" t="s">
        <v>2134</v>
      </c>
      <c r="H624" s="157"/>
      <c r="I624" s="158">
        <v>25.05117</v>
      </c>
      <c r="J624" s="158">
        <v>35.34118</v>
      </c>
      <c r="K624" s="157" t="s">
        <v>2135</v>
      </c>
      <c r="L624" s="157" t="s">
        <v>648</v>
      </c>
      <c r="M624" s="158">
        <v>2022.0</v>
      </c>
      <c r="N624" s="157" t="s">
        <v>649</v>
      </c>
      <c r="O624" s="157" t="s">
        <v>650</v>
      </c>
      <c r="P624" s="161" t="b">
        <v>0</v>
      </c>
      <c r="Q624" s="158">
        <v>0.594</v>
      </c>
      <c r="R624" s="158">
        <v>0.04308068</v>
      </c>
      <c r="S624" s="158">
        <v>0.55091932</v>
      </c>
      <c r="T624" s="157" t="s">
        <v>594</v>
      </c>
      <c r="U624" s="46" t="s">
        <v>651</v>
      </c>
      <c r="V624" s="46" t="b">
        <v>1</v>
      </c>
      <c r="W624" s="46">
        <v>0.95</v>
      </c>
      <c r="X624" s="46">
        <v>0.040926646</v>
      </c>
      <c r="Y624" s="46" t="s">
        <v>640</v>
      </c>
      <c r="Z624" s="46" t="b">
        <v>0</v>
      </c>
      <c r="AA624" s="46" t="b">
        <v>0</v>
      </c>
    </row>
    <row r="625">
      <c r="A625" s="157" t="s">
        <v>566</v>
      </c>
      <c r="B625" s="158">
        <v>1.0</v>
      </c>
      <c r="C625" s="157" t="s">
        <v>642</v>
      </c>
      <c r="D625" s="157" t="s">
        <v>643</v>
      </c>
      <c r="E625" s="157" t="s">
        <v>644</v>
      </c>
      <c r="F625" s="157" t="s">
        <v>2136</v>
      </c>
      <c r="G625" s="157" t="s">
        <v>2137</v>
      </c>
      <c r="H625" s="157"/>
      <c r="I625" s="158">
        <v>19.2294445</v>
      </c>
      <c r="J625" s="158">
        <v>50.21416855</v>
      </c>
      <c r="K625" s="157" t="s">
        <v>949</v>
      </c>
      <c r="L625" s="157" t="s">
        <v>648</v>
      </c>
      <c r="M625" s="158">
        <v>2022.0</v>
      </c>
      <c r="N625" s="157" t="s">
        <v>649</v>
      </c>
      <c r="O625" s="157" t="s">
        <v>650</v>
      </c>
      <c r="P625" s="161" t="b">
        <v>0</v>
      </c>
      <c r="Q625" s="158">
        <v>0.592</v>
      </c>
      <c r="R625" s="158">
        <v>0.042935627</v>
      </c>
      <c r="S625" s="158">
        <v>0.549064373</v>
      </c>
      <c r="T625" s="157" t="s">
        <v>594</v>
      </c>
      <c r="U625" s="46" t="s">
        <v>651</v>
      </c>
      <c r="V625" s="46" t="b">
        <v>1</v>
      </c>
      <c r="W625" s="46">
        <v>0.95</v>
      </c>
      <c r="X625" s="46">
        <v>0.0407888456499999</v>
      </c>
      <c r="Y625" s="46" t="s">
        <v>640</v>
      </c>
      <c r="Z625" s="46" t="b">
        <v>0</v>
      </c>
      <c r="AA625" s="46" t="b">
        <v>0</v>
      </c>
    </row>
    <row r="626">
      <c r="A626" s="157" t="s">
        <v>561</v>
      </c>
      <c r="B626" s="158">
        <v>1.0</v>
      </c>
      <c r="C626" s="157" t="s">
        <v>642</v>
      </c>
      <c r="D626" s="157" t="s">
        <v>643</v>
      </c>
      <c r="E626" s="157" t="s">
        <v>644</v>
      </c>
      <c r="F626" s="157" t="s">
        <v>2138</v>
      </c>
      <c r="G626" s="157" t="s">
        <v>2139</v>
      </c>
      <c r="H626" s="157"/>
      <c r="I626" s="158">
        <v>-5.391</v>
      </c>
      <c r="J626" s="158">
        <v>36.185</v>
      </c>
      <c r="K626" s="157" t="s">
        <v>1564</v>
      </c>
      <c r="L626" s="157" t="s">
        <v>648</v>
      </c>
      <c r="M626" s="158">
        <v>2022.0</v>
      </c>
      <c r="N626" s="157" t="s">
        <v>649</v>
      </c>
      <c r="O626" s="157" t="s">
        <v>650</v>
      </c>
      <c r="P626" s="161" t="b">
        <v>0</v>
      </c>
      <c r="Q626" s="158">
        <v>0.591</v>
      </c>
      <c r="R626" s="158">
        <v>0.042863101</v>
      </c>
      <c r="S626" s="158">
        <v>0.548136899</v>
      </c>
      <c r="T626" s="157" t="s">
        <v>594</v>
      </c>
      <c r="U626" s="46" t="s">
        <v>651</v>
      </c>
      <c r="V626" s="46" t="b">
        <v>1</v>
      </c>
      <c r="W626" s="46">
        <v>0.95</v>
      </c>
      <c r="X626" s="46">
        <v>0.0407199459499999</v>
      </c>
      <c r="Y626" s="46" t="s">
        <v>640</v>
      </c>
      <c r="Z626" s="46" t="b">
        <v>0</v>
      </c>
      <c r="AA626" s="46" t="b">
        <v>0</v>
      </c>
    </row>
    <row r="627">
      <c r="A627" s="157" t="s">
        <v>562</v>
      </c>
      <c r="B627" s="158">
        <v>1.0</v>
      </c>
      <c r="C627" s="157" t="s">
        <v>642</v>
      </c>
      <c r="D627" s="157" t="s">
        <v>643</v>
      </c>
      <c r="E627" s="157" t="s">
        <v>644</v>
      </c>
      <c r="F627" s="162" t="s">
        <v>2140</v>
      </c>
      <c r="G627" s="157" t="s">
        <v>2141</v>
      </c>
      <c r="H627" s="157"/>
      <c r="I627" s="158">
        <v>4.30104</v>
      </c>
      <c r="J627" s="158">
        <v>50.80405</v>
      </c>
      <c r="K627" s="157" t="s">
        <v>2142</v>
      </c>
      <c r="L627" s="157" t="s">
        <v>648</v>
      </c>
      <c r="M627" s="158">
        <v>2022.0</v>
      </c>
      <c r="N627" s="157" t="s">
        <v>649</v>
      </c>
      <c r="O627" s="157" t="s">
        <v>650</v>
      </c>
      <c r="P627" s="161" t="b">
        <v>0</v>
      </c>
      <c r="Q627" s="158">
        <v>0.587</v>
      </c>
      <c r="R627" s="158">
        <v>0.042572995</v>
      </c>
      <c r="S627" s="158">
        <v>0.544427005</v>
      </c>
      <c r="T627" s="157" t="s">
        <v>594</v>
      </c>
      <c r="U627" s="46" t="s">
        <v>651</v>
      </c>
      <c r="V627" s="46" t="b">
        <v>1</v>
      </c>
      <c r="W627" s="46">
        <v>0.95</v>
      </c>
      <c r="X627" s="46">
        <v>0.04044434525</v>
      </c>
      <c r="Y627" s="46">
        <v>0.0520951859520941</v>
      </c>
      <c r="Z627" s="46" t="b">
        <v>1</v>
      </c>
      <c r="AA627" s="46" t="b">
        <v>1</v>
      </c>
    </row>
    <row r="628">
      <c r="A628" s="157" t="s">
        <v>569</v>
      </c>
      <c r="B628" s="158">
        <v>1.0</v>
      </c>
      <c r="C628" s="157" t="s">
        <v>642</v>
      </c>
      <c r="D628" s="157" t="s">
        <v>643</v>
      </c>
      <c r="E628" s="157" t="s">
        <v>644</v>
      </c>
      <c r="F628" s="157" t="s">
        <v>2143</v>
      </c>
      <c r="G628" s="157" t="s">
        <v>2144</v>
      </c>
      <c r="H628" s="157"/>
      <c r="I628" s="158">
        <v>19.051854</v>
      </c>
      <c r="J628" s="158">
        <v>47.428174</v>
      </c>
      <c r="K628" s="157" t="s">
        <v>2145</v>
      </c>
      <c r="L628" s="157" t="s">
        <v>648</v>
      </c>
      <c r="M628" s="158">
        <v>2022.0</v>
      </c>
      <c r="N628" s="157" t="s">
        <v>649</v>
      </c>
      <c r="O628" s="157" t="s">
        <v>650</v>
      </c>
      <c r="P628" s="161" t="b">
        <v>0</v>
      </c>
      <c r="Q628" s="158">
        <v>0.585614</v>
      </c>
      <c r="R628" s="158">
        <v>0.042472474</v>
      </c>
      <c r="S628" s="158">
        <v>0.543141526</v>
      </c>
      <c r="T628" s="157" t="s">
        <v>594</v>
      </c>
      <c r="U628" s="46" t="s">
        <v>651</v>
      </c>
      <c r="V628" s="46" t="b">
        <v>1</v>
      </c>
      <c r="W628" s="46">
        <v>0.95</v>
      </c>
      <c r="X628" s="46">
        <v>0.0403488503</v>
      </c>
      <c r="Y628" s="46" t="s">
        <v>640</v>
      </c>
      <c r="Z628" s="46" t="b">
        <v>0</v>
      </c>
      <c r="AA628" s="46" t="b">
        <v>0</v>
      </c>
    </row>
    <row r="629">
      <c r="A629" s="157" t="s">
        <v>562</v>
      </c>
      <c r="B629" s="158">
        <v>1.0</v>
      </c>
      <c r="C629" s="157" t="s">
        <v>642</v>
      </c>
      <c r="D629" s="157" t="s">
        <v>643</v>
      </c>
      <c r="E629" s="157" t="s">
        <v>644</v>
      </c>
      <c r="F629" s="162" t="s">
        <v>2146</v>
      </c>
      <c r="G629" s="157" t="s">
        <v>2147</v>
      </c>
      <c r="H629" s="157"/>
      <c r="I629" s="158">
        <v>4.2669</v>
      </c>
      <c r="J629" s="158">
        <v>51.36912</v>
      </c>
      <c r="K629" s="157" t="s">
        <v>2148</v>
      </c>
      <c r="L629" s="157" t="s">
        <v>648</v>
      </c>
      <c r="M629" s="158">
        <v>2022.0</v>
      </c>
      <c r="N629" s="157" t="s">
        <v>649</v>
      </c>
      <c r="O629" s="157" t="s">
        <v>650</v>
      </c>
      <c r="P629" s="161" t="b">
        <v>0</v>
      </c>
      <c r="Q629" s="158">
        <v>0.577</v>
      </c>
      <c r="R629" s="158">
        <v>0.041847731</v>
      </c>
      <c r="S629" s="158">
        <v>0.535152269</v>
      </c>
      <c r="T629" s="157" t="s">
        <v>594</v>
      </c>
      <c r="U629" s="46" t="s">
        <v>651</v>
      </c>
      <c r="V629" s="46" t="b">
        <v>1</v>
      </c>
      <c r="W629" s="46">
        <v>0.95</v>
      </c>
      <c r="X629" s="46">
        <v>0.03975534445</v>
      </c>
      <c r="Y629" s="46">
        <v>7.16760246473447</v>
      </c>
      <c r="Z629" s="46" t="b">
        <v>1</v>
      </c>
      <c r="AA629" s="46" t="b">
        <v>1</v>
      </c>
    </row>
    <row r="630">
      <c r="A630" s="157" t="s">
        <v>571</v>
      </c>
      <c r="B630" s="158">
        <v>1.0</v>
      </c>
      <c r="C630" s="157" t="s">
        <v>642</v>
      </c>
      <c r="D630" s="157" t="s">
        <v>643</v>
      </c>
      <c r="E630" s="157" t="s">
        <v>644</v>
      </c>
      <c r="F630" s="157" t="s">
        <v>2149</v>
      </c>
      <c r="G630" s="157" t="s">
        <v>2150</v>
      </c>
      <c r="H630" s="157"/>
      <c r="I630" s="158">
        <v>25.235239</v>
      </c>
      <c r="J630" s="158">
        <v>54.665707</v>
      </c>
      <c r="K630" s="157" t="s">
        <v>2036</v>
      </c>
      <c r="L630" s="157" t="s">
        <v>648</v>
      </c>
      <c r="M630" s="158">
        <v>2022.0</v>
      </c>
      <c r="N630" s="157" t="s">
        <v>649</v>
      </c>
      <c r="O630" s="157" t="s">
        <v>650</v>
      </c>
      <c r="P630" s="161" t="b">
        <v>0</v>
      </c>
      <c r="Q630" s="158">
        <v>0.576</v>
      </c>
      <c r="R630" s="158">
        <v>0.041775205</v>
      </c>
      <c r="S630" s="158">
        <v>0.534224795</v>
      </c>
      <c r="T630" s="157" t="s">
        <v>594</v>
      </c>
      <c r="U630" s="46" t="s">
        <v>651</v>
      </c>
      <c r="V630" s="46" t="b">
        <v>1</v>
      </c>
      <c r="W630" s="46">
        <v>0.95</v>
      </c>
      <c r="X630" s="46">
        <v>0.03968644475</v>
      </c>
      <c r="Y630" s="46" t="s">
        <v>640</v>
      </c>
      <c r="Z630" s="46" t="b">
        <v>0</v>
      </c>
      <c r="AA630" s="46" t="b">
        <v>0</v>
      </c>
    </row>
    <row r="631">
      <c r="A631" s="157" t="s">
        <v>556</v>
      </c>
      <c r="B631" s="158">
        <v>1.0</v>
      </c>
      <c r="C631" s="157" t="s">
        <v>642</v>
      </c>
      <c r="D631" s="157" t="s">
        <v>643</v>
      </c>
      <c r="E631" s="157" t="s">
        <v>644</v>
      </c>
      <c r="F631" s="157" t="s">
        <v>2151</v>
      </c>
      <c r="G631" s="157" t="s">
        <v>2152</v>
      </c>
      <c r="H631" s="157"/>
      <c r="I631" s="158">
        <v>4.94425</v>
      </c>
      <c r="J631" s="158">
        <v>43.4368</v>
      </c>
      <c r="K631" s="157" t="s">
        <v>1000</v>
      </c>
      <c r="L631" s="157" t="s">
        <v>648</v>
      </c>
      <c r="M631" s="158">
        <v>2022.0</v>
      </c>
      <c r="N631" s="157" t="s">
        <v>649</v>
      </c>
      <c r="O631" s="157" t="s">
        <v>650</v>
      </c>
      <c r="P631" s="161" t="b">
        <v>0</v>
      </c>
      <c r="Q631" s="158">
        <v>0.574</v>
      </c>
      <c r="R631" s="158">
        <v>0.041630152</v>
      </c>
      <c r="S631" s="158">
        <v>0.532369848</v>
      </c>
      <c r="T631" s="157" t="s">
        <v>594</v>
      </c>
      <c r="U631" s="46" t="s">
        <v>651</v>
      </c>
      <c r="V631" s="46" t="b">
        <v>1</v>
      </c>
      <c r="W631" s="46">
        <v>0.95</v>
      </c>
      <c r="X631" s="46">
        <v>0.0395486443999999</v>
      </c>
      <c r="Y631" s="46">
        <v>20.15499008238</v>
      </c>
      <c r="Z631" s="46" t="b">
        <v>1</v>
      </c>
      <c r="AA631" s="46" t="b">
        <v>1</v>
      </c>
    </row>
    <row r="632">
      <c r="A632" s="157" t="s">
        <v>562</v>
      </c>
      <c r="B632" s="158">
        <v>1.0</v>
      </c>
      <c r="C632" s="157" t="s">
        <v>642</v>
      </c>
      <c r="D632" s="157" t="s">
        <v>643</v>
      </c>
      <c r="E632" s="157" t="s">
        <v>644</v>
      </c>
      <c r="F632" s="157" t="s">
        <v>2153</v>
      </c>
      <c r="G632" s="157" t="s">
        <v>2154</v>
      </c>
      <c r="H632" s="157"/>
      <c r="I632" s="158">
        <v>4.433236</v>
      </c>
      <c r="J632" s="158">
        <v>50.40981</v>
      </c>
      <c r="K632" s="157" t="s">
        <v>2155</v>
      </c>
      <c r="L632" s="157" t="s">
        <v>648</v>
      </c>
      <c r="M632" s="158">
        <v>2022.0</v>
      </c>
      <c r="N632" s="157" t="s">
        <v>649</v>
      </c>
      <c r="O632" s="157" t="s">
        <v>650</v>
      </c>
      <c r="P632" s="161" t="b">
        <v>0</v>
      </c>
      <c r="Q632" s="158">
        <v>0.568</v>
      </c>
      <c r="R632" s="158">
        <v>0.041194994</v>
      </c>
      <c r="S632" s="158">
        <v>0.526805006</v>
      </c>
      <c r="T632" s="157" t="s">
        <v>594</v>
      </c>
      <c r="U632" s="46" t="s">
        <v>651</v>
      </c>
      <c r="V632" s="46" t="b">
        <v>1</v>
      </c>
      <c r="W632" s="46">
        <v>0.95</v>
      </c>
      <c r="X632" s="46">
        <v>0.0391352443</v>
      </c>
      <c r="Y632" s="46">
        <v>5.34614426928039</v>
      </c>
      <c r="Z632" s="46" t="b">
        <v>1</v>
      </c>
      <c r="AA632" s="46" t="b">
        <v>1</v>
      </c>
    </row>
    <row r="633">
      <c r="A633" s="157" t="s">
        <v>559</v>
      </c>
      <c r="B633" s="158">
        <v>3.0</v>
      </c>
      <c r="C633" s="157" t="s">
        <v>1215</v>
      </c>
      <c r="D633" s="157" t="s">
        <v>1216</v>
      </c>
      <c r="E633" s="157" t="s">
        <v>1217</v>
      </c>
      <c r="F633" s="157" t="s">
        <v>2156</v>
      </c>
      <c r="G633" s="157" t="s">
        <v>2157</v>
      </c>
      <c r="H633" s="157"/>
      <c r="I633" s="158">
        <v>10.3444</v>
      </c>
      <c r="J633" s="158">
        <v>45.5153</v>
      </c>
      <c r="K633" s="157" t="s">
        <v>2158</v>
      </c>
      <c r="L633" s="157" t="s">
        <v>648</v>
      </c>
      <c r="M633" s="158">
        <v>2022.0</v>
      </c>
      <c r="N633" s="157" t="s">
        <v>114</v>
      </c>
      <c r="O633" s="157" t="s">
        <v>1221</v>
      </c>
      <c r="P633" s="161" t="b">
        <v>1</v>
      </c>
      <c r="Q633" s="158">
        <v>0.898887</v>
      </c>
      <c r="R633" s="158">
        <v>0.040933323</v>
      </c>
      <c r="S633" s="158">
        <v>0.857953677</v>
      </c>
      <c r="T633" s="157" t="s">
        <v>114</v>
      </c>
      <c r="U633" s="46" t="s">
        <v>651</v>
      </c>
      <c r="V633" s="46" t="b">
        <v>1</v>
      </c>
      <c r="W633" s="46">
        <v>0.95</v>
      </c>
      <c r="X633" s="46">
        <v>0.03888665685</v>
      </c>
      <c r="Y633" s="46">
        <v>11.0971874627296</v>
      </c>
      <c r="Z633" s="46" t="b">
        <v>1</v>
      </c>
      <c r="AA633" s="46" t="b">
        <v>1</v>
      </c>
    </row>
    <row r="634">
      <c r="A634" s="157" t="s">
        <v>572</v>
      </c>
      <c r="B634" s="158">
        <v>1.0</v>
      </c>
      <c r="C634" s="157" t="s">
        <v>642</v>
      </c>
      <c r="D634" s="157" t="s">
        <v>643</v>
      </c>
      <c r="E634" s="157" t="s">
        <v>644</v>
      </c>
      <c r="F634" s="157" t="s">
        <v>2159</v>
      </c>
      <c r="G634" s="157" t="s">
        <v>2160</v>
      </c>
      <c r="H634" s="157"/>
      <c r="I634" s="158">
        <v>24.05234</v>
      </c>
      <c r="J634" s="158">
        <v>38.38992</v>
      </c>
      <c r="K634" s="157" t="s">
        <v>2161</v>
      </c>
      <c r="L634" s="157" t="s">
        <v>648</v>
      </c>
      <c r="M634" s="158">
        <v>2022.0</v>
      </c>
      <c r="N634" s="157" t="s">
        <v>649</v>
      </c>
      <c r="O634" s="157" t="s">
        <v>650</v>
      </c>
      <c r="P634" s="161" t="b">
        <v>0</v>
      </c>
      <c r="Q634" s="158">
        <v>0.558</v>
      </c>
      <c r="R634" s="158">
        <v>0.04046973</v>
      </c>
      <c r="S634" s="158">
        <v>0.51753027</v>
      </c>
      <c r="T634" s="157" t="s">
        <v>594</v>
      </c>
      <c r="U634" s="46" t="s">
        <v>651</v>
      </c>
      <c r="V634" s="46" t="b">
        <v>1</v>
      </c>
      <c r="W634" s="46">
        <v>0.95</v>
      </c>
      <c r="X634" s="46">
        <v>0.0384462435</v>
      </c>
      <c r="Y634" s="46">
        <v>14.1210541631687</v>
      </c>
      <c r="Z634" s="46" t="b">
        <v>1</v>
      </c>
      <c r="AA634" s="46" t="b">
        <v>1</v>
      </c>
    </row>
    <row r="635">
      <c r="A635" s="157" t="s">
        <v>572</v>
      </c>
      <c r="B635" s="158">
        <v>1.0</v>
      </c>
      <c r="C635" s="157" t="s">
        <v>642</v>
      </c>
      <c r="D635" s="157" t="s">
        <v>643</v>
      </c>
      <c r="E635" s="157" t="s">
        <v>644</v>
      </c>
      <c r="F635" s="157" t="s">
        <v>2162</v>
      </c>
      <c r="G635" s="157" t="s">
        <v>2163</v>
      </c>
      <c r="H635" s="157"/>
      <c r="I635" s="158">
        <v>25.48961</v>
      </c>
      <c r="J635" s="158">
        <v>41.06447</v>
      </c>
      <c r="K635" s="157" t="s">
        <v>2164</v>
      </c>
      <c r="L635" s="157" t="s">
        <v>648</v>
      </c>
      <c r="M635" s="158">
        <v>2022.0</v>
      </c>
      <c r="N635" s="157" t="s">
        <v>649</v>
      </c>
      <c r="O635" s="157" t="s">
        <v>650</v>
      </c>
      <c r="P635" s="161" t="b">
        <v>0</v>
      </c>
      <c r="Q635" s="158">
        <v>0.558</v>
      </c>
      <c r="R635" s="158">
        <v>0.04046973</v>
      </c>
      <c r="S635" s="158">
        <v>0.51753027</v>
      </c>
      <c r="T635" s="157" t="s">
        <v>594</v>
      </c>
      <c r="U635" s="46" t="s">
        <v>651</v>
      </c>
      <c r="V635" s="46" t="b">
        <v>1</v>
      </c>
      <c r="W635" s="46">
        <v>0.95</v>
      </c>
      <c r="X635" s="46">
        <v>0.0384462435</v>
      </c>
      <c r="Y635" s="46" t="s">
        <v>640</v>
      </c>
      <c r="Z635" s="46" t="b">
        <v>0</v>
      </c>
      <c r="AA635" s="46" t="b">
        <v>0</v>
      </c>
    </row>
    <row r="636">
      <c r="A636" s="157" t="s">
        <v>560</v>
      </c>
      <c r="B636" s="158">
        <v>1.0</v>
      </c>
      <c r="C636" s="157" t="s">
        <v>642</v>
      </c>
      <c r="D636" s="157" t="s">
        <v>643</v>
      </c>
      <c r="E636" s="157" t="s">
        <v>644</v>
      </c>
      <c r="F636" s="157" t="s">
        <v>2165</v>
      </c>
      <c r="G636" s="157" t="s">
        <v>2166</v>
      </c>
      <c r="H636" s="157"/>
      <c r="I636" s="158">
        <v>14.323611</v>
      </c>
      <c r="J636" s="158">
        <v>48.298889</v>
      </c>
      <c r="K636" s="157" t="s">
        <v>2167</v>
      </c>
      <c r="L636" s="157" t="s">
        <v>648</v>
      </c>
      <c r="M636" s="158">
        <v>2022.0</v>
      </c>
      <c r="N636" s="157" t="s">
        <v>649</v>
      </c>
      <c r="O636" s="157" t="s">
        <v>650</v>
      </c>
      <c r="P636" s="161" t="b">
        <v>0</v>
      </c>
      <c r="Q636" s="158">
        <v>0.552</v>
      </c>
      <c r="R636" s="158">
        <v>0.040034571</v>
      </c>
      <c r="S636" s="158">
        <v>0.511965429</v>
      </c>
      <c r="T636" s="157" t="s">
        <v>594</v>
      </c>
      <c r="U636" s="46" t="s">
        <v>651</v>
      </c>
      <c r="V636" s="46" t="b">
        <v>1</v>
      </c>
      <c r="W636" s="46">
        <v>0.95</v>
      </c>
      <c r="X636" s="46">
        <v>0.0380328424499999</v>
      </c>
      <c r="Y636" s="46">
        <v>56.8610570800108</v>
      </c>
      <c r="Z636" s="46" t="b">
        <v>0</v>
      </c>
      <c r="AA636" s="46" t="b">
        <v>1</v>
      </c>
    </row>
    <row r="637">
      <c r="A637" s="157" t="s">
        <v>570</v>
      </c>
      <c r="B637" s="158">
        <v>3.0</v>
      </c>
      <c r="C637" s="157" t="s">
        <v>1215</v>
      </c>
      <c r="D637" s="157" t="s">
        <v>1216</v>
      </c>
      <c r="E637" s="157" t="s">
        <v>1217</v>
      </c>
      <c r="F637" s="157" t="s">
        <v>2168</v>
      </c>
      <c r="G637" s="157" t="s">
        <v>2169</v>
      </c>
      <c r="H637" s="157"/>
      <c r="I637" s="158">
        <v>5.68909</v>
      </c>
      <c r="J637" s="158">
        <v>50.81815</v>
      </c>
      <c r="K637" s="157" t="s">
        <v>2170</v>
      </c>
      <c r="L637" s="157" t="s">
        <v>648</v>
      </c>
      <c r="M637" s="158">
        <v>2018.0</v>
      </c>
      <c r="N637" s="157" t="s">
        <v>114</v>
      </c>
      <c r="O637" s="157" t="s">
        <v>1221</v>
      </c>
      <c r="P637" s="161" t="b">
        <v>1</v>
      </c>
      <c r="Q637" s="158">
        <v>0.391</v>
      </c>
      <c r="R637" s="158">
        <v>0.04</v>
      </c>
      <c r="S637" s="158">
        <v>0.351</v>
      </c>
      <c r="T637" s="157" t="s">
        <v>114</v>
      </c>
      <c r="U637" s="46" t="s">
        <v>651</v>
      </c>
      <c r="V637" s="46" t="b">
        <v>1</v>
      </c>
      <c r="W637" s="46">
        <v>0.95</v>
      </c>
      <c r="X637" s="46">
        <v>0.038</v>
      </c>
      <c r="Y637" s="46">
        <v>1.79903006831224</v>
      </c>
      <c r="Z637" s="46" t="b">
        <v>1</v>
      </c>
      <c r="AA637" s="46" t="b">
        <v>1</v>
      </c>
    </row>
    <row r="638">
      <c r="A638" s="157" t="s">
        <v>583</v>
      </c>
      <c r="B638" s="158">
        <v>3.0</v>
      </c>
      <c r="C638" s="157" t="s">
        <v>1215</v>
      </c>
      <c r="D638" s="157" t="s">
        <v>1371</v>
      </c>
      <c r="E638" s="157" t="s">
        <v>1372</v>
      </c>
      <c r="F638" s="157" t="s">
        <v>2171</v>
      </c>
      <c r="G638" s="157" t="s">
        <v>2172</v>
      </c>
      <c r="H638" s="157"/>
      <c r="I638" s="158">
        <v>-7.579216</v>
      </c>
      <c r="J638" s="158">
        <v>54.131276</v>
      </c>
      <c r="K638" s="157" t="s">
        <v>2173</v>
      </c>
      <c r="L638" s="157" t="s">
        <v>648</v>
      </c>
      <c r="M638" s="158">
        <v>2022.0</v>
      </c>
      <c r="N638" s="157" t="s">
        <v>114</v>
      </c>
      <c r="O638" s="157" t="s">
        <v>1376</v>
      </c>
      <c r="P638" s="161" t="b">
        <v>1</v>
      </c>
      <c r="Q638" s="158">
        <v>0.76093952</v>
      </c>
      <c r="R638" s="158">
        <v>0.03977569</v>
      </c>
      <c r="S638" s="158">
        <v>0.72116383</v>
      </c>
      <c r="T638" s="157" t="s">
        <v>114</v>
      </c>
      <c r="U638" s="46" t="s">
        <v>651</v>
      </c>
      <c r="V638" s="46" t="b">
        <v>1</v>
      </c>
      <c r="W638" s="46">
        <v>0.95</v>
      </c>
      <c r="X638" s="46">
        <v>0.0377869055</v>
      </c>
      <c r="Y638" s="46" t="s">
        <v>640</v>
      </c>
      <c r="Z638" s="46" t="b">
        <v>0</v>
      </c>
      <c r="AA638" s="46" t="b">
        <v>0</v>
      </c>
    </row>
    <row r="639">
      <c r="A639" s="157" t="s">
        <v>559</v>
      </c>
      <c r="B639" s="158">
        <v>1.0</v>
      </c>
      <c r="C639" s="157" t="s">
        <v>642</v>
      </c>
      <c r="D639" s="157" t="s">
        <v>643</v>
      </c>
      <c r="E639" s="157" t="s">
        <v>644</v>
      </c>
      <c r="F639" s="157" t="s">
        <v>2174</v>
      </c>
      <c r="G639" s="157" t="s">
        <v>2175</v>
      </c>
      <c r="H639" s="157"/>
      <c r="I639" s="158">
        <v>12.6308</v>
      </c>
      <c r="J639" s="158">
        <v>41.5494</v>
      </c>
      <c r="K639" s="157" t="s">
        <v>2176</v>
      </c>
      <c r="L639" s="157" t="s">
        <v>648</v>
      </c>
      <c r="M639" s="158">
        <v>2022.0</v>
      </c>
      <c r="N639" s="157" t="s">
        <v>649</v>
      </c>
      <c r="O639" s="157" t="s">
        <v>650</v>
      </c>
      <c r="P639" s="161" t="b">
        <v>0</v>
      </c>
      <c r="Q639" s="158">
        <v>0.547518766</v>
      </c>
      <c r="R639" s="158">
        <v>0.039709563</v>
      </c>
      <c r="S639" s="158">
        <v>0.507809202</v>
      </c>
      <c r="T639" s="157" t="s">
        <v>594</v>
      </c>
      <c r="U639" s="46" t="s">
        <v>651</v>
      </c>
      <c r="V639" s="46" t="b">
        <v>1</v>
      </c>
      <c r="W639" s="46">
        <v>0.95</v>
      </c>
      <c r="X639" s="46">
        <v>0.03772408485</v>
      </c>
      <c r="Y639" s="46" t="s">
        <v>640</v>
      </c>
      <c r="Z639" s="46" t="b">
        <v>0</v>
      </c>
      <c r="AA639" s="46" t="b">
        <v>0</v>
      </c>
    </row>
    <row r="640">
      <c r="A640" s="157" t="s">
        <v>584</v>
      </c>
      <c r="B640" s="158">
        <v>1.0</v>
      </c>
      <c r="C640" s="157" t="s">
        <v>642</v>
      </c>
      <c r="D640" s="157" t="s">
        <v>643</v>
      </c>
      <c r="E640" s="157" t="s">
        <v>644</v>
      </c>
      <c r="F640" s="157" t="s">
        <v>2177</v>
      </c>
      <c r="G640" s="157" t="s">
        <v>2178</v>
      </c>
      <c r="H640" s="157"/>
      <c r="I640" s="158">
        <v>14.553715</v>
      </c>
      <c r="J640" s="158">
        <v>35.8338321</v>
      </c>
      <c r="K640" s="157" t="s">
        <v>2179</v>
      </c>
      <c r="L640" s="157" t="s">
        <v>648</v>
      </c>
      <c r="M640" s="158">
        <v>2019.0</v>
      </c>
      <c r="N640" s="157" t="s">
        <v>649</v>
      </c>
      <c r="O640" s="157" t="s">
        <v>650</v>
      </c>
      <c r="P640" s="161" t="b">
        <v>0</v>
      </c>
      <c r="Q640" s="158">
        <v>0.544</v>
      </c>
      <c r="R640" s="158">
        <v>0.03945436</v>
      </c>
      <c r="S640" s="158">
        <v>0.50454564</v>
      </c>
      <c r="T640" s="157" t="s">
        <v>594</v>
      </c>
      <c r="U640" s="46" t="s">
        <v>651</v>
      </c>
      <c r="V640" s="46" t="b">
        <v>1</v>
      </c>
      <c r="W640" s="46">
        <v>0.95</v>
      </c>
      <c r="X640" s="46">
        <v>0.0374816419999999</v>
      </c>
      <c r="Y640" s="46" t="s">
        <v>640</v>
      </c>
      <c r="Z640" s="46" t="b">
        <v>0</v>
      </c>
      <c r="AA640" s="46" t="b">
        <v>0</v>
      </c>
    </row>
    <row r="641">
      <c r="A641" s="157" t="s">
        <v>559</v>
      </c>
      <c r="B641" s="158">
        <v>1.0</v>
      </c>
      <c r="C641" s="157" t="s">
        <v>642</v>
      </c>
      <c r="D641" s="157" t="s">
        <v>643</v>
      </c>
      <c r="E641" s="157" t="s">
        <v>644</v>
      </c>
      <c r="F641" s="157" t="s">
        <v>2180</v>
      </c>
      <c r="G641" s="157" t="s">
        <v>2181</v>
      </c>
      <c r="H641" s="157"/>
      <c r="I641" s="158">
        <v>11.7654</v>
      </c>
      <c r="J641" s="158">
        <v>42.1231</v>
      </c>
      <c r="K641" s="157" t="s">
        <v>846</v>
      </c>
      <c r="L641" s="157" t="s">
        <v>648</v>
      </c>
      <c r="M641" s="158">
        <v>2022.0</v>
      </c>
      <c r="N641" s="157" t="s">
        <v>649</v>
      </c>
      <c r="O641" s="157" t="s">
        <v>650</v>
      </c>
      <c r="P641" s="161" t="b">
        <v>0</v>
      </c>
      <c r="Q641" s="158">
        <v>0.540248</v>
      </c>
      <c r="R641" s="158">
        <v>0.039182241</v>
      </c>
      <c r="S641" s="158">
        <v>0.501065759</v>
      </c>
      <c r="T641" s="157" t="s">
        <v>594</v>
      </c>
      <c r="U641" s="46" t="s">
        <v>651</v>
      </c>
      <c r="V641" s="46" t="b">
        <v>1</v>
      </c>
      <c r="W641" s="46">
        <v>0.95</v>
      </c>
      <c r="X641" s="46">
        <v>0.0372231289499999</v>
      </c>
      <c r="Y641" s="46" t="s">
        <v>640</v>
      </c>
      <c r="Z641" s="46" t="b">
        <v>0</v>
      </c>
      <c r="AA641" s="46" t="b">
        <v>0</v>
      </c>
    </row>
    <row r="642">
      <c r="A642" s="157" t="s">
        <v>572</v>
      </c>
      <c r="B642" s="158">
        <v>1.0</v>
      </c>
      <c r="C642" s="157" t="s">
        <v>642</v>
      </c>
      <c r="D642" s="157" t="s">
        <v>643</v>
      </c>
      <c r="E642" s="157" t="s">
        <v>644</v>
      </c>
      <c r="F642" s="157" t="s">
        <v>2182</v>
      </c>
      <c r="G642" s="157" t="s">
        <v>2183</v>
      </c>
      <c r="H642" s="157"/>
      <c r="I642" s="158">
        <v>22.68859</v>
      </c>
      <c r="J642" s="158">
        <v>38.35739</v>
      </c>
      <c r="K642" s="157" t="s">
        <v>2184</v>
      </c>
      <c r="L642" s="157" t="s">
        <v>648</v>
      </c>
      <c r="M642" s="158">
        <v>2022.0</v>
      </c>
      <c r="N642" s="157" t="s">
        <v>649</v>
      </c>
      <c r="O642" s="157" t="s">
        <v>650</v>
      </c>
      <c r="P642" s="161" t="b">
        <v>0</v>
      </c>
      <c r="Q642" s="158">
        <v>0.537</v>
      </c>
      <c r="R642" s="158">
        <v>0.038946675</v>
      </c>
      <c r="S642" s="158">
        <v>0.498053325</v>
      </c>
      <c r="T642" s="157" t="s">
        <v>594</v>
      </c>
      <c r="U642" s="46" t="s">
        <v>651</v>
      </c>
      <c r="V642" s="46" t="b">
        <v>1</v>
      </c>
      <c r="W642" s="46">
        <v>0.95</v>
      </c>
      <c r="X642" s="46">
        <v>0.03699934125</v>
      </c>
      <c r="Y642" s="46">
        <v>29.8305525122852</v>
      </c>
      <c r="Z642" s="46" t="b">
        <v>1</v>
      </c>
      <c r="AA642" s="46" t="b">
        <v>1</v>
      </c>
    </row>
    <row r="643">
      <c r="A643" s="157" t="s">
        <v>569</v>
      </c>
      <c r="B643" s="158">
        <v>1.0</v>
      </c>
      <c r="C643" s="157" t="s">
        <v>642</v>
      </c>
      <c r="D643" s="157" t="s">
        <v>643</v>
      </c>
      <c r="E643" s="157" t="s">
        <v>644</v>
      </c>
      <c r="F643" s="157" t="s">
        <v>2185</v>
      </c>
      <c r="G643" s="157" t="s">
        <v>2186</v>
      </c>
      <c r="H643" s="157"/>
      <c r="I643" s="158">
        <v>17.558444</v>
      </c>
      <c r="J643" s="158">
        <v>47.0956</v>
      </c>
      <c r="K643" s="157" t="s">
        <v>2187</v>
      </c>
      <c r="L643" s="157" t="s">
        <v>648</v>
      </c>
      <c r="M643" s="158">
        <v>2022.0</v>
      </c>
      <c r="N643" s="157" t="s">
        <v>649</v>
      </c>
      <c r="O643" s="157" t="s">
        <v>650</v>
      </c>
      <c r="P643" s="161" t="b">
        <v>0</v>
      </c>
      <c r="Q643" s="158">
        <v>0.534319</v>
      </c>
      <c r="R643" s="158">
        <v>0.038752232</v>
      </c>
      <c r="S643" s="158">
        <v>0.495566768</v>
      </c>
      <c r="T643" s="157" t="s">
        <v>594</v>
      </c>
      <c r="U643" s="46" t="s">
        <v>651</v>
      </c>
      <c r="V643" s="46" t="b">
        <v>1</v>
      </c>
      <c r="W643" s="46">
        <v>0.95</v>
      </c>
      <c r="X643" s="46">
        <v>0.0368146204</v>
      </c>
      <c r="Y643" s="46" t="s">
        <v>640</v>
      </c>
      <c r="Z643" s="46" t="b">
        <v>0</v>
      </c>
      <c r="AA643" s="46" t="b">
        <v>0</v>
      </c>
    </row>
    <row r="644">
      <c r="A644" s="157" t="s">
        <v>559</v>
      </c>
      <c r="B644" s="158">
        <v>1.0</v>
      </c>
      <c r="C644" s="157" t="s">
        <v>642</v>
      </c>
      <c r="D644" s="157" t="s">
        <v>643</v>
      </c>
      <c r="E644" s="157" t="s">
        <v>644</v>
      </c>
      <c r="F644" s="157" t="s">
        <v>2188</v>
      </c>
      <c r="G644" s="157" t="s">
        <v>2189</v>
      </c>
      <c r="H644" s="157"/>
      <c r="I644" s="158">
        <v>11.4777</v>
      </c>
      <c r="J644" s="158">
        <v>43.5643</v>
      </c>
      <c r="K644" s="157" t="s">
        <v>2190</v>
      </c>
      <c r="L644" s="157" t="s">
        <v>648</v>
      </c>
      <c r="M644" s="158">
        <v>2022.0</v>
      </c>
      <c r="N644" s="157" t="s">
        <v>649</v>
      </c>
      <c r="O644" s="157" t="s">
        <v>650</v>
      </c>
      <c r="P644" s="161" t="b">
        <v>0</v>
      </c>
      <c r="Q644" s="158">
        <v>0.534071337</v>
      </c>
      <c r="R644" s="158">
        <v>0.03873427</v>
      </c>
      <c r="S644" s="158">
        <v>0.495337067</v>
      </c>
      <c r="T644" s="157" t="s">
        <v>594</v>
      </c>
      <c r="U644" s="46" t="s">
        <v>651</v>
      </c>
      <c r="V644" s="46" t="b">
        <v>1</v>
      </c>
      <c r="W644" s="46">
        <v>0.95</v>
      </c>
      <c r="X644" s="46">
        <v>0.0367975565</v>
      </c>
      <c r="Y644" s="46">
        <v>95.7086426354983</v>
      </c>
      <c r="Z644" s="46" t="b">
        <v>0</v>
      </c>
      <c r="AA644" s="46" t="b">
        <v>1</v>
      </c>
    </row>
    <row r="645">
      <c r="A645" s="157" t="s">
        <v>569</v>
      </c>
      <c r="B645" s="158">
        <v>1.0</v>
      </c>
      <c r="C645" s="157" t="s">
        <v>642</v>
      </c>
      <c r="D645" s="157" t="s">
        <v>643</v>
      </c>
      <c r="E645" s="157" t="s">
        <v>644</v>
      </c>
      <c r="F645" s="157" t="s">
        <v>2191</v>
      </c>
      <c r="G645" s="157" t="s">
        <v>2192</v>
      </c>
      <c r="H645" s="157"/>
      <c r="I645" s="158">
        <v>18.940022</v>
      </c>
      <c r="J645" s="158">
        <v>46.92113</v>
      </c>
      <c r="K645" s="157" t="s">
        <v>2057</v>
      </c>
      <c r="L645" s="157" t="s">
        <v>648</v>
      </c>
      <c r="M645" s="158">
        <v>2022.0</v>
      </c>
      <c r="N645" s="157" t="s">
        <v>649</v>
      </c>
      <c r="O645" s="157" t="s">
        <v>650</v>
      </c>
      <c r="P645" s="161" t="b">
        <v>0</v>
      </c>
      <c r="Q645" s="158">
        <v>0.533763</v>
      </c>
      <c r="R645" s="158">
        <v>0.038711907</v>
      </c>
      <c r="S645" s="158">
        <v>0.495051093</v>
      </c>
      <c r="T645" s="157" t="s">
        <v>594</v>
      </c>
      <c r="U645" s="46" t="s">
        <v>651</v>
      </c>
      <c r="V645" s="46" t="b">
        <v>1</v>
      </c>
      <c r="W645" s="46">
        <v>0.95</v>
      </c>
      <c r="X645" s="46">
        <v>0.03677631165</v>
      </c>
      <c r="Y645" s="46" t="s">
        <v>640</v>
      </c>
      <c r="Z645" s="46" t="b">
        <v>0</v>
      </c>
      <c r="AA645" s="46" t="b">
        <v>0</v>
      </c>
    </row>
    <row r="646">
      <c r="A646" s="157" t="s">
        <v>579</v>
      </c>
      <c r="B646" s="158">
        <v>1.0</v>
      </c>
      <c r="C646" s="157" t="s">
        <v>642</v>
      </c>
      <c r="D646" s="157" t="s">
        <v>643</v>
      </c>
      <c r="E646" s="157" t="s">
        <v>644</v>
      </c>
      <c r="F646" s="157" t="s">
        <v>2193</v>
      </c>
      <c r="G646" s="157" t="s">
        <v>2194</v>
      </c>
      <c r="H646" s="157"/>
      <c r="I646" s="158">
        <v>16.41377</v>
      </c>
      <c r="J646" s="158">
        <v>45.45562</v>
      </c>
      <c r="K646" s="157" t="s">
        <v>2195</v>
      </c>
      <c r="L646" s="157" t="s">
        <v>648</v>
      </c>
      <c r="M646" s="158">
        <v>2022.0</v>
      </c>
      <c r="N646" s="157" t="s">
        <v>649</v>
      </c>
      <c r="O646" s="157" t="s">
        <v>650</v>
      </c>
      <c r="P646" s="161" t="b">
        <v>0</v>
      </c>
      <c r="Q646" s="158">
        <v>0.525</v>
      </c>
      <c r="R646" s="158">
        <v>0.038076358</v>
      </c>
      <c r="S646" s="158">
        <v>0.486923642</v>
      </c>
      <c r="T646" s="157" t="s">
        <v>594</v>
      </c>
      <c r="U646" s="46" t="s">
        <v>651</v>
      </c>
      <c r="V646" s="46" t="b">
        <v>1</v>
      </c>
      <c r="W646" s="46">
        <v>0.95</v>
      </c>
      <c r="X646" s="46">
        <v>0.0361725401</v>
      </c>
      <c r="Y646" s="46" t="s">
        <v>640</v>
      </c>
      <c r="Z646" s="46" t="b">
        <v>0</v>
      </c>
      <c r="AA646" s="46" t="b">
        <v>0</v>
      </c>
    </row>
    <row r="647">
      <c r="A647" s="157" t="s">
        <v>556</v>
      </c>
      <c r="B647" s="158">
        <v>5.0</v>
      </c>
      <c r="C647" s="157" t="s">
        <v>652</v>
      </c>
      <c r="D647" s="157" t="s">
        <v>895</v>
      </c>
      <c r="E647" s="157" t="s">
        <v>896</v>
      </c>
      <c r="F647" s="157" t="s">
        <v>2196</v>
      </c>
      <c r="G647" s="157" t="s">
        <v>2197</v>
      </c>
      <c r="H647" s="157"/>
      <c r="I647" s="158">
        <v>4.79649</v>
      </c>
      <c r="J647" s="158">
        <v>45.3425</v>
      </c>
      <c r="K647" s="157" t="s">
        <v>2198</v>
      </c>
      <c r="L647" s="157" t="s">
        <v>648</v>
      </c>
      <c r="M647" s="158">
        <v>2022.0</v>
      </c>
      <c r="N647" s="157" t="s">
        <v>116</v>
      </c>
      <c r="O647" s="157" t="s">
        <v>900</v>
      </c>
      <c r="P647" s="161" t="b">
        <v>1</v>
      </c>
      <c r="Q647" s="158">
        <v>0.23</v>
      </c>
      <c r="R647" s="158">
        <v>0.03797405</v>
      </c>
      <c r="S647" s="158">
        <v>0.19202595</v>
      </c>
      <c r="T647" s="157" t="s">
        <v>116</v>
      </c>
      <c r="U647" s="46" t="s">
        <v>651</v>
      </c>
      <c r="V647" s="46" t="b">
        <v>1</v>
      </c>
      <c r="W647" s="46">
        <v>0.95</v>
      </c>
      <c r="X647" s="46">
        <v>0.0360753475</v>
      </c>
      <c r="Y647" s="46">
        <v>0.44150628423389</v>
      </c>
      <c r="Z647" s="46" t="b">
        <v>1</v>
      </c>
      <c r="AA647" s="46" t="b">
        <v>1</v>
      </c>
    </row>
    <row r="648">
      <c r="A648" s="157" t="s">
        <v>561</v>
      </c>
      <c r="B648" s="158">
        <v>1.0</v>
      </c>
      <c r="C648" s="157" t="s">
        <v>642</v>
      </c>
      <c r="D648" s="157" t="s">
        <v>643</v>
      </c>
      <c r="E648" s="157" t="s">
        <v>644</v>
      </c>
      <c r="F648" s="157" t="s">
        <v>2199</v>
      </c>
      <c r="G648" s="157" t="s">
        <v>2200</v>
      </c>
      <c r="H648" s="157"/>
      <c r="I648" s="158">
        <v>-3.8532</v>
      </c>
      <c r="J648" s="158">
        <v>39.9447</v>
      </c>
      <c r="K648" s="157" t="s">
        <v>2201</v>
      </c>
      <c r="L648" s="157" t="s">
        <v>648</v>
      </c>
      <c r="M648" s="158">
        <v>2022.0</v>
      </c>
      <c r="N648" s="157" t="s">
        <v>649</v>
      </c>
      <c r="O648" s="157" t="s">
        <v>650</v>
      </c>
      <c r="P648" s="161" t="b">
        <v>0</v>
      </c>
      <c r="Q648" s="158">
        <v>0.522</v>
      </c>
      <c r="R648" s="158">
        <v>0.037858779</v>
      </c>
      <c r="S648" s="158">
        <v>0.484141221</v>
      </c>
      <c r="T648" s="157" t="s">
        <v>594</v>
      </c>
      <c r="U648" s="46" t="s">
        <v>651</v>
      </c>
      <c r="V648" s="46" t="b">
        <v>1</v>
      </c>
      <c r="W648" s="46">
        <v>0.95</v>
      </c>
      <c r="X648" s="46">
        <v>0.03596584005</v>
      </c>
      <c r="Y648" s="46" t="s">
        <v>640</v>
      </c>
      <c r="Z648" s="46" t="b">
        <v>0</v>
      </c>
      <c r="AA648" s="46" t="b">
        <v>0</v>
      </c>
    </row>
    <row r="649">
      <c r="A649" s="157" t="s">
        <v>559</v>
      </c>
      <c r="B649" s="158">
        <v>1.0</v>
      </c>
      <c r="C649" s="157" t="s">
        <v>642</v>
      </c>
      <c r="D649" s="157" t="s">
        <v>643</v>
      </c>
      <c r="E649" s="157" t="s">
        <v>644</v>
      </c>
      <c r="F649" s="157" t="s">
        <v>2202</v>
      </c>
      <c r="G649" s="157" t="s">
        <v>2203</v>
      </c>
      <c r="H649" s="157"/>
      <c r="I649" s="158">
        <v>17.0326</v>
      </c>
      <c r="J649" s="158">
        <v>39.1022</v>
      </c>
      <c r="K649" s="157" t="s">
        <v>2204</v>
      </c>
      <c r="L649" s="157" t="s">
        <v>648</v>
      </c>
      <c r="M649" s="158">
        <v>2022.0</v>
      </c>
      <c r="N649" s="157" t="s">
        <v>649</v>
      </c>
      <c r="O649" s="157" t="s">
        <v>650</v>
      </c>
      <c r="P649" s="161" t="b">
        <v>0</v>
      </c>
      <c r="Q649" s="158">
        <v>0.52024306</v>
      </c>
      <c r="R649" s="158">
        <v>0.037731355</v>
      </c>
      <c r="S649" s="158">
        <v>0.482511705</v>
      </c>
      <c r="T649" s="157" t="s">
        <v>594</v>
      </c>
      <c r="U649" s="46" t="s">
        <v>651</v>
      </c>
      <c r="V649" s="46" t="b">
        <v>1</v>
      </c>
      <c r="W649" s="46">
        <v>0.95</v>
      </c>
      <c r="X649" s="46">
        <v>0.03584478725</v>
      </c>
      <c r="Y649" s="46" t="s">
        <v>640</v>
      </c>
      <c r="Z649" s="46" t="b">
        <v>0</v>
      </c>
      <c r="AA649" s="46" t="b">
        <v>0</v>
      </c>
    </row>
    <row r="650">
      <c r="A650" s="157" t="s">
        <v>566</v>
      </c>
      <c r="B650" s="158">
        <v>1.0</v>
      </c>
      <c r="C650" s="157" t="s">
        <v>642</v>
      </c>
      <c r="D650" s="157" t="s">
        <v>643</v>
      </c>
      <c r="E650" s="157" t="s">
        <v>644</v>
      </c>
      <c r="F650" s="157" t="s">
        <v>2205</v>
      </c>
      <c r="G650" s="157" t="s">
        <v>2206</v>
      </c>
      <c r="H650" s="157"/>
      <c r="I650" s="158">
        <v>19.05052757</v>
      </c>
      <c r="J650" s="158">
        <v>50.28487396</v>
      </c>
      <c r="K650" s="157" t="s">
        <v>2207</v>
      </c>
      <c r="L650" s="157" t="s">
        <v>648</v>
      </c>
      <c r="M650" s="158">
        <v>2022.0</v>
      </c>
      <c r="N650" s="157" t="s">
        <v>649</v>
      </c>
      <c r="O650" s="157" t="s">
        <v>650</v>
      </c>
      <c r="P650" s="161" t="b">
        <v>0</v>
      </c>
      <c r="Q650" s="158">
        <v>0.518</v>
      </c>
      <c r="R650" s="158">
        <v>0.037568674</v>
      </c>
      <c r="S650" s="158">
        <v>0.480431326</v>
      </c>
      <c r="T650" s="157" t="s">
        <v>594</v>
      </c>
      <c r="U650" s="46" t="s">
        <v>651</v>
      </c>
      <c r="V650" s="46" t="b">
        <v>1</v>
      </c>
      <c r="W650" s="46">
        <v>0.95</v>
      </c>
      <c r="X650" s="46">
        <v>0.0356902403</v>
      </c>
      <c r="Y650" s="46" t="s">
        <v>640</v>
      </c>
      <c r="Z650" s="46" t="b">
        <v>0</v>
      </c>
      <c r="AA650" s="46" t="b">
        <v>0</v>
      </c>
    </row>
    <row r="651">
      <c r="A651" s="157" t="s">
        <v>572</v>
      </c>
      <c r="B651" s="158">
        <v>3.0</v>
      </c>
      <c r="C651" s="157" t="s">
        <v>1215</v>
      </c>
      <c r="D651" s="157" t="s">
        <v>1216</v>
      </c>
      <c r="E651" s="157" t="s">
        <v>1217</v>
      </c>
      <c r="F651" s="157" t="s">
        <v>2208</v>
      </c>
      <c r="G651" s="157" t="s">
        <v>2209</v>
      </c>
      <c r="H651" s="157"/>
      <c r="I651" s="158">
        <v>24.06393</v>
      </c>
      <c r="J651" s="158">
        <v>38.37488</v>
      </c>
      <c r="K651" s="157" t="s">
        <v>2210</v>
      </c>
      <c r="L651" s="157" t="s">
        <v>648</v>
      </c>
      <c r="M651" s="158">
        <v>2022.0</v>
      </c>
      <c r="N651" s="157" t="s">
        <v>114</v>
      </c>
      <c r="O651" s="157" t="s">
        <v>1221</v>
      </c>
      <c r="P651" s="161" t="b">
        <v>1</v>
      </c>
      <c r="Q651" s="158">
        <v>0.819</v>
      </c>
      <c r="R651" s="158">
        <v>0.037295446</v>
      </c>
      <c r="S651" s="158">
        <v>0.781704554</v>
      </c>
      <c r="T651" s="157" t="s">
        <v>114</v>
      </c>
      <c r="U651" s="46" t="s">
        <v>651</v>
      </c>
      <c r="V651" s="46" t="b">
        <v>1</v>
      </c>
      <c r="W651" s="46">
        <v>0.95</v>
      </c>
      <c r="X651" s="46">
        <v>0.0354306737</v>
      </c>
      <c r="Y651" s="46">
        <v>13.5823919928168</v>
      </c>
      <c r="Z651" s="46" t="b">
        <v>1</v>
      </c>
      <c r="AA651" s="46" t="b">
        <v>1</v>
      </c>
    </row>
    <row r="652">
      <c r="A652" s="157" t="s">
        <v>556</v>
      </c>
      <c r="B652" s="158">
        <v>1.0</v>
      </c>
      <c r="C652" s="157" t="s">
        <v>642</v>
      </c>
      <c r="D652" s="157" t="s">
        <v>643</v>
      </c>
      <c r="E652" s="157" t="s">
        <v>644</v>
      </c>
      <c r="F652" s="157" t="s">
        <v>2211</v>
      </c>
      <c r="G652" s="157" t="s">
        <v>2212</v>
      </c>
      <c r="H652" s="157"/>
      <c r="I652" s="158">
        <v>55.63896</v>
      </c>
      <c r="J652" s="158">
        <v>-20.91529</v>
      </c>
      <c r="K652" s="157" t="s">
        <v>2213</v>
      </c>
      <c r="L652" s="157" t="s">
        <v>648</v>
      </c>
      <c r="M652" s="158">
        <v>2022.0</v>
      </c>
      <c r="N652" s="157" t="s">
        <v>649</v>
      </c>
      <c r="O652" s="157" t="s">
        <v>650</v>
      </c>
      <c r="P652" s="161" t="b">
        <v>0</v>
      </c>
      <c r="Q652" s="158">
        <v>0.512</v>
      </c>
      <c r="R652" s="158">
        <v>0.037133515</v>
      </c>
      <c r="S652" s="158">
        <v>0.474866485</v>
      </c>
      <c r="T652" s="157" t="s">
        <v>594</v>
      </c>
      <c r="U652" s="46" t="s">
        <v>651</v>
      </c>
      <c r="V652" s="46" t="b">
        <v>1</v>
      </c>
      <c r="W652" s="46">
        <v>0.95</v>
      </c>
      <c r="X652" s="46">
        <v>0.03527683925</v>
      </c>
      <c r="Y652" s="46" t="s">
        <v>640</v>
      </c>
      <c r="Z652" s="46" t="b">
        <v>0</v>
      </c>
      <c r="AA652" s="46" t="b">
        <v>0</v>
      </c>
    </row>
    <row r="653">
      <c r="A653" s="157" t="s">
        <v>556</v>
      </c>
      <c r="B653" s="158">
        <v>3.0</v>
      </c>
      <c r="C653" s="157" t="s">
        <v>1215</v>
      </c>
      <c r="D653" s="157" t="s">
        <v>1371</v>
      </c>
      <c r="E653" s="157" t="s">
        <v>1372</v>
      </c>
      <c r="F653" s="157" t="s">
        <v>2214</v>
      </c>
      <c r="G653" s="157" t="s">
        <v>2215</v>
      </c>
      <c r="H653" s="157"/>
      <c r="I653" s="158">
        <v>-1.03588</v>
      </c>
      <c r="J653" s="158">
        <v>48.10872</v>
      </c>
      <c r="K653" s="157" t="s">
        <v>2216</v>
      </c>
      <c r="L653" s="157" t="s">
        <v>648</v>
      </c>
      <c r="M653" s="158">
        <v>2022.0</v>
      </c>
      <c r="N653" s="157" t="s">
        <v>114</v>
      </c>
      <c r="O653" s="157" t="s">
        <v>1376</v>
      </c>
      <c r="P653" s="161" t="b">
        <v>1</v>
      </c>
      <c r="Q653" s="158">
        <v>0.962</v>
      </c>
      <c r="R653" s="158">
        <v>0.037063627</v>
      </c>
      <c r="S653" s="158">
        <v>0.924936373</v>
      </c>
      <c r="T653" s="157" t="s">
        <v>114</v>
      </c>
      <c r="U653" s="46" t="s">
        <v>651</v>
      </c>
      <c r="V653" s="46" t="b">
        <v>1</v>
      </c>
      <c r="W653" s="46">
        <v>0.95</v>
      </c>
      <c r="X653" s="46">
        <v>0.03521044565</v>
      </c>
      <c r="Y653" s="46">
        <v>1.51959288906322</v>
      </c>
      <c r="Z653" s="46" t="b">
        <v>1</v>
      </c>
      <c r="AA653" s="46" t="b">
        <v>1</v>
      </c>
    </row>
    <row r="654">
      <c r="A654" s="157" t="s">
        <v>559</v>
      </c>
      <c r="B654" s="158">
        <v>1.0</v>
      </c>
      <c r="C654" s="157" t="s">
        <v>642</v>
      </c>
      <c r="D654" s="157" t="s">
        <v>643</v>
      </c>
      <c r="E654" s="157" t="s">
        <v>644</v>
      </c>
      <c r="F654" s="157" t="s">
        <v>2217</v>
      </c>
      <c r="G654" s="157" t="s">
        <v>2218</v>
      </c>
      <c r="H654" s="157"/>
      <c r="I654" s="158">
        <v>14.301</v>
      </c>
      <c r="J654" s="158">
        <v>40.834</v>
      </c>
      <c r="K654" s="157" t="s">
        <v>2219</v>
      </c>
      <c r="L654" s="157" t="s">
        <v>648</v>
      </c>
      <c r="M654" s="158">
        <v>2022.0</v>
      </c>
      <c r="N654" s="157" t="s">
        <v>649</v>
      </c>
      <c r="O654" s="157" t="s">
        <v>650</v>
      </c>
      <c r="P654" s="161" t="b">
        <v>0</v>
      </c>
      <c r="Q654" s="158">
        <v>0.510976818</v>
      </c>
      <c r="R654" s="158">
        <v>0.037059308</v>
      </c>
      <c r="S654" s="158">
        <v>0.47391751</v>
      </c>
      <c r="T654" s="157" t="s">
        <v>594</v>
      </c>
      <c r="U654" s="46" t="s">
        <v>651</v>
      </c>
      <c r="V654" s="46" t="b">
        <v>1</v>
      </c>
      <c r="W654" s="46">
        <v>0.95</v>
      </c>
      <c r="X654" s="46">
        <v>0.0352063425999999</v>
      </c>
      <c r="Y654" s="46" t="s">
        <v>640</v>
      </c>
      <c r="Z654" s="46" t="b">
        <v>0</v>
      </c>
      <c r="AA654" s="46" t="b">
        <v>0</v>
      </c>
    </row>
    <row r="655">
      <c r="A655" s="157" t="s">
        <v>556</v>
      </c>
      <c r="B655" s="158">
        <v>1.0</v>
      </c>
      <c r="C655" s="157" t="s">
        <v>642</v>
      </c>
      <c r="D655" s="157" t="s">
        <v>643</v>
      </c>
      <c r="E655" s="157" t="s">
        <v>644</v>
      </c>
      <c r="F655" s="157" t="s">
        <v>2220</v>
      </c>
      <c r="G655" s="157" t="s">
        <v>2221</v>
      </c>
      <c r="H655" s="157"/>
      <c r="I655" s="158">
        <v>-61.56103</v>
      </c>
      <c r="J655" s="158">
        <v>16.23698</v>
      </c>
      <c r="K655" s="157" t="s">
        <v>2222</v>
      </c>
      <c r="L655" s="157" t="s">
        <v>648</v>
      </c>
      <c r="M655" s="158">
        <v>2022.0</v>
      </c>
      <c r="N655" s="157" t="s">
        <v>649</v>
      </c>
      <c r="O655" s="157" t="s">
        <v>650</v>
      </c>
      <c r="P655" s="161" t="b">
        <v>0</v>
      </c>
      <c r="Q655" s="158">
        <v>0.51</v>
      </c>
      <c r="R655" s="158">
        <v>0.036988463</v>
      </c>
      <c r="S655" s="158">
        <v>0.473011537</v>
      </c>
      <c r="T655" s="157" t="s">
        <v>594</v>
      </c>
      <c r="U655" s="46" t="s">
        <v>651</v>
      </c>
      <c r="V655" s="46" t="b">
        <v>1</v>
      </c>
      <c r="W655" s="46">
        <v>0.95</v>
      </c>
      <c r="X655" s="46">
        <v>0.03513903985</v>
      </c>
      <c r="Y655" s="46" t="s">
        <v>640</v>
      </c>
      <c r="Z655" s="46" t="b">
        <v>0</v>
      </c>
      <c r="AA655" s="46" t="b">
        <v>0</v>
      </c>
    </row>
    <row r="656">
      <c r="A656" s="157" t="s">
        <v>559</v>
      </c>
      <c r="B656" s="158">
        <v>3.0</v>
      </c>
      <c r="C656" s="157" t="s">
        <v>1215</v>
      </c>
      <c r="D656" s="157" t="s">
        <v>1216</v>
      </c>
      <c r="E656" s="157" t="s">
        <v>1217</v>
      </c>
      <c r="F656" s="157" t="s">
        <v>2223</v>
      </c>
      <c r="G656" s="157" t="s">
        <v>2224</v>
      </c>
      <c r="H656" s="157"/>
      <c r="I656" s="158">
        <v>7.5</v>
      </c>
      <c r="J656" s="158">
        <v>44.2833</v>
      </c>
      <c r="K656" s="157" t="s">
        <v>2225</v>
      </c>
      <c r="L656" s="157" t="s">
        <v>648</v>
      </c>
      <c r="M656" s="158">
        <v>2022.0</v>
      </c>
      <c r="N656" s="157" t="s">
        <v>114</v>
      </c>
      <c r="O656" s="157" t="s">
        <v>1221</v>
      </c>
      <c r="P656" s="161" t="b">
        <v>1</v>
      </c>
      <c r="Q656" s="158">
        <v>0.797427</v>
      </c>
      <c r="R656" s="158">
        <v>0.03631306</v>
      </c>
      <c r="S656" s="158">
        <v>0.76111394</v>
      </c>
      <c r="T656" s="157" t="s">
        <v>114</v>
      </c>
      <c r="U656" s="46" t="s">
        <v>651</v>
      </c>
      <c r="V656" s="46" t="b">
        <v>1</v>
      </c>
      <c r="W656" s="46">
        <v>0.95</v>
      </c>
      <c r="X656" s="46">
        <v>0.034497407</v>
      </c>
      <c r="Y656" s="46">
        <v>133.635182165238</v>
      </c>
      <c r="Z656" s="46" t="b">
        <v>0</v>
      </c>
      <c r="AA656" s="46" t="b">
        <v>0</v>
      </c>
    </row>
    <row r="657">
      <c r="A657" s="157" t="s">
        <v>563</v>
      </c>
      <c r="B657" s="158">
        <v>3.0</v>
      </c>
      <c r="C657" s="157" t="s">
        <v>1215</v>
      </c>
      <c r="D657" s="157" t="s">
        <v>1216</v>
      </c>
      <c r="E657" s="157" t="s">
        <v>1217</v>
      </c>
      <c r="F657" s="157" t="s">
        <v>2226</v>
      </c>
      <c r="G657" s="157" t="s">
        <v>2227</v>
      </c>
      <c r="H657" s="157"/>
      <c r="I657" s="158">
        <v>-2.3844346</v>
      </c>
      <c r="J657" s="158">
        <v>53.888327</v>
      </c>
      <c r="K657" s="157" t="s">
        <v>2228</v>
      </c>
      <c r="L657" s="157" t="s">
        <v>648</v>
      </c>
      <c r="M657" s="158">
        <v>2019.0</v>
      </c>
      <c r="N657" s="157" t="s">
        <v>114</v>
      </c>
      <c r="O657" s="157" t="s">
        <v>1221</v>
      </c>
      <c r="P657" s="161" t="b">
        <v>1</v>
      </c>
      <c r="Q657" s="158">
        <v>0.464</v>
      </c>
      <c r="R657" s="158">
        <v>0.036</v>
      </c>
      <c r="S657" s="158">
        <v>0.428</v>
      </c>
      <c r="T657" s="157" t="s">
        <v>114</v>
      </c>
      <c r="U657" s="46" t="s">
        <v>651</v>
      </c>
      <c r="V657" s="46" t="b">
        <v>1</v>
      </c>
      <c r="W657" s="46">
        <v>0.95</v>
      </c>
      <c r="X657" s="46">
        <v>0.0341999999999999</v>
      </c>
      <c r="Y657" s="46">
        <v>57.9182916139632</v>
      </c>
      <c r="Z657" s="46" t="b">
        <v>0</v>
      </c>
      <c r="AA657" s="46" t="b">
        <v>1</v>
      </c>
    </row>
    <row r="658">
      <c r="A658" s="157" t="s">
        <v>561</v>
      </c>
      <c r="B658" s="158">
        <v>3.0</v>
      </c>
      <c r="C658" s="157" t="s">
        <v>1215</v>
      </c>
      <c r="D658" s="157" t="s">
        <v>1371</v>
      </c>
      <c r="E658" s="157" t="s">
        <v>1372</v>
      </c>
      <c r="F658" s="157" t="s">
        <v>2229</v>
      </c>
      <c r="G658" s="157" t="s">
        <v>2230</v>
      </c>
      <c r="H658" s="157"/>
      <c r="I658" s="158">
        <v>1.999262</v>
      </c>
      <c r="J658" s="158">
        <v>41.408723</v>
      </c>
      <c r="K658" s="157" t="s">
        <v>2231</v>
      </c>
      <c r="L658" s="157" t="s">
        <v>648</v>
      </c>
      <c r="M658" s="158">
        <v>2022.0</v>
      </c>
      <c r="N658" s="157" t="s">
        <v>114</v>
      </c>
      <c r="O658" s="157" t="s">
        <v>1376</v>
      </c>
      <c r="P658" s="161" t="b">
        <v>1</v>
      </c>
      <c r="Q658" s="158">
        <v>0.934</v>
      </c>
      <c r="R658" s="158">
        <v>0.035984852</v>
      </c>
      <c r="S658" s="158">
        <v>0.898015148</v>
      </c>
      <c r="T658" s="157" t="s">
        <v>114</v>
      </c>
      <c r="U658" s="46" t="s">
        <v>651</v>
      </c>
      <c r="V658" s="46" t="b">
        <v>1</v>
      </c>
      <c r="W658" s="46">
        <v>0.95</v>
      </c>
      <c r="X658" s="46">
        <v>0.0341856094</v>
      </c>
      <c r="Y658" s="46" t="s">
        <v>640</v>
      </c>
      <c r="Z658" s="46" t="b">
        <v>0</v>
      </c>
      <c r="AA658" s="46" t="b">
        <v>0</v>
      </c>
    </row>
    <row r="659">
      <c r="A659" s="157" t="s">
        <v>556</v>
      </c>
      <c r="B659" s="158">
        <v>1.0</v>
      </c>
      <c r="C659" s="157" t="s">
        <v>642</v>
      </c>
      <c r="D659" s="157" t="s">
        <v>643</v>
      </c>
      <c r="E659" s="157" t="s">
        <v>644</v>
      </c>
      <c r="F659" s="157" t="s">
        <v>2232</v>
      </c>
      <c r="G659" s="157" t="s">
        <v>2233</v>
      </c>
      <c r="H659" s="157"/>
      <c r="I659" s="158">
        <v>-61.15738</v>
      </c>
      <c r="J659" s="158">
        <v>14.66798</v>
      </c>
      <c r="K659" s="157" t="s">
        <v>2234</v>
      </c>
      <c r="L659" s="157" t="s">
        <v>648</v>
      </c>
      <c r="M659" s="158">
        <v>2022.0</v>
      </c>
      <c r="N659" s="157" t="s">
        <v>649</v>
      </c>
      <c r="O659" s="157" t="s">
        <v>650</v>
      </c>
      <c r="P659" s="161" t="b">
        <v>0</v>
      </c>
      <c r="Q659" s="158">
        <v>0.494</v>
      </c>
      <c r="R659" s="158">
        <v>0.03582804</v>
      </c>
      <c r="S659" s="158">
        <v>0.45817196</v>
      </c>
      <c r="T659" s="157" t="s">
        <v>594</v>
      </c>
      <c r="U659" s="46" t="s">
        <v>651</v>
      </c>
      <c r="V659" s="46" t="b">
        <v>1</v>
      </c>
      <c r="W659" s="46">
        <v>0.95</v>
      </c>
      <c r="X659" s="46">
        <v>0.0340366379999999</v>
      </c>
      <c r="Y659" s="46" t="s">
        <v>640</v>
      </c>
      <c r="Z659" s="46" t="b">
        <v>0</v>
      </c>
      <c r="AA659" s="46" t="b">
        <v>0</v>
      </c>
    </row>
    <row r="660">
      <c r="A660" s="157" t="s">
        <v>561</v>
      </c>
      <c r="B660" s="158">
        <v>8.0</v>
      </c>
      <c r="C660" s="157" t="s">
        <v>1175</v>
      </c>
      <c r="D660" s="157" t="s">
        <v>2235</v>
      </c>
      <c r="E660" s="157" t="s">
        <v>2236</v>
      </c>
      <c r="F660" s="157" t="s">
        <v>2237</v>
      </c>
      <c r="G660" s="157" t="s">
        <v>2238</v>
      </c>
      <c r="H660" s="157"/>
      <c r="I660" s="158">
        <v>1.713645</v>
      </c>
      <c r="J660" s="158">
        <v>41.900239</v>
      </c>
      <c r="K660" s="157" t="s">
        <v>2239</v>
      </c>
      <c r="L660" s="157" t="s">
        <v>648</v>
      </c>
      <c r="M660" s="158">
        <v>2022.0</v>
      </c>
      <c r="N660" s="157" t="s">
        <v>552</v>
      </c>
      <c r="O660" s="157" t="s">
        <v>2240</v>
      </c>
      <c r="P660" s="161" t="b">
        <v>1</v>
      </c>
      <c r="Q660" s="158">
        <v>0.272</v>
      </c>
      <c r="R660" s="158">
        <v>0.035766032</v>
      </c>
      <c r="S660" s="158">
        <v>0.236233968</v>
      </c>
      <c r="T660" s="157" t="s">
        <v>552</v>
      </c>
      <c r="U660" s="46" t="s">
        <v>651</v>
      </c>
      <c r="V660" s="46" t="b">
        <v>1</v>
      </c>
      <c r="W660" s="46">
        <v>0.95</v>
      </c>
      <c r="X660" s="46">
        <v>0.0339777304</v>
      </c>
      <c r="Y660" s="46" t="s">
        <v>640</v>
      </c>
      <c r="Z660" s="46" t="b">
        <v>0</v>
      </c>
      <c r="AA660" s="46" t="b">
        <v>0</v>
      </c>
    </row>
    <row r="661">
      <c r="A661" s="157" t="s">
        <v>561</v>
      </c>
      <c r="B661" s="158">
        <v>1.0</v>
      </c>
      <c r="C661" s="157" t="s">
        <v>642</v>
      </c>
      <c r="D661" s="157" t="s">
        <v>643</v>
      </c>
      <c r="E661" s="157" t="s">
        <v>644</v>
      </c>
      <c r="F661" s="157" t="s">
        <v>2241</v>
      </c>
      <c r="G661" s="157" t="s">
        <v>2242</v>
      </c>
      <c r="H661" s="157"/>
      <c r="I661" s="158">
        <v>-13.54123</v>
      </c>
      <c r="J661" s="158">
        <v>28.97001</v>
      </c>
      <c r="K661" s="157" t="s">
        <v>2243</v>
      </c>
      <c r="L661" s="157" t="s">
        <v>648</v>
      </c>
      <c r="M661" s="158">
        <v>2022.0</v>
      </c>
      <c r="N661" s="157" t="s">
        <v>649</v>
      </c>
      <c r="O661" s="157" t="s">
        <v>650</v>
      </c>
      <c r="P661" s="161" t="b">
        <v>0</v>
      </c>
      <c r="Q661" s="158">
        <v>0.493</v>
      </c>
      <c r="R661" s="158">
        <v>0.035755514</v>
      </c>
      <c r="S661" s="158">
        <v>0.457244486</v>
      </c>
      <c r="T661" s="157" t="s">
        <v>594</v>
      </c>
      <c r="U661" s="46" t="s">
        <v>651</v>
      </c>
      <c r="V661" s="46" t="b">
        <v>1</v>
      </c>
      <c r="W661" s="46">
        <v>0.95</v>
      </c>
      <c r="X661" s="46">
        <v>0.0339677383</v>
      </c>
      <c r="Y661" s="46" t="s">
        <v>640</v>
      </c>
      <c r="Z661" s="46" t="b">
        <v>0</v>
      </c>
      <c r="AA661" s="46" t="b">
        <v>0</v>
      </c>
    </row>
    <row r="662">
      <c r="A662" s="157" t="s">
        <v>574</v>
      </c>
      <c r="B662" s="158">
        <v>3.0</v>
      </c>
      <c r="C662" s="157" t="s">
        <v>1215</v>
      </c>
      <c r="D662" s="157" t="s">
        <v>1371</v>
      </c>
      <c r="E662" s="157" t="s">
        <v>1372</v>
      </c>
      <c r="F662" s="162" t="s">
        <v>2244</v>
      </c>
      <c r="G662" s="157" t="s">
        <v>2245</v>
      </c>
      <c r="H662" s="157"/>
      <c r="I662" s="158">
        <v>17.189656</v>
      </c>
      <c r="J662" s="158">
        <v>48.458203</v>
      </c>
      <c r="K662" s="157" t="s">
        <v>2246</v>
      </c>
      <c r="L662" s="157" t="s">
        <v>648</v>
      </c>
      <c r="M662" s="158">
        <v>2017.0</v>
      </c>
      <c r="N662" s="157" t="s">
        <v>114</v>
      </c>
      <c r="O662" s="157" t="s">
        <v>1376</v>
      </c>
      <c r="P662" s="161" t="b">
        <v>1</v>
      </c>
      <c r="Q662" s="158">
        <v>0.927</v>
      </c>
      <c r="R662" s="158">
        <v>0.035715158</v>
      </c>
      <c r="S662" s="158">
        <v>0.891284842</v>
      </c>
      <c r="T662" s="157" t="s">
        <v>114</v>
      </c>
      <c r="U662" s="46" t="s">
        <v>651</v>
      </c>
      <c r="V662" s="46" t="b">
        <v>1</v>
      </c>
      <c r="W662" s="46">
        <v>0.95</v>
      </c>
      <c r="X662" s="46">
        <v>0.0339294000999999</v>
      </c>
      <c r="Y662" s="46" t="s">
        <v>640</v>
      </c>
      <c r="Z662" s="46" t="b">
        <v>0</v>
      </c>
      <c r="AA662" s="46" t="b">
        <v>0</v>
      </c>
    </row>
    <row r="663">
      <c r="A663" s="157" t="s">
        <v>561</v>
      </c>
      <c r="B663" s="158">
        <v>3.0</v>
      </c>
      <c r="C663" s="157" t="s">
        <v>1215</v>
      </c>
      <c r="D663" s="157" t="s">
        <v>1371</v>
      </c>
      <c r="E663" s="157" t="s">
        <v>1372</v>
      </c>
      <c r="F663" s="157" t="s">
        <v>2247</v>
      </c>
      <c r="G663" s="157" t="s">
        <v>2248</v>
      </c>
      <c r="H663" s="157"/>
      <c r="I663" s="158">
        <v>1.663019</v>
      </c>
      <c r="J663" s="158">
        <v>41.314665</v>
      </c>
      <c r="K663" s="157" t="s">
        <v>2249</v>
      </c>
      <c r="L663" s="157" t="s">
        <v>648</v>
      </c>
      <c r="M663" s="158">
        <v>2022.0</v>
      </c>
      <c r="N663" s="157" t="s">
        <v>114</v>
      </c>
      <c r="O663" s="157" t="s">
        <v>1376</v>
      </c>
      <c r="P663" s="161" t="b">
        <v>1</v>
      </c>
      <c r="Q663" s="158">
        <v>0.927</v>
      </c>
      <c r="R663" s="158">
        <v>0.035715158</v>
      </c>
      <c r="S663" s="158">
        <v>0.891284842</v>
      </c>
      <c r="T663" s="157" t="s">
        <v>114</v>
      </c>
      <c r="U663" s="46" t="s">
        <v>651</v>
      </c>
      <c r="V663" s="46" t="b">
        <v>1</v>
      </c>
      <c r="W663" s="46">
        <v>0.95</v>
      </c>
      <c r="X663" s="46">
        <v>0.0339294000999999</v>
      </c>
      <c r="Y663" s="46" t="s">
        <v>640</v>
      </c>
      <c r="Z663" s="46" t="b">
        <v>0</v>
      </c>
      <c r="AA663" s="46" t="b">
        <v>0</v>
      </c>
    </row>
    <row r="664">
      <c r="A664" s="157" t="s">
        <v>565</v>
      </c>
      <c r="B664" s="158">
        <v>3.0</v>
      </c>
      <c r="C664" s="157" t="s">
        <v>1215</v>
      </c>
      <c r="D664" s="157" t="s">
        <v>1371</v>
      </c>
      <c r="E664" s="157" t="s">
        <v>1372</v>
      </c>
      <c r="F664" s="157" t="s">
        <v>2250</v>
      </c>
      <c r="G664" s="157" t="s">
        <v>2251</v>
      </c>
      <c r="H664" s="157"/>
      <c r="I664" s="158">
        <v>14.33978782</v>
      </c>
      <c r="J664" s="158">
        <v>49.99618792</v>
      </c>
      <c r="K664" s="157" t="s">
        <v>2252</v>
      </c>
      <c r="L664" s="157" t="s">
        <v>648</v>
      </c>
      <c r="M664" s="158">
        <v>2020.0</v>
      </c>
      <c r="N664" s="157" t="s">
        <v>114</v>
      </c>
      <c r="O664" s="157" t="s">
        <v>1376</v>
      </c>
      <c r="P664" s="161" t="b">
        <v>1</v>
      </c>
      <c r="Q664" s="158">
        <v>0.500815</v>
      </c>
      <c r="R664" s="158">
        <v>0.035411</v>
      </c>
      <c r="S664" s="158">
        <v>0.465404</v>
      </c>
      <c r="T664" s="157" t="s">
        <v>114</v>
      </c>
      <c r="U664" s="46" t="s">
        <v>651</v>
      </c>
      <c r="V664" s="46" t="b">
        <v>1</v>
      </c>
      <c r="W664" s="46">
        <v>0.95</v>
      </c>
      <c r="X664" s="46">
        <v>0.0336404499999999</v>
      </c>
      <c r="Y664" s="46">
        <v>85.1129326931724</v>
      </c>
      <c r="Z664" s="46" t="b">
        <v>0</v>
      </c>
      <c r="AA664" s="46" t="b">
        <v>1</v>
      </c>
    </row>
    <row r="665">
      <c r="A665" s="157" t="s">
        <v>580</v>
      </c>
      <c r="B665" s="158">
        <v>1.0</v>
      </c>
      <c r="C665" s="157" t="s">
        <v>642</v>
      </c>
      <c r="D665" s="157" t="s">
        <v>643</v>
      </c>
      <c r="E665" s="157" t="s">
        <v>644</v>
      </c>
      <c r="F665" s="157" t="s">
        <v>2253</v>
      </c>
      <c r="G665" s="157" t="s">
        <v>2254</v>
      </c>
      <c r="H665" s="157"/>
      <c r="I665" s="158">
        <v>24.284166</v>
      </c>
      <c r="J665" s="158">
        <v>56.919167</v>
      </c>
      <c r="K665" s="157" t="s">
        <v>2255</v>
      </c>
      <c r="L665" s="157" t="s">
        <v>648</v>
      </c>
      <c r="M665" s="158">
        <v>2022.0</v>
      </c>
      <c r="N665" s="157" t="s">
        <v>649</v>
      </c>
      <c r="O665" s="157" t="s">
        <v>650</v>
      </c>
      <c r="P665" s="161" t="b">
        <v>0</v>
      </c>
      <c r="Q665" s="158">
        <v>0.488</v>
      </c>
      <c r="R665" s="158">
        <v>0.035392882</v>
      </c>
      <c r="S665" s="158">
        <v>0.452607118</v>
      </c>
      <c r="T665" s="157" t="s">
        <v>594</v>
      </c>
      <c r="U665" s="46" t="s">
        <v>651</v>
      </c>
      <c r="V665" s="46" t="b">
        <v>1</v>
      </c>
      <c r="W665" s="46">
        <v>0.95</v>
      </c>
      <c r="X665" s="46">
        <v>0.0336232379</v>
      </c>
      <c r="Y665" s="46">
        <v>106.193750318149</v>
      </c>
      <c r="Z665" s="46" t="b">
        <v>0</v>
      </c>
      <c r="AA665" s="46" t="b">
        <v>0</v>
      </c>
    </row>
    <row r="666">
      <c r="A666" s="157" t="s">
        <v>560</v>
      </c>
      <c r="B666" s="158">
        <v>1.0</v>
      </c>
      <c r="C666" s="157" t="s">
        <v>642</v>
      </c>
      <c r="D666" s="157" t="s">
        <v>643</v>
      </c>
      <c r="E666" s="157" t="s">
        <v>644</v>
      </c>
      <c r="F666" s="157" t="s">
        <v>2256</v>
      </c>
      <c r="G666" s="157" t="s">
        <v>2257</v>
      </c>
      <c r="H666" s="157"/>
      <c r="I666" s="158">
        <v>15.488333</v>
      </c>
      <c r="J666" s="158">
        <v>46.911667</v>
      </c>
      <c r="K666" s="157" t="s">
        <v>2258</v>
      </c>
      <c r="L666" s="157" t="s">
        <v>648</v>
      </c>
      <c r="M666" s="158">
        <v>2022.0</v>
      </c>
      <c r="N666" s="157" t="s">
        <v>649</v>
      </c>
      <c r="O666" s="157" t="s">
        <v>650</v>
      </c>
      <c r="P666" s="161" t="b">
        <v>0</v>
      </c>
      <c r="Q666" s="158">
        <v>0.485</v>
      </c>
      <c r="R666" s="158">
        <v>0.035175303</v>
      </c>
      <c r="S666" s="158">
        <v>0.449824697</v>
      </c>
      <c r="T666" s="157" t="s">
        <v>594</v>
      </c>
      <c r="U666" s="46" t="s">
        <v>651</v>
      </c>
      <c r="V666" s="46" t="b">
        <v>1</v>
      </c>
      <c r="W666" s="46">
        <v>0.95</v>
      </c>
      <c r="X666" s="46">
        <v>0.03341653785</v>
      </c>
      <c r="Y666" s="46" t="s">
        <v>640</v>
      </c>
      <c r="Z666" s="46" t="b">
        <v>0</v>
      </c>
      <c r="AA666" s="46" t="b">
        <v>0</v>
      </c>
    </row>
    <row r="667">
      <c r="A667" s="157" t="s">
        <v>566</v>
      </c>
      <c r="B667" s="158">
        <v>1.0</v>
      </c>
      <c r="C667" s="157" t="s">
        <v>642</v>
      </c>
      <c r="D667" s="157" t="s">
        <v>643</v>
      </c>
      <c r="E667" s="157" t="s">
        <v>644</v>
      </c>
      <c r="F667" s="157" t="s">
        <v>2259</v>
      </c>
      <c r="G667" s="157" t="s">
        <v>2260</v>
      </c>
      <c r="H667" s="157"/>
      <c r="I667" s="158">
        <v>18.62656975</v>
      </c>
      <c r="J667" s="158">
        <v>49.96454239</v>
      </c>
      <c r="K667" s="157" t="s">
        <v>2261</v>
      </c>
      <c r="L667" s="157" t="s">
        <v>648</v>
      </c>
      <c r="M667" s="158">
        <v>2022.0</v>
      </c>
      <c r="N667" s="157" t="s">
        <v>649</v>
      </c>
      <c r="O667" s="157" t="s">
        <v>650</v>
      </c>
      <c r="P667" s="161" t="b">
        <v>0</v>
      </c>
      <c r="Q667" s="158">
        <v>0.475</v>
      </c>
      <c r="R667" s="158">
        <v>0.034450039</v>
      </c>
      <c r="S667" s="158">
        <v>0.440549961</v>
      </c>
      <c r="T667" s="157" t="s">
        <v>594</v>
      </c>
      <c r="U667" s="46" t="s">
        <v>651</v>
      </c>
      <c r="V667" s="46" t="b">
        <v>1</v>
      </c>
      <c r="W667" s="46">
        <v>0.95</v>
      </c>
      <c r="X667" s="46">
        <v>0.03272753705</v>
      </c>
      <c r="Y667" s="46" t="s">
        <v>640</v>
      </c>
      <c r="Z667" s="46" t="b">
        <v>0</v>
      </c>
      <c r="AA667" s="46" t="b">
        <v>0</v>
      </c>
    </row>
    <row r="668">
      <c r="A668" s="157" t="s">
        <v>556</v>
      </c>
      <c r="B668" s="158">
        <v>3.0</v>
      </c>
      <c r="C668" s="157" t="s">
        <v>1215</v>
      </c>
      <c r="D668" s="157" t="s">
        <v>1371</v>
      </c>
      <c r="E668" s="157" t="s">
        <v>1372</v>
      </c>
      <c r="F668" s="157" t="s">
        <v>2262</v>
      </c>
      <c r="G668" s="157" t="s">
        <v>2263</v>
      </c>
      <c r="H668" s="157"/>
      <c r="I668" s="158">
        <v>5.40896</v>
      </c>
      <c r="J668" s="158">
        <v>45.8081</v>
      </c>
      <c r="K668" s="157" t="s">
        <v>2264</v>
      </c>
      <c r="L668" s="157" t="s">
        <v>648</v>
      </c>
      <c r="M668" s="158">
        <v>2022.0</v>
      </c>
      <c r="N668" s="157" t="s">
        <v>114</v>
      </c>
      <c r="O668" s="157" t="s">
        <v>1376</v>
      </c>
      <c r="P668" s="161" t="b">
        <v>1</v>
      </c>
      <c r="Q668" s="158">
        <v>0.893</v>
      </c>
      <c r="R668" s="158">
        <v>0.034405217</v>
      </c>
      <c r="S668" s="158">
        <v>0.858594783</v>
      </c>
      <c r="T668" s="157" t="s">
        <v>114</v>
      </c>
      <c r="U668" s="46" t="s">
        <v>651</v>
      </c>
      <c r="V668" s="46" t="b">
        <v>1</v>
      </c>
      <c r="W668" s="46">
        <v>0.95</v>
      </c>
      <c r="X668" s="46">
        <v>0.03268495615</v>
      </c>
      <c r="Y668" s="46">
        <v>44.8141079097151</v>
      </c>
      <c r="Z668" s="46" t="b">
        <v>1</v>
      </c>
      <c r="AA668" s="46" t="b">
        <v>1</v>
      </c>
    </row>
    <row r="669">
      <c r="A669" s="157" t="s">
        <v>561</v>
      </c>
      <c r="B669" s="158">
        <v>1.0</v>
      </c>
      <c r="C669" s="157" t="s">
        <v>642</v>
      </c>
      <c r="D669" s="157" t="s">
        <v>643</v>
      </c>
      <c r="E669" s="157" t="s">
        <v>644</v>
      </c>
      <c r="F669" s="157" t="s">
        <v>2265</v>
      </c>
      <c r="G669" s="157" t="s">
        <v>2266</v>
      </c>
      <c r="H669" s="157"/>
      <c r="I669" s="158">
        <v>-2.251731</v>
      </c>
      <c r="J669" s="158">
        <v>42.419287</v>
      </c>
      <c r="K669" s="157" t="s">
        <v>2267</v>
      </c>
      <c r="L669" s="157" t="s">
        <v>648</v>
      </c>
      <c r="M669" s="158">
        <v>2022.0</v>
      </c>
      <c r="N669" s="157" t="s">
        <v>649</v>
      </c>
      <c r="O669" s="157" t="s">
        <v>650</v>
      </c>
      <c r="P669" s="161" t="b">
        <v>0</v>
      </c>
      <c r="Q669" s="158">
        <v>0.474</v>
      </c>
      <c r="R669" s="158">
        <v>0.034377512</v>
      </c>
      <c r="S669" s="158">
        <v>0.439622488</v>
      </c>
      <c r="T669" s="157" t="s">
        <v>594</v>
      </c>
      <c r="U669" s="46" t="s">
        <v>651</v>
      </c>
      <c r="V669" s="46" t="b">
        <v>1</v>
      </c>
      <c r="W669" s="46">
        <v>0.95</v>
      </c>
      <c r="X669" s="46">
        <v>0.0326586363999999</v>
      </c>
      <c r="Y669" s="46">
        <v>134.92765365413</v>
      </c>
      <c r="Z669" s="46" t="b">
        <v>0</v>
      </c>
      <c r="AA669" s="46" t="b">
        <v>0</v>
      </c>
    </row>
    <row r="670">
      <c r="A670" s="157" t="s">
        <v>556</v>
      </c>
      <c r="B670" s="158">
        <v>5.0</v>
      </c>
      <c r="C670" s="157" t="s">
        <v>652</v>
      </c>
      <c r="D670" s="157" t="s">
        <v>895</v>
      </c>
      <c r="E670" s="157" t="s">
        <v>896</v>
      </c>
      <c r="F670" s="157" t="s">
        <v>2268</v>
      </c>
      <c r="G670" s="157" t="s">
        <v>2269</v>
      </c>
      <c r="H670" s="157"/>
      <c r="I670" s="158">
        <v>2.43645</v>
      </c>
      <c r="J670" s="158">
        <v>48.77821</v>
      </c>
      <c r="K670" s="157" t="s">
        <v>2270</v>
      </c>
      <c r="L670" s="157" t="s">
        <v>648</v>
      </c>
      <c r="M670" s="158">
        <v>2022.0</v>
      </c>
      <c r="N670" s="157" t="s">
        <v>116</v>
      </c>
      <c r="O670" s="157" t="s">
        <v>900</v>
      </c>
      <c r="P670" s="161" t="b">
        <v>1</v>
      </c>
      <c r="Q670" s="158">
        <v>0.204</v>
      </c>
      <c r="R670" s="158">
        <v>0.033681331</v>
      </c>
      <c r="S670" s="158">
        <v>0.170318669</v>
      </c>
      <c r="T670" s="157" t="s">
        <v>116</v>
      </c>
      <c r="U670" s="46" t="s">
        <v>651</v>
      </c>
      <c r="V670" s="46" t="b">
        <v>1</v>
      </c>
      <c r="W670" s="46">
        <v>0.95</v>
      </c>
      <c r="X670" s="46">
        <v>0.03199726445</v>
      </c>
      <c r="Y670" s="46">
        <v>7.16848211767424</v>
      </c>
      <c r="Z670" s="46" t="b">
        <v>1</v>
      </c>
      <c r="AA670" s="46" t="b">
        <v>1</v>
      </c>
    </row>
    <row r="671">
      <c r="A671" s="157" t="s">
        <v>559</v>
      </c>
      <c r="B671" s="158">
        <v>3.0</v>
      </c>
      <c r="C671" s="157" t="s">
        <v>1215</v>
      </c>
      <c r="D671" s="157" t="s">
        <v>1216</v>
      </c>
      <c r="E671" s="157" t="s">
        <v>1217</v>
      </c>
      <c r="F671" s="157" t="s">
        <v>2271</v>
      </c>
      <c r="G671" s="157" t="s">
        <v>2272</v>
      </c>
      <c r="H671" s="157"/>
      <c r="I671" s="158">
        <v>9.4667</v>
      </c>
      <c r="J671" s="158">
        <v>45.6847</v>
      </c>
      <c r="K671" s="157" t="s">
        <v>2273</v>
      </c>
      <c r="L671" s="157" t="s">
        <v>648</v>
      </c>
      <c r="M671" s="158">
        <v>2022.0</v>
      </c>
      <c r="N671" s="157" t="s">
        <v>114</v>
      </c>
      <c r="O671" s="157" t="s">
        <v>1221</v>
      </c>
      <c r="P671" s="161" t="b">
        <v>1</v>
      </c>
      <c r="Q671" s="158">
        <v>0.735396</v>
      </c>
      <c r="R671" s="158">
        <v>0.033488305</v>
      </c>
      <c r="S671" s="158">
        <v>0.701907695</v>
      </c>
      <c r="T671" s="157" t="s">
        <v>114</v>
      </c>
      <c r="U671" s="46" t="s">
        <v>651</v>
      </c>
      <c r="V671" s="46" t="b">
        <v>1</v>
      </c>
      <c r="W671" s="46">
        <v>0.95</v>
      </c>
      <c r="X671" s="46">
        <v>0.03181388975</v>
      </c>
      <c r="Y671" s="46">
        <v>29.4911567756098</v>
      </c>
      <c r="Z671" s="46" t="b">
        <v>1</v>
      </c>
      <c r="AA671" s="46" t="b">
        <v>1</v>
      </c>
    </row>
    <row r="672">
      <c r="A672" s="157" t="s">
        <v>558</v>
      </c>
      <c r="B672" s="158">
        <v>3.0</v>
      </c>
      <c r="C672" s="157" t="s">
        <v>1215</v>
      </c>
      <c r="D672" s="157" t="s">
        <v>1371</v>
      </c>
      <c r="E672" s="157" t="s">
        <v>1372</v>
      </c>
      <c r="F672" s="157" t="s">
        <v>2274</v>
      </c>
      <c r="G672" s="157" t="s">
        <v>2275</v>
      </c>
      <c r="H672" s="157"/>
      <c r="I672" s="158">
        <v>-8.41955</v>
      </c>
      <c r="J672" s="158">
        <v>40.292873</v>
      </c>
      <c r="K672" s="157" t="s">
        <v>2276</v>
      </c>
      <c r="L672" s="157" t="s">
        <v>648</v>
      </c>
      <c r="M672" s="158">
        <v>2022.0</v>
      </c>
      <c r="N672" s="157" t="s">
        <v>114</v>
      </c>
      <c r="O672" s="157" t="s">
        <v>1376</v>
      </c>
      <c r="P672" s="161" t="b">
        <v>1</v>
      </c>
      <c r="Q672" s="158">
        <v>0.868</v>
      </c>
      <c r="R672" s="158">
        <v>0.033442025</v>
      </c>
      <c r="S672" s="158">
        <v>0.834557975</v>
      </c>
      <c r="T672" s="157" t="s">
        <v>114</v>
      </c>
      <c r="U672" s="46" t="s">
        <v>651</v>
      </c>
      <c r="V672" s="46" t="b">
        <v>1</v>
      </c>
      <c r="W672" s="46">
        <v>0.95</v>
      </c>
      <c r="X672" s="46">
        <v>0.03176992375</v>
      </c>
      <c r="Y672" s="46" t="s">
        <v>640</v>
      </c>
      <c r="Z672" s="46" t="b">
        <v>0</v>
      </c>
      <c r="AA672" s="46" t="b">
        <v>0</v>
      </c>
    </row>
    <row r="673">
      <c r="A673" s="157" t="s">
        <v>569</v>
      </c>
      <c r="B673" s="158">
        <v>1.0</v>
      </c>
      <c r="C673" s="157" t="s">
        <v>642</v>
      </c>
      <c r="D673" s="157" t="s">
        <v>643</v>
      </c>
      <c r="E673" s="157" t="s">
        <v>644</v>
      </c>
      <c r="F673" s="157" t="s">
        <v>2277</v>
      </c>
      <c r="G673" s="157" t="s">
        <v>2278</v>
      </c>
      <c r="H673" s="157"/>
      <c r="I673" s="158">
        <v>18.918461</v>
      </c>
      <c r="J673" s="158">
        <v>47.328165</v>
      </c>
      <c r="K673" s="157" t="s">
        <v>2279</v>
      </c>
      <c r="L673" s="157" t="s">
        <v>648</v>
      </c>
      <c r="M673" s="158">
        <v>2022.0</v>
      </c>
      <c r="N673" s="157" t="s">
        <v>649</v>
      </c>
      <c r="O673" s="157" t="s">
        <v>650</v>
      </c>
      <c r="P673" s="161" t="b">
        <v>0</v>
      </c>
      <c r="Q673" s="158">
        <v>0.457001</v>
      </c>
      <c r="R673" s="158">
        <v>0.033144636</v>
      </c>
      <c r="S673" s="158">
        <v>0.423856364</v>
      </c>
      <c r="T673" s="157" t="s">
        <v>594</v>
      </c>
      <c r="U673" s="46" t="s">
        <v>651</v>
      </c>
      <c r="V673" s="46" t="b">
        <v>1</v>
      </c>
      <c r="W673" s="46">
        <v>0.95</v>
      </c>
      <c r="X673" s="46">
        <v>0.0314874042</v>
      </c>
      <c r="Y673" s="46" t="s">
        <v>640</v>
      </c>
      <c r="Z673" s="46" t="b">
        <v>0</v>
      </c>
      <c r="AA673" s="46" t="b">
        <v>0</v>
      </c>
    </row>
    <row r="674">
      <c r="A674" s="157" t="s">
        <v>556</v>
      </c>
      <c r="B674" s="158">
        <v>3.0</v>
      </c>
      <c r="C674" s="157" t="s">
        <v>1215</v>
      </c>
      <c r="D674" s="157" t="s">
        <v>1371</v>
      </c>
      <c r="E674" s="157" t="s">
        <v>1372</v>
      </c>
      <c r="F674" s="157" t="s">
        <v>2280</v>
      </c>
      <c r="G674" s="157" t="s">
        <v>2281</v>
      </c>
      <c r="H674" s="157"/>
      <c r="I674" s="158">
        <v>4.58384</v>
      </c>
      <c r="J674" s="158">
        <v>48.72431</v>
      </c>
      <c r="K674" s="157" t="s">
        <v>2282</v>
      </c>
      <c r="L674" s="157" t="s">
        <v>648</v>
      </c>
      <c r="M674" s="158">
        <v>2022.0</v>
      </c>
      <c r="N674" s="157" t="s">
        <v>114</v>
      </c>
      <c r="O674" s="157" t="s">
        <v>1376</v>
      </c>
      <c r="P674" s="161" t="b">
        <v>1</v>
      </c>
      <c r="Q674" s="158">
        <v>0.855</v>
      </c>
      <c r="R674" s="158">
        <v>0.032941165</v>
      </c>
      <c r="S674" s="158">
        <v>0.822058835</v>
      </c>
      <c r="T674" s="157" t="s">
        <v>114</v>
      </c>
      <c r="U674" s="46" t="s">
        <v>651</v>
      </c>
      <c r="V674" s="46" t="b">
        <v>1</v>
      </c>
      <c r="W674" s="46">
        <v>0.95</v>
      </c>
      <c r="X674" s="46">
        <v>0.03129410675</v>
      </c>
      <c r="Y674" s="46" t="s">
        <v>640</v>
      </c>
      <c r="Z674" s="46" t="b">
        <v>0</v>
      </c>
      <c r="AA674" s="46" t="b">
        <v>0</v>
      </c>
    </row>
    <row r="675">
      <c r="A675" s="157" t="s">
        <v>556</v>
      </c>
      <c r="B675" s="158">
        <v>1.0</v>
      </c>
      <c r="C675" s="157" t="s">
        <v>642</v>
      </c>
      <c r="D675" s="157" t="s">
        <v>643</v>
      </c>
      <c r="E675" s="157" t="s">
        <v>644</v>
      </c>
      <c r="F675" s="157" t="s">
        <v>2283</v>
      </c>
      <c r="G675" s="157" t="s">
        <v>2284</v>
      </c>
      <c r="H675" s="157"/>
      <c r="I675" s="158">
        <v>9.447</v>
      </c>
      <c r="J675" s="158">
        <v>42.528</v>
      </c>
      <c r="K675" s="157" t="s">
        <v>2285</v>
      </c>
      <c r="L675" s="157" t="s">
        <v>648</v>
      </c>
      <c r="M675" s="158">
        <v>2022.0</v>
      </c>
      <c r="N675" s="157" t="s">
        <v>649</v>
      </c>
      <c r="O675" s="157" t="s">
        <v>650</v>
      </c>
      <c r="P675" s="161" t="b">
        <v>0</v>
      </c>
      <c r="Q675" s="158">
        <v>0.449</v>
      </c>
      <c r="R675" s="158">
        <v>0.032564352</v>
      </c>
      <c r="S675" s="158">
        <v>0.416435648</v>
      </c>
      <c r="T675" s="157" t="s">
        <v>594</v>
      </c>
      <c r="U675" s="46" t="s">
        <v>651</v>
      </c>
      <c r="V675" s="46" t="b">
        <v>1</v>
      </c>
      <c r="W675" s="46">
        <v>0.95</v>
      </c>
      <c r="X675" s="46">
        <v>0.0309361343999999</v>
      </c>
      <c r="Y675" s="46" t="s">
        <v>640</v>
      </c>
      <c r="Z675" s="46" t="b">
        <v>0</v>
      </c>
      <c r="AA675" s="46" t="b">
        <v>0</v>
      </c>
    </row>
    <row r="676">
      <c r="A676" s="157" t="s">
        <v>562</v>
      </c>
      <c r="B676" s="158">
        <v>3.0</v>
      </c>
      <c r="C676" s="157" t="s">
        <v>1215</v>
      </c>
      <c r="D676" s="157" t="s">
        <v>1371</v>
      </c>
      <c r="E676" s="157" t="s">
        <v>1372</v>
      </c>
      <c r="F676" s="157" t="s">
        <v>2286</v>
      </c>
      <c r="G676" s="157" t="s">
        <v>2287</v>
      </c>
      <c r="H676" s="157"/>
      <c r="I676" s="158">
        <v>3.442585</v>
      </c>
      <c r="J676" s="158">
        <v>50.576035</v>
      </c>
      <c r="K676" s="157" t="s">
        <v>2288</v>
      </c>
      <c r="L676" s="157" t="s">
        <v>648</v>
      </c>
      <c r="M676" s="158">
        <v>2022.0</v>
      </c>
      <c r="N676" s="157" t="s">
        <v>114</v>
      </c>
      <c r="O676" s="157" t="s">
        <v>1376</v>
      </c>
      <c r="P676" s="161" t="b">
        <v>1</v>
      </c>
      <c r="Q676" s="158">
        <v>0.845</v>
      </c>
      <c r="R676" s="158">
        <v>0.032555888</v>
      </c>
      <c r="S676" s="158">
        <v>0.812444112</v>
      </c>
      <c r="T676" s="157" t="s">
        <v>114</v>
      </c>
      <c r="U676" s="46" t="s">
        <v>651</v>
      </c>
      <c r="V676" s="46" t="b">
        <v>1</v>
      </c>
      <c r="W676" s="46">
        <v>0.95</v>
      </c>
      <c r="X676" s="46">
        <v>0.0309280935999999</v>
      </c>
      <c r="Y676" s="46">
        <v>36.6251363876531</v>
      </c>
      <c r="Z676" s="46" t="b">
        <v>1</v>
      </c>
      <c r="AA676" s="46" t="b">
        <v>1</v>
      </c>
    </row>
    <row r="677">
      <c r="A677" s="157" t="s">
        <v>566</v>
      </c>
      <c r="B677" s="158">
        <v>1.0</v>
      </c>
      <c r="C677" s="157" t="s">
        <v>642</v>
      </c>
      <c r="D677" s="157" t="s">
        <v>643</v>
      </c>
      <c r="E677" s="157" t="s">
        <v>644</v>
      </c>
      <c r="F677" s="157" t="s">
        <v>2289</v>
      </c>
      <c r="G677" s="157" t="s">
        <v>2290</v>
      </c>
      <c r="H677" s="157"/>
      <c r="I677" s="158">
        <v>15.48888874</v>
      </c>
      <c r="J677" s="158">
        <v>51.95111084</v>
      </c>
      <c r="K677" s="157" t="s">
        <v>2291</v>
      </c>
      <c r="L677" s="157" t="s">
        <v>648</v>
      </c>
      <c r="M677" s="158">
        <v>2022.0</v>
      </c>
      <c r="N677" s="157" t="s">
        <v>649</v>
      </c>
      <c r="O677" s="157" t="s">
        <v>650</v>
      </c>
      <c r="P677" s="161" t="b">
        <v>0</v>
      </c>
      <c r="Q677" s="158">
        <v>0.447</v>
      </c>
      <c r="R677" s="158">
        <v>0.032419299</v>
      </c>
      <c r="S677" s="158">
        <v>0.414580701</v>
      </c>
      <c r="T677" s="157" t="s">
        <v>594</v>
      </c>
      <c r="U677" s="46" t="s">
        <v>651</v>
      </c>
      <c r="V677" s="46" t="b">
        <v>1</v>
      </c>
      <c r="W677" s="46">
        <v>0.95</v>
      </c>
      <c r="X677" s="46">
        <v>0.0307983340499999</v>
      </c>
      <c r="Y677" s="46">
        <v>82.4676539591777</v>
      </c>
      <c r="Z677" s="46" t="b">
        <v>0</v>
      </c>
      <c r="AA677" s="46" t="b">
        <v>1</v>
      </c>
    </row>
    <row r="678">
      <c r="A678" s="157" t="s">
        <v>556</v>
      </c>
      <c r="B678" s="158">
        <v>1.0</v>
      </c>
      <c r="C678" s="157" t="s">
        <v>642</v>
      </c>
      <c r="D678" s="157" t="s">
        <v>643</v>
      </c>
      <c r="E678" s="157" t="s">
        <v>644</v>
      </c>
      <c r="F678" s="157" t="s">
        <v>2292</v>
      </c>
      <c r="G678" s="157" t="s">
        <v>2293</v>
      </c>
      <c r="H678" s="157"/>
      <c r="I678" s="158">
        <v>5.16207</v>
      </c>
      <c r="J678" s="158">
        <v>43.503</v>
      </c>
      <c r="K678" s="157" t="s">
        <v>2294</v>
      </c>
      <c r="L678" s="157" t="s">
        <v>648</v>
      </c>
      <c r="M678" s="158">
        <v>2022.0</v>
      </c>
      <c r="N678" s="157" t="s">
        <v>649</v>
      </c>
      <c r="O678" s="157" t="s">
        <v>650</v>
      </c>
      <c r="P678" s="161" t="b">
        <v>0</v>
      </c>
      <c r="Q678" s="158">
        <v>0.444</v>
      </c>
      <c r="R678" s="158">
        <v>0.03220172</v>
      </c>
      <c r="S678" s="158">
        <v>0.41179828</v>
      </c>
      <c r="T678" s="157" t="s">
        <v>594</v>
      </c>
      <c r="U678" s="46" t="s">
        <v>651</v>
      </c>
      <c r="V678" s="46" t="b">
        <v>1</v>
      </c>
      <c r="W678" s="46">
        <v>0.95</v>
      </c>
      <c r="X678" s="46">
        <v>0.030591634</v>
      </c>
      <c r="Y678" s="46">
        <v>35.1405809321935</v>
      </c>
      <c r="Z678" s="46" t="b">
        <v>1</v>
      </c>
      <c r="AA678" s="46" t="b">
        <v>1</v>
      </c>
    </row>
    <row r="679">
      <c r="A679" s="157" t="s">
        <v>556</v>
      </c>
      <c r="B679" s="158">
        <v>4.0</v>
      </c>
      <c r="C679" s="157" t="s">
        <v>1092</v>
      </c>
      <c r="D679" s="157" t="s">
        <v>1912</v>
      </c>
      <c r="E679" s="157" t="s">
        <v>1913</v>
      </c>
      <c r="F679" s="157" t="s">
        <v>2295</v>
      </c>
      <c r="G679" s="157" t="s">
        <v>2296</v>
      </c>
      <c r="H679" s="157"/>
      <c r="I679" s="158">
        <v>6.35778</v>
      </c>
      <c r="J679" s="158">
        <v>48.6196</v>
      </c>
      <c r="K679" s="157" t="s">
        <v>2297</v>
      </c>
      <c r="L679" s="157" t="s">
        <v>648</v>
      </c>
      <c r="M679" s="158">
        <v>2022.0</v>
      </c>
      <c r="N679" s="157" t="s">
        <v>201</v>
      </c>
      <c r="O679" s="157" t="s">
        <v>1098</v>
      </c>
      <c r="P679" s="161" t="b">
        <v>1</v>
      </c>
      <c r="Q679" s="158">
        <v>0.572</v>
      </c>
      <c r="R679" s="158">
        <v>0.031888502</v>
      </c>
      <c r="S679" s="158">
        <v>0.540111498</v>
      </c>
      <c r="T679" s="157" t="s">
        <v>201</v>
      </c>
      <c r="U679" s="46" t="s">
        <v>651</v>
      </c>
      <c r="V679" s="46" t="b">
        <v>1</v>
      </c>
      <c r="W679" s="46">
        <v>0.95</v>
      </c>
      <c r="X679" s="46">
        <v>0.0302940768999999</v>
      </c>
      <c r="Y679" s="46">
        <v>67.8796729923341</v>
      </c>
      <c r="Z679" s="46" t="b">
        <v>0</v>
      </c>
      <c r="AA679" s="46" t="b">
        <v>1</v>
      </c>
    </row>
    <row r="680">
      <c r="A680" s="157" t="s">
        <v>562</v>
      </c>
      <c r="B680" s="158">
        <v>3.0</v>
      </c>
      <c r="C680" s="157" t="s">
        <v>1215</v>
      </c>
      <c r="D680" s="157" t="s">
        <v>1371</v>
      </c>
      <c r="E680" s="157" t="s">
        <v>1372</v>
      </c>
      <c r="F680" s="157" t="s">
        <v>2298</v>
      </c>
      <c r="G680" s="157" t="s">
        <v>2299</v>
      </c>
      <c r="H680" s="157"/>
      <c r="I680" s="158">
        <v>3.9938896</v>
      </c>
      <c r="J680" s="158">
        <v>50.4723</v>
      </c>
      <c r="K680" s="157" t="s">
        <v>2300</v>
      </c>
      <c r="L680" s="157" t="s">
        <v>648</v>
      </c>
      <c r="M680" s="158">
        <v>2022.0</v>
      </c>
      <c r="N680" s="157" t="s">
        <v>114</v>
      </c>
      <c r="O680" s="157" t="s">
        <v>1376</v>
      </c>
      <c r="P680" s="161" t="b">
        <v>1</v>
      </c>
      <c r="Q680" s="158">
        <v>0.826</v>
      </c>
      <c r="R680" s="158">
        <v>0.031823862</v>
      </c>
      <c r="S680" s="158">
        <v>0.794176138</v>
      </c>
      <c r="T680" s="157" t="s">
        <v>114</v>
      </c>
      <c r="U680" s="46" t="s">
        <v>651</v>
      </c>
      <c r="V680" s="46" t="b">
        <v>1</v>
      </c>
      <c r="W680" s="46">
        <v>0.95</v>
      </c>
      <c r="X680" s="46">
        <v>0.0302326689</v>
      </c>
      <c r="Y680" s="46">
        <v>8.40240815867884</v>
      </c>
      <c r="Z680" s="46" t="b">
        <v>1</v>
      </c>
      <c r="AA680" s="46" t="b">
        <v>1</v>
      </c>
    </row>
    <row r="681">
      <c r="A681" s="157" t="s">
        <v>559</v>
      </c>
      <c r="B681" s="158">
        <v>1.0</v>
      </c>
      <c r="C681" s="157" t="s">
        <v>642</v>
      </c>
      <c r="D681" s="157" t="s">
        <v>643</v>
      </c>
      <c r="E681" s="157" t="s">
        <v>644</v>
      </c>
      <c r="F681" s="157" t="s">
        <v>2301</v>
      </c>
      <c r="G681" s="157" t="s">
        <v>2302</v>
      </c>
      <c r="H681" s="157"/>
      <c r="I681" s="158">
        <v>16.7564</v>
      </c>
      <c r="J681" s="158">
        <v>41.1024</v>
      </c>
      <c r="K681" s="157" t="s">
        <v>2303</v>
      </c>
      <c r="L681" s="157" t="s">
        <v>648</v>
      </c>
      <c r="M681" s="158">
        <v>2022.0</v>
      </c>
      <c r="N681" s="157" t="s">
        <v>649</v>
      </c>
      <c r="O681" s="157" t="s">
        <v>650</v>
      </c>
      <c r="P681" s="161" t="b">
        <v>0</v>
      </c>
      <c r="Q681" s="158">
        <v>0.438225424</v>
      </c>
      <c r="R681" s="158">
        <v>0.031782911</v>
      </c>
      <c r="S681" s="158">
        <v>0.406442513</v>
      </c>
      <c r="T681" s="157" t="s">
        <v>594</v>
      </c>
      <c r="U681" s="46" t="s">
        <v>651</v>
      </c>
      <c r="V681" s="46" t="b">
        <v>1</v>
      </c>
      <c r="W681" s="46">
        <v>0.95</v>
      </c>
      <c r="X681" s="46">
        <v>0.0301937654499999</v>
      </c>
      <c r="Y681" s="46" t="s">
        <v>640</v>
      </c>
      <c r="Z681" s="46" t="b">
        <v>0</v>
      </c>
      <c r="AA681" s="46" t="b">
        <v>0</v>
      </c>
    </row>
    <row r="682">
      <c r="A682" s="157" t="s">
        <v>558</v>
      </c>
      <c r="B682" s="158">
        <v>3.0</v>
      </c>
      <c r="C682" s="157" t="s">
        <v>1215</v>
      </c>
      <c r="D682" s="157" t="s">
        <v>1371</v>
      </c>
      <c r="E682" s="157" t="s">
        <v>1372</v>
      </c>
      <c r="F682" s="157" t="s">
        <v>2304</v>
      </c>
      <c r="G682" s="157" t="s">
        <v>2305</v>
      </c>
      <c r="H682" s="157"/>
      <c r="I682" s="158">
        <v>-8.935265</v>
      </c>
      <c r="J682" s="158">
        <v>38.500542</v>
      </c>
      <c r="K682" s="157" t="s">
        <v>2306</v>
      </c>
      <c r="L682" s="157" t="s">
        <v>648</v>
      </c>
      <c r="M682" s="158">
        <v>2022.0</v>
      </c>
      <c r="N682" s="157" t="s">
        <v>114</v>
      </c>
      <c r="O682" s="157" t="s">
        <v>1376</v>
      </c>
      <c r="P682" s="161" t="b">
        <v>1</v>
      </c>
      <c r="Q682" s="158">
        <v>0.821</v>
      </c>
      <c r="R682" s="158">
        <v>0.031631224</v>
      </c>
      <c r="S682" s="158">
        <v>0.789368776</v>
      </c>
      <c r="T682" s="157" t="s">
        <v>114</v>
      </c>
      <c r="U682" s="46" t="s">
        <v>651</v>
      </c>
      <c r="V682" s="46" t="b">
        <v>1</v>
      </c>
      <c r="W682" s="46">
        <v>0.95</v>
      </c>
      <c r="X682" s="46">
        <v>0.0300496627999999</v>
      </c>
      <c r="Y682" s="46" t="s">
        <v>640</v>
      </c>
      <c r="Z682" s="46" t="b">
        <v>0</v>
      </c>
      <c r="AA682" s="46" t="b">
        <v>0</v>
      </c>
    </row>
    <row r="683">
      <c r="A683" s="157" t="s">
        <v>561</v>
      </c>
      <c r="B683" s="158">
        <v>4.0</v>
      </c>
      <c r="C683" s="157" t="s">
        <v>1092</v>
      </c>
      <c r="D683" s="157" t="s">
        <v>2307</v>
      </c>
      <c r="E683" s="157" t="s">
        <v>2308</v>
      </c>
      <c r="F683" s="157" t="s">
        <v>2309</v>
      </c>
      <c r="G683" s="157" t="s">
        <v>2310</v>
      </c>
      <c r="H683" s="157"/>
      <c r="I683" s="158">
        <v>-7.454929</v>
      </c>
      <c r="J683" s="158">
        <v>43.697515</v>
      </c>
      <c r="K683" s="157" t="s">
        <v>2311</v>
      </c>
      <c r="L683" s="157" t="s">
        <v>648</v>
      </c>
      <c r="M683" s="158">
        <v>2022.0</v>
      </c>
      <c r="N683" s="157" t="s">
        <v>201</v>
      </c>
      <c r="O683" s="157" t="s">
        <v>1098</v>
      </c>
      <c r="P683" s="161" t="b">
        <v>1</v>
      </c>
      <c r="Q683" s="158">
        <v>0.566</v>
      </c>
      <c r="R683" s="158">
        <v>0.031554007</v>
      </c>
      <c r="S683" s="158">
        <v>0.534445993</v>
      </c>
      <c r="T683" s="157" t="s">
        <v>201</v>
      </c>
      <c r="U683" s="46" t="s">
        <v>651</v>
      </c>
      <c r="V683" s="46" t="b">
        <v>1</v>
      </c>
      <c r="W683" s="46">
        <v>0.95</v>
      </c>
      <c r="X683" s="46">
        <v>0.02997630665</v>
      </c>
      <c r="Y683" s="46" t="s">
        <v>640</v>
      </c>
      <c r="Z683" s="46" t="b">
        <v>0</v>
      </c>
      <c r="AA683" s="46" t="b">
        <v>0</v>
      </c>
    </row>
    <row r="684">
      <c r="A684" s="157" t="s">
        <v>556</v>
      </c>
      <c r="B684" s="158">
        <v>8.0</v>
      </c>
      <c r="C684" s="157" t="s">
        <v>1175</v>
      </c>
      <c r="D684" s="157" t="s">
        <v>1176</v>
      </c>
      <c r="E684" s="157" t="s">
        <v>1177</v>
      </c>
      <c r="F684" s="157" t="s">
        <v>2312</v>
      </c>
      <c r="G684" s="157" t="s">
        <v>2313</v>
      </c>
      <c r="H684" s="157"/>
      <c r="I684" s="158">
        <v>4.1634</v>
      </c>
      <c r="J684" s="158">
        <v>49.34907</v>
      </c>
      <c r="K684" s="157" t="s">
        <v>2314</v>
      </c>
      <c r="L684" s="157" t="s">
        <v>648</v>
      </c>
      <c r="M684" s="158">
        <v>2022.0</v>
      </c>
      <c r="N684" s="157" t="s">
        <v>552</v>
      </c>
      <c r="O684" s="157" t="s">
        <v>1181</v>
      </c>
      <c r="P684" s="161" t="b">
        <v>1</v>
      </c>
      <c r="Q684" s="158">
        <v>0.239</v>
      </c>
      <c r="R684" s="158">
        <v>0.031426771</v>
      </c>
      <c r="S684" s="158">
        <v>0.207573229</v>
      </c>
      <c r="T684" s="157" t="s">
        <v>552</v>
      </c>
      <c r="U684" s="46" t="s">
        <v>651</v>
      </c>
      <c r="V684" s="46" t="b">
        <v>1</v>
      </c>
      <c r="W684" s="46">
        <v>0.95</v>
      </c>
      <c r="X684" s="46">
        <v>0.0298554324499999</v>
      </c>
      <c r="Y684" s="46">
        <v>105.323074778508</v>
      </c>
      <c r="Z684" s="46" t="b">
        <v>0</v>
      </c>
      <c r="AA684" s="46" t="b">
        <v>0</v>
      </c>
    </row>
    <row r="685">
      <c r="A685" s="157" t="s">
        <v>582</v>
      </c>
      <c r="B685" s="158">
        <v>2.0</v>
      </c>
      <c r="C685" s="157" t="s">
        <v>916</v>
      </c>
      <c r="D685" s="157" t="s">
        <v>1203</v>
      </c>
      <c r="E685" s="157" t="s">
        <v>1204</v>
      </c>
      <c r="F685" s="157" t="s">
        <v>2315</v>
      </c>
      <c r="G685" s="157" t="s">
        <v>2316</v>
      </c>
      <c r="H685" s="157"/>
      <c r="I685" s="158">
        <v>-21.773782</v>
      </c>
      <c r="J685" s="158">
        <v>64.363836</v>
      </c>
      <c r="K685" s="157" t="s">
        <v>2317</v>
      </c>
      <c r="L685" s="157" t="s">
        <v>648</v>
      </c>
      <c r="M685" s="158">
        <v>2020.0</v>
      </c>
      <c r="N685" s="157" t="s">
        <v>549</v>
      </c>
      <c r="O685" s="157" t="s">
        <v>1208</v>
      </c>
      <c r="P685" s="161" t="b">
        <v>1</v>
      </c>
      <c r="Q685" s="158">
        <v>0.467721046</v>
      </c>
      <c r="R685" s="158">
        <v>0.031411949</v>
      </c>
      <c r="S685" s="158">
        <v>0.436309097</v>
      </c>
      <c r="T685" s="157" t="s">
        <v>549</v>
      </c>
      <c r="U685" s="46" t="s">
        <v>651</v>
      </c>
      <c r="V685" s="46" t="b">
        <v>1</v>
      </c>
      <c r="W685" s="46">
        <v>0.95</v>
      </c>
      <c r="X685" s="46">
        <v>0.02984135155</v>
      </c>
      <c r="Y685" s="46" t="s">
        <v>640</v>
      </c>
      <c r="Z685" s="46" t="b">
        <v>0</v>
      </c>
      <c r="AA685" s="46" t="b">
        <v>0</v>
      </c>
    </row>
    <row r="686">
      <c r="A686" s="157" t="s">
        <v>566</v>
      </c>
      <c r="B686" s="158">
        <v>1.0</v>
      </c>
      <c r="C686" s="157" t="s">
        <v>642</v>
      </c>
      <c r="D686" s="157" t="s">
        <v>643</v>
      </c>
      <c r="E686" s="157" t="s">
        <v>644</v>
      </c>
      <c r="F686" s="157" t="s">
        <v>2318</v>
      </c>
      <c r="G686" s="157" t="s">
        <v>2319</v>
      </c>
      <c r="H686" s="157"/>
      <c r="I686" s="158">
        <v>19.13888931</v>
      </c>
      <c r="J686" s="158">
        <v>50.30305481</v>
      </c>
      <c r="K686" s="157" t="s">
        <v>1440</v>
      </c>
      <c r="L686" s="157" t="s">
        <v>648</v>
      </c>
      <c r="M686" s="158">
        <v>2022.0</v>
      </c>
      <c r="N686" s="157" t="s">
        <v>649</v>
      </c>
      <c r="O686" s="157" t="s">
        <v>650</v>
      </c>
      <c r="P686" s="161" t="b">
        <v>0</v>
      </c>
      <c r="Q686" s="158">
        <v>0.427</v>
      </c>
      <c r="R686" s="158">
        <v>0.030968772</v>
      </c>
      <c r="S686" s="158">
        <v>0.396031228</v>
      </c>
      <c r="T686" s="157" t="s">
        <v>594</v>
      </c>
      <c r="U686" s="46" t="s">
        <v>651</v>
      </c>
      <c r="V686" s="46" t="b">
        <v>1</v>
      </c>
      <c r="W686" s="46">
        <v>0.95</v>
      </c>
      <c r="X686" s="46">
        <v>0.0294203334</v>
      </c>
      <c r="Y686" s="46" t="s">
        <v>640</v>
      </c>
      <c r="Z686" s="46" t="b">
        <v>0</v>
      </c>
      <c r="AA686" s="46" t="b">
        <v>0</v>
      </c>
    </row>
    <row r="687">
      <c r="A687" s="157" t="s">
        <v>561</v>
      </c>
      <c r="B687" s="158">
        <v>1.0</v>
      </c>
      <c r="C687" s="157" t="s">
        <v>642</v>
      </c>
      <c r="D687" s="157" t="s">
        <v>643</v>
      </c>
      <c r="E687" s="157" t="s">
        <v>644</v>
      </c>
      <c r="F687" s="157" t="s">
        <v>2320</v>
      </c>
      <c r="G687" s="157" t="s">
        <v>2321</v>
      </c>
      <c r="H687" s="157"/>
      <c r="I687" s="158">
        <v>0.865002</v>
      </c>
      <c r="J687" s="158">
        <v>40.960084</v>
      </c>
      <c r="K687" s="157" t="s">
        <v>2322</v>
      </c>
      <c r="L687" s="157" t="s">
        <v>648</v>
      </c>
      <c r="M687" s="158">
        <v>2022.0</v>
      </c>
      <c r="N687" s="157" t="s">
        <v>649</v>
      </c>
      <c r="O687" s="157" t="s">
        <v>650</v>
      </c>
      <c r="P687" s="161" t="b">
        <v>0</v>
      </c>
      <c r="Q687" s="158">
        <v>0.422</v>
      </c>
      <c r="R687" s="158">
        <v>0.03060614</v>
      </c>
      <c r="S687" s="158">
        <v>0.39139386</v>
      </c>
      <c r="T687" s="157" t="s">
        <v>594</v>
      </c>
      <c r="U687" s="46" t="s">
        <v>651</v>
      </c>
      <c r="V687" s="46" t="b">
        <v>1</v>
      </c>
      <c r="W687" s="46">
        <v>0.95</v>
      </c>
      <c r="X687" s="46">
        <v>0.029075833</v>
      </c>
      <c r="Y687" s="46" t="s">
        <v>640</v>
      </c>
      <c r="Z687" s="46" t="b">
        <v>0</v>
      </c>
      <c r="AA687" s="46" t="b">
        <v>0</v>
      </c>
    </row>
    <row r="688">
      <c r="A688" s="157" t="s">
        <v>561</v>
      </c>
      <c r="B688" s="158">
        <v>1.0</v>
      </c>
      <c r="C688" s="157" t="s">
        <v>642</v>
      </c>
      <c r="D688" s="157" t="s">
        <v>643</v>
      </c>
      <c r="E688" s="157" t="s">
        <v>644</v>
      </c>
      <c r="F688" s="157" t="s">
        <v>2323</v>
      </c>
      <c r="G688" s="157" t="s">
        <v>2324</v>
      </c>
      <c r="H688" s="157"/>
      <c r="I688" s="158">
        <v>-0.00573</v>
      </c>
      <c r="J688" s="158">
        <v>39.957654</v>
      </c>
      <c r="K688" s="157" t="s">
        <v>2325</v>
      </c>
      <c r="L688" s="157" t="s">
        <v>648</v>
      </c>
      <c r="M688" s="158">
        <v>2022.0</v>
      </c>
      <c r="N688" s="157" t="s">
        <v>649</v>
      </c>
      <c r="O688" s="157" t="s">
        <v>650</v>
      </c>
      <c r="P688" s="161" t="b">
        <v>0</v>
      </c>
      <c r="Q688" s="158">
        <v>0.42</v>
      </c>
      <c r="R688" s="158">
        <v>0.030461087</v>
      </c>
      <c r="S688" s="158">
        <v>0.389538913</v>
      </c>
      <c r="T688" s="157" t="s">
        <v>594</v>
      </c>
      <c r="U688" s="46" t="s">
        <v>651</v>
      </c>
      <c r="V688" s="46" t="b">
        <v>1</v>
      </c>
      <c r="W688" s="46">
        <v>0.95</v>
      </c>
      <c r="X688" s="46">
        <v>0.02893803265</v>
      </c>
      <c r="Y688" s="46" t="s">
        <v>640</v>
      </c>
      <c r="Z688" s="46" t="b">
        <v>0</v>
      </c>
      <c r="AA688" s="46" t="b">
        <v>0</v>
      </c>
    </row>
    <row r="689">
      <c r="A689" s="157" t="s">
        <v>566</v>
      </c>
      <c r="B689" s="158">
        <v>5.0</v>
      </c>
      <c r="C689" s="157" t="s">
        <v>652</v>
      </c>
      <c r="D689" s="157" t="s">
        <v>895</v>
      </c>
      <c r="E689" s="157" t="s">
        <v>896</v>
      </c>
      <c r="F689" s="157" t="s">
        <v>2326</v>
      </c>
      <c r="G689" s="157" t="s">
        <v>2327</v>
      </c>
      <c r="H689" s="157"/>
      <c r="I689" s="158">
        <v>16.98545074</v>
      </c>
      <c r="J689" s="158">
        <v>52.43334579</v>
      </c>
      <c r="K689" s="157" t="s">
        <v>2328</v>
      </c>
      <c r="L689" s="157" t="s">
        <v>648</v>
      </c>
      <c r="M689" s="158">
        <v>2022.0</v>
      </c>
      <c r="N689" s="157" t="s">
        <v>116</v>
      </c>
      <c r="O689" s="157" t="s">
        <v>900</v>
      </c>
      <c r="P689" s="161" t="b">
        <v>1</v>
      </c>
      <c r="Q689" s="158">
        <v>0.184</v>
      </c>
      <c r="R689" s="158">
        <v>0.03037924</v>
      </c>
      <c r="S689" s="158">
        <v>0.15362076</v>
      </c>
      <c r="T689" s="157" t="s">
        <v>116</v>
      </c>
      <c r="U689" s="46" t="s">
        <v>651</v>
      </c>
      <c r="V689" s="46" t="b">
        <v>1</v>
      </c>
      <c r="W689" s="46">
        <v>0.95</v>
      </c>
      <c r="X689" s="46">
        <v>0.0288602779999999</v>
      </c>
      <c r="Y689" s="46">
        <v>75.9004347685043</v>
      </c>
      <c r="Z689" s="46" t="b">
        <v>0</v>
      </c>
      <c r="AA689" s="46" t="b">
        <v>1</v>
      </c>
    </row>
    <row r="690">
      <c r="A690" s="157" t="s">
        <v>562</v>
      </c>
      <c r="B690" s="158">
        <v>1.0</v>
      </c>
      <c r="C690" s="157" t="s">
        <v>642</v>
      </c>
      <c r="D690" s="157" t="s">
        <v>643</v>
      </c>
      <c r="E690" s="157" t="s">
        <v>644</v>
      </c>
      <c r="F690" s="162" t="s">
        <v>2329</v>
      </c>
      <c r="G690" s="157" t="s">
        <v>2330</v>
      </c>
      <c r="H690" s="157"/>
      <c r="I690" s="158">
        <v>3.72598</v>
      </c>
      <c r="J690" s="158">
        <v>51.10492</v>
      </c>
      <c r="K690" s="157" t="s">
        <v>855</v>
      </c>
      <c r="L690" s="157" t="s">
        <v>648</v>
      </c>
      <c r="M690" s="158">
        <v>2022.0</v>
      </c>
      <c r="N690" s="157" t="s">
        <v>649</v>
      </c>
      <c r="O690" s="157" t="s">
        <v>650</v>
      </c>
      <c r="P690" s="161" t="b">
        <v>0</v>
      </c>
      <c r="Q690" s="158">
        <v>0.418</v>
      </c>
      <c r="R690" s="158">
        <v>0.030316034</v>
      </c>
      <c r="S690" s="158">
        <v>0.387683966</v>
      </c>
      <c r="T690" s="157" t="s">
        <v>594</v>
      </c>
      <c r="U690" s="46" t="s">
        <v>651</v>
      </c>
      <c r="V690" s="46" t="b">
        <v>1</v>
      </c>
      <c r="W690" s="46">
        <v>0.95</v>
      </c>
      <c r="X690" s="46">
        <v>0.0288002323</v>
      </c>
      <c r="Y690" s="46">
        <v>4.17388313443966</v>
      </c>
      <c r="Z690" s="46" t="b">
        <v>1</v>
      </c>
      <c r="AA690" s="46" t="b">
        <v>1</v>
      </c>
    </row>
    <row r="691">
      <c r="A691" s="157" t="s">
        <v>559</v>
      </c>
      <c r="B691" s="158">
        <v>3.0</v>
      </c>
      <c r="C691" s="157" t="s">
        <v>1215</v>
      </c>
      <c r="D691" s="157" t="s">
        <v>1216</v>
      </c>
      <c r="E691" s="157" t="s">
        <v>1217</v>
      </c>
      <c r="F691" s="157" t="s">
        <v>2331</v>
      </c>
      <c r="G691" s="157" t="s">
        <v>2332</v>
      </c>
      <c r="H691" s="157"/>
      <c r="I691" s="158">
        <v>14.0658</v>
      </c>
      <c r="J691" s="158">
        <v>41.4456</v>
      </c>
      <c r="K691" s="157" t="s">
        <v>2333</v>
      </c>
      <c r="L691" s="157" t="s">
        <v>648</v>
      </c>
      <c r="M691" s="158">
        <v>2022.0</v>
      </c>
      <c r="N691" s="157" t="s">
        <v>114</v>
      </c>
      <c r="O691" s="157" t="s">
        <v>1221</v>
      </c>
      <c r="P691" s="161" t="b">
        <v>1</v>
      </c>
      <c r="Q691" s="158">
        <v>0.662398</v>
      </c>
      <c r="R691" s="158">
        <v>0.030164138</v>
      </c>
      <c r="S691" s="158">
        <v>0.632233862</v>
      </c>
      <c r="T691" s="157" t="s">
        <v>114</v>
      </c>
      <c r="U691" s="46" t="s">
        <v>651</v>
      </c>
      <c r="V691" s="46" t="b">
        <v>1</v>
      </c>
      <c r="W691" s="46">
        <v>0.95</v>
      </c>
      <c r="X691" s="46">
        <v>0.0286559311</v>
      </c>
      <c r="Y691" s="46" t="s">
        <v>640</v>
      </c>
      <c r="Z691" s="46" t="b">
        <v>0</v>
      </c>
      <c r="AA691" s="46" t="b">
        <v>0</v>
      </c>
    </row>
    <row r="692">
      <c r="A692" s="157" t="s">
        <v>561</v>
      </c>
      <c r="B692" s="158">
        <v>1.0</v>
      </c>
      <c r="C692" s="157" t="s">
        <v>642</v>
      </c>
      <c r="D692" s="157" t="s">
        <v>643</v>
      </c>
      <c r="E692" s="157" t="s">
        <v>644</v>
      </c>
      <c r="F692" s="157" t="s">
        <v>2334</v>
      </c>
      <c r="G692" s="157" t="s">
        <v>2335</v>
      </c>
      <c r="H692" s="157"/>
      <c r="I692" s="158">
        <v>-3.050893</v>
      </c>
      <c r="J692" s="158">
        <v>43.34284</v>
      </c>
      <c r="K692" s="157" t="s">
        <v>2336</v>
      </c>
      <c r="L692" s="157" t="s">
        <v>648</v>
      </c>
      <c r="M692" s="158">
        <v>2022.0</v>
      </c>
      <c r="N692" s="157" t="s">
        <v>649</v>
      </c>
      <c r="O692" s="157" t="s">
        <v>650</v>
      </c>
      <c r="P692" s="161" t="b">
        <v>0</v>
      </c>
      <c r="Q692" s="158">
        <v>0.415</v>
      </c>
      <c r="R692" s="158">
        <v>0.030098455</v>
      </c>
      <c r="S692" s="158">
        <v>0.384901545</v>
      </c>
      <c r="T692" s="157" t="s">
        <v>594</v>
      </c>
      <c r="U692" s="46" t="s">
        <v>651</v>
      </c>
      <c r="V692" s="46" t="b">
        <v>1</v>
      </c>
      <c r="W692" s="46">
        <v>0.95</v>
      </c>
      <c r="X692" s="46">
        <v>0.0285935322499999</v>
      </c>
      <c r="Y692" s="46" t="s">
        <v>640</v>
      </c>
      <c r="Z692" s="46" t="b">
        <v>0</v>
      </c>
      <c r="AA692" s="46" t="b">
        <v>0</v>
      </c>
    </row>
    <row r="693">
      <c r="A693" s="157" t="s">
        <v>557</v>
      </c>
      <c r="B693" s="158">
        <v>1.0</v>
      </c>
      <c r="C693" s="157" t="s">
        <v>642</v>
      </c>
      <c r="D693" s="157" t="s">
        <v>643</v>
      </c>
      <c r="E693" s="157" t="s">
        <v>644</v>
      </c>
      <c r="F693" s="162" t="s">
        <v>2337</v>
      </c>
      <c r="G693" s="157" t="s">
        <v>2338</v>
      </c>
      <c r="H693" s="157"/>
      <c r="I693" s="158">
        <v>8.53683083730255</v>
      </c>
      <c r="J693" s="158">
        <v>50.0884160346366</v>
      </c>
      <c r="K693" s="157" t="s">
        <v>1030</v>
      </c>
      <c r="L693" s="157" t="s">
        <v>648</v>
      </c>
      <c r="M693" s="158">
        <v>2022.0</v>
      </c>
      <c r="N693" s="157" t="s">
        <v>649</v>
      </c>
      <c r="O693" s="157" t="s">
        <v>650</v>
      </c>
      <c r="P693" s="161" t="b">
        <v>0</v>
      </c>
      <c r="Q693" s="158">
        <v>0.947</v>
      </c>
      <c r="R693" s="158">
        <v>0.03</v>
      </c>
      <c r="S693" s="158">
        <v>0.917</v>
      </c>
      <c r="T693" s="157" t="s">
        <v>117</v>
      </c>
      <c r="U693" s="46" t="s">
        <v>651</v>
      </c>
      <c r="V693" s="46" t="b">
        <v>1</v>
      </c>
      <c r="W693" s="46">
        <v>0.95</v>
      </c>
      <c r="X693" s="46">
        <v>0.0284999999999999</v>
      </c>
      <c r="Y693" s="46">
        <v>6.00524008111833</v>
      </c>
      <c r="Z693" s="46" t="b">
        <v>1</v>
      </c>
      <c r="AA693" s="46" t="b">
        <v>1</v>
      </c>
    </row>
    <row r="694">
      <c r="A694" s="157" t="s">
        <v>559</v>
      </c>
      <c r="B694" s="158">
        <v>1.0</v>
      </c>
      <c r="C694" s="157" t="s">
        <v>642</v>
      </c>
      <c r="D694" s="157" t="s">
        <v>643</v>
      </c>
      <c r="E694" s="157" t="s">
        <v>644</v>
      </c>
      <c r="F694" s="157" t="s">
        <v>2339</v>
      </c>
      <c r="G694" s="157" t="s">
        <v>2340</v>
      </c>
      <c r="H694" s="157"/>
      <c r="I694" s="158">
        <v>15.0005</v>
      </c>
      <c r="J694" s="158">
        <v>41.9372</v>
      </c>
      <c r="K694" s="157" t="s">
        <v>2341</v>
      </c>
      <c r="L694" s="157" t="s">
        <v>648</v>
      </c>
      <c r="M694" s="158">
        <v>2022.0</v>
      </c>
      <c r="N694" s="157" t="s">
        <v>649</v>
      </c>
      <c r="O694" s="157" t="s">
        <v>650</v>
      </c>
      <c r="P694" s="161" t="b">
        <v>0</v>
      </c>
      <c r="Q694" s="158">
        <v>0.4089442</v>
      </c>
      <c r="R694" s="158">
        <v>0.029659249</v>
      </c>
      <c r="S694" s="158">
        <v>0.37928495</v>
      </c>
      <c r="T694" s="157" t="s">
        <v>594</v>
      </c>
      <c r="U694" s="46" t="s">
        <v>651</v>
      </c>
      <c r="V694" s="46" t="b">
        <v>1</v>
      </c>
      <c r="W694" s="46">
        <v>0.95</v>
      </c>
      <c r="X694" s="46">
        <v>0.02817628655</v>
      </c>
      <c r="Y694" s="46" t="s">
        <v>640</v>
      </c>
      <c r="Z694" s="46" t="b">
        <v>0</v>
      </c>
      <c r="AA694" s="46" t="b">
        <v>0</v>
      </c>
    </row>
    <row r="695">
      <c r="A695" s="157" t="s">
        <v>562</v>
      </c>
      <c r="B695" s="158">
        <v>1.0</v>
      </c>
      <c r="C695" s="157" t="s">
        <v>642</v>
      </c>
      <c r="D695" s="157" t="s">
        <v>643</v>
      </c>
      <c r="E695" s="157" t="s">
        <v>644</v>
      </c>
      <c r="F695" s="157" t="s">
        <v>2342</v>
      </c>
      <c r="G695" s="157" t="s">
        <v>2343</v>
      </c>
      <c r="H695" s="157"/>
      <c r="I695" s="158">
        <v>5.490941</v>
      </c>
      <c r="J695" s="158">
        <v>50.603073</v>
      </c>
      <c r="K695" s="157" t="s">
        <v>2344</v>
      </c>
      <c r="L695" s="157" t="s">
        <v>648</v>
      </c>
      <c r="M695" s="158">
        <v>2022.0</v>
      </c>
      <c r="N695" s="157" t="s">
        <v>649</v>
      </c>
      <c r="O695" s="157" t="s">
        <v>650</v>
      </c>
      <c r="P695" s="161" t="b">
        <v>0</v>
      </c>
      <c r="Q695" s="158">
        <v>0.407</v>
      </c>
      <c r="R695" s="158">
        <v>0.029518244</v>
      </c>
      <c r="S695" s="158">
        <v>0.377481756</v>
      </c>
      <c r="T695" s="157" t="s">
        <v>594</v>
      </c>
      <c r="U695" s="46" t="s">
        <v>651</v>
      </c>
      <c r="V695" s="46" t="b">
        <v>1</v>
      </c>
      <c r="W695" s="46">
        <v>0.95</v>
      </c>
      <c r="X695" s="46">
        <v>0.0280423317999999</v>
      </c>
      <c r="Y695" s="46">
        <v>1.10381355714881</v>
      </c>
      <c r="Z695" s="46" t="b">
        <v>1</v>
      </c>
      <c r="AA695" s="46" t="b">
        <v>1</v>
      </c>
    </row>
    <row r="696">
      <c r="A696" s="157" t="s">
        <v>574</v>
      </c>
      <c r="B696" s="158">
        <v>1.0</v>
      </c>
      <c r="C696" s="157" t="s">
        <v>642</v>
      </c>
      <c r="D696" s="157" t="s">
        <v>643</v>
      </c>
      <c r="E696" s="157" t="s">
        <v>644</v>
      </c>
      <c r="F696" s="162" t="s">
        <v>2345</v>
      </c>
      <c r="G696" s="157" t="s">
        <v>2346</v>
      </c>
      <c r="H696" s="157"/>
      <c r="I696" s="158">
        <v>21.273053</v>
      </c>
      <c r="J696" s="158">
        <v>48.699668</v>
      </c>
      <c r="K696" s="157" t="s">
        <v>2347</v>
      </c>
      <c r="L696" s="157" t="s">
        <v>648</v>
      </c>
      <c r="M696" s="158">
        <v>2017.0</v>
      </c>
      <c r="N696" s="157" t="s">
        <v>649</v>
      </c>
      <c r="O696" s="157" t="s">
        <v>650</v>
      </c>
      <c r="P696" s="161" t="b">
        <v>0</v>
      </c>
      <c r="Q696" s="158">
        <v>0.407</v>
      </c>
      <c r="R696" s="158">
        <v>0.029518244</v>
      </c>
      <c r="S696" s="158">
        <v>0.377481756</v>
      </c>
      <c r="T696" s="157" t="s">
        <v>594</v>
      </c>
      <c r="U696" s="46" t="s">
        <v>651</v>
      </c>
      <c r="V696" s="46" t="b">
        <v>1</v>
      </c>
      <c r="W696" s="46">
        <v>0.95</v>
      </c>
      <c r="X696" s="46">
        <v>0.0280423317999999</v>
      </c>
      <c r="Y696" s="46" t="s">
        <v>640</v>
      </c>
      <c r="Z696" s="46" t="b">
        <v>0</v>
      </c>
      <c r="AA696" s="46" t="b">
        <v>0</v>
      </c>
    </row>
    <row r="697">
      <c r="A697" s="157" t="s">
        <v>556</v>
      </c>
      <c r="B697" s="158">
        <v>3.0</v>
      </c>
      <c r="C697" s="157" t="s">
        <v>1215</v>
      </c>
      <c r="D697" s="157" t="s">
        <v>2348</v>
      </c>
      <c r="E697" s="157" t="s">
        <v>2349</v>
      </c>
      <c r="F697" s="157" t="s">
        <v>2350</v>
      </c>
      <c r="G697" s="157" t="s">
        <v>2351</v>
      </c>
      <c r="H697" s="157"/>
      <c r="I697" s="158">
        <v>2.11075</v>
      </c>
      <c r="J697" s="158">
        <v>50.6999</v>
      </c>
      <c r="K697" s="157" t="s">
        <v>2352</v>
      </c>
      <c r="L697" s="157" t="s">
        <v>648</v>
      </c>
      <c r="M697" s="158">
        <v>2022.0</v>
      </c>
      <c r="N697" s="157" t="s">
        <v>114</v>
      </c>
      <c r="O697" s="157" t="s">
        <v>1221</v>
      </c>
      <c r="P697" s="161" t="b">
        <v>1</v>
      </c>
      <c r="Q697" s="158">
        <v>0.648</v>
      </c>
      <c r="R697" s="158">
        <v>0.029508485</v>
      </c>
      <c r="S697" s="158">
        <v>0.618491515</v>
      </c>
      <c r="T697" s="157" t="s">
        <v>114</v>
      </c>
      <c r="U697" s="46" t="s">
        <v>651</v>
      </c>
      <c r="V697" s="46" t="b">
        <v>1</v>
      </c>
      <c r="W697" s="46">
        <v>0.95</v>
      </c>
      <c r="X697" s="46">
        <v>0.0280330607499999</v>
      </c>
      <c r="Y697" s="46">
        <v>0.761631241891411</v>
      </c>
      <c r="Z697" s="46" t="b">
        <v>1</v>
      </c>
      <c r="AA697" s="46" t="b">
        <v>1</v>
      </c>
    </row>
    <row r="698">
      <c r="A698" s="157" t="s">
        <v>556</v>
      </c>
      <c r="B698" s="158">
        <v>1.0</v>
      </c>
      <c r="C698" s="157" t="s">
        <v>642</v>
      </c>
      <c r="D698" s="157" t="s">
        <v>643</v>
      </c>
      <c r="E698" s="157" t="s">
        <v>644</v>
      </c>
      <c r="F698" s="157" t="s">
        <v>2353</v>
      </c>
      <c r="G698" s="157" t="s">
        <v>2354</v>
      </c>
      <c r="H698" s="157"/>
      <c r="I698" s="158">
        <v>5.50552</v>
      </c>
      <c r="J698" s="158">
        <v>43.4874</v>
      </c>
      <c r="K698" s="157" t="s">
        <v>2355</v>
      </c>
      <c r="L698" s="157" t="s">
        <v>648</v>
      </c>
      <c r="M698" s="158">
        <v>2022.0</v>
      </c>
      <c r="N698" s="157" t="s">
        <v>649</v>
      </c>
      <c r="O698" s="157" t="s">
        <v>650</v>
      </c>
      <c r="P698" s="161" t="b">
        <v>0</v>
      </c>
      <c r="Q698" s="158">
        <v>0.406</v>
      </c>
      <c r="R698" s="158">
        <v>0.029445717</v>
      </c>
      <c r="S698" s="158">
        <v>0.376554283</v>
      </c>
      <c r="T698" s="157" t="s">
        <v>594</v>
      </c>
      <c r="U698" s="46" t="s">
        <v>651</v>
      </c>
      <c r="V698" s="46" t="b">
        <v>1</v>
      </c>
      <c r="W698" s="46">
        <v>0.95</v>
      </c>
      <c r="X698" s="46">
        <v>0.02797343115</v>
      </c>
      <c r="Y698" s="46">
        <v>62.9714790439926</v>
      </c>
      <c r="Z698" s="46" t="b">
        <v>0</v>
      </c>
      <c r="AA698" s="46" t="b">
        <v>1</v>
      </c>
    </row>
    <row r="699">
      <c r="A699" s="157" t="s">
        <v>556</v>
      </c>
      <c r="B699" s="158">
        <v>2.0</v>
      </c>
      <c r="C699" s="157" t="s">
        <v>916</v>
      </c>
      <c r="D699" s="157" t="s">
        <v>1203</v>
      </c>
      <c r="E699" s="157" t="s">
        <v>1204</v>
      </c>
      <c r="F699" s="157" t="s">
        <v>2356</v>
      </c>
      <c r="G699" s="157" t="s">
        <v>2357</v>
      </c>
      <c r="H699" s="157"/>
      <c r="I699" s="158">
        <v>2.22</v>
      </c>
      <c r="J699" s="158">
        <v>51.0011</v>
      </c>
      <c r="K699" s="157" t="s">
        <v>2358</v>
      </c>
      <c r="L699" s="157" t="s">
        <v>648</v>
      </c>
      <c r="M699" s="158">
        <v>2022.0</v>
      </c>
      <c r="N699" s="157" t="s">
        <v>549</v>
      </c>
      <c r="O699" s="157" t="s">
        <v>1208</v>
      </c>
      <c r="P699" s="161" t="b">
        <v>1</v>
      </c>
      <c r="Q699" s="158">
        <v>0.438</v>
      </c>
      <c r="R699" s="158">
        <v>0.029415896</v>
      </c>
      <c r="S699" s="158">
        <v>0.408584104</v>
      </c>
      <c r="T699" s="157" t="s">
        <v>549</v>
      </c>
      <c r="U699" s="46" t="s">
        <v>651</v>
      </c>
      <c r="V699" s="46" t="b">
        <v>1</v>
      </c>
      <c r="W699" s="46">
        <v>0.95</v>
      </c>
      <c r="X699" s="46">
        <v>0.0279451012</v>
      </c>
      <c r="Y699" s="46">
        <v>4.4436123932666</v>
      </c>
      <c r="Z699" s="46" t="b">
        <v>1</v>
      </c>
      <c r="AA699" s="46" t="b">
        <v>1</v>
      </c>
    </row>
    <row r="700">
      <c r="A700" s="157" t="s">
        <v>561</v>
      </c>
      <c r="B700" s="158">
        <v>1.0</v>
      </c>
      <c r="C700" s="157" t="s">
        <v>642</v>
      </c>
      <c r="D700" s="157" t="s">
        <v>643</v>
      </c>
      <c r="E700" s="157" t="s">
        <v>644</v>
      </c>
      <c r="F700" s="157" t="s">
        <v>2359</v>
      </c>
      <c r="G700" s="157" t="s">
        <v>2360</v>
      </c>
      <c r="H700" s="157"/>
      <c r="I700" s="158">
        <v>1.171925</v>
      </c>
      <c r="J700" s="158">
        <v>41.105973</v>
      </c>
      <c r="K700" s="157" t="s">
        <v>2361</v>
      </c>
      <c r="L700" s="157" t="s">
        <v>648</v>
      </c>
      <c r="M700" s="158">
        <v>2022.0</v>
      </c>
      <c r="N700" s="157" t="s">
        <v>649</v>
      </c>
      <c r="O700" s="157" t="s">
        <v>650</v>
      </c>
      <c r="P700" s="161" t="b">
        <v>0</v>
      </c>
      <c r="Q700" s="158">
        <v>0.403</v>
      </c>
      <c r="R700" s="158">
        <v>0.029228138</v>
      </c>
      <c r="S700" s="158">
        <v>0.373771862</v>
      </c>
      <c r="T700" s="157" t="s">
        <v>594</v>
      </c>
      <c r="U700" s="46" t="s">
        <v>651</v>
      </c>
      <c r="V700" s="46" t="b">
        <v>1</v>
      </c>
      <c r="W700" s="46">
        <v>0.95</v>
      </c>
      <c r="X700" s="46">
        <v>0.0277667311</v>
      </c>
      <c r="Y700" s="46" t="s">
        <v>640</v>
      </c>
      <c r="Z700" s="46" t="b">
        <v>0</v>
      </c>
      <c r="AA700" s="46" t="b">
        <v>0</v>
      </c>
    </row>
    <row r="701">
      <c r="A701" s="157" t="s">
        <v>566</v>
      </c>
      <c r="B701" s="158">
        <v>1.0</v>
      </c>
      <c r="C701" s="157" t="s">
        <v>642</v>
      </c>
      <c r="D701" s="157" t="s">
        <v>643</v>
      </c>
      <c r="E701" s="157" t="s">
        <v>644</v>
      </c>
      <c r="F701" s="157" t="s">
        <v>2362</v>
      </c>
      <c r="G701" s="157" t="s">
        <v>2363</v>
      </c>
      <c r="H701" s="157"/>
      <c r="I701" s="158">
        <v>18.8105545</v>
      </c>
      <c r="J701" s="158">
        <v>50.29805374</v>
      </c>
      <c r="K701" s="157" t="s">
        <v>2364</v>
      </c>
      <c r="L701" s="157" t="s">
        <v>648</v>
      </c>
      <c r="M701" s="158">
        <v>2022.0</v>
      </c>
      <c r="N701" s="157" t="s">
        <v>649</v>
      </c>
      <c r="O701" s="157" t="s">
        <v>650</v>
      </c>
      <c r="P701" s="161" t="b">
        <v>0</v>
      </c>
      <c r="Q701" s="158">
        <v>0.4</v>
      </c>
      <c r="R701" s="158">
        <v>0.029010559</v>
      </c>
      <c r="S701" s="158">
        <v>0.370989441</v>
      </c>
      <c r="T701" s="157" t="s">
        <v>594</v>
      </c>
      <c r="U701" s="46" t="s">
        <v>651</v>
      </c>
      <c r="V701" s="46" t="b">
        <v>1</v>
      </c>
      <c r="W701" s="46">
        <v>0.95</v>
      </c>
      <c r="X701" s="46">
        <v>0.02756003105</v>
      </c>
      <c r="Y701" s="46" t="s">
        <v>640</v>
      </c>
      <c r="Z701" s="46" t="b">
        <v>0</v>
      </c>
      <c r="AA701" s="46" t="b">
        <v>0</v>
      </c>
    </row>
    <row r="702">
      <c r="A702" s="157" t="s">
        <v>580</v>
      </c>
      <c r="B702" s="158">
        <v>3.0</v>
      </c>
      <c r="C702" s="157" t="s">
        <v>1215</v>
      </c>
      <c r="D702" s="157" t="s">
        <v>1371</v>
      </c>
      <c r="E702" s="157" t="s">
        <v>1372</v>
      </c>
      <c r="F702" s="157" t="s">
        <v>2365</v>
      </c>
      <c r="G702" s="157" t="s">
        <v>2366</v>
      </c>
      <c r="H702" s="157"/>
      <c r="I702" s="158">
        <v>22.59472222</v>
      </c>
      <c r="J702" s="158">
        <v>56.68722222</v>
      </c>
      <c r="K702" s="157" t="s">
        <v>2367</v>
      </c>
      <c r="L702" s="157" t="s">
        <v>648</v>
      </c>
      <c r="M702" s="158">
        <v>2022.0</v>
      </c>
      <c r="N702" s="157" t="s">
        <v>114</v>
      </c>
      <c r="O702" s="157" t="s">
        <v>1376</v>
      </c>
      <c r="P702" s="161" t="b">
        <v>1</v>
      </c>
      <c r="Q702" s="158">
        <v>0.75</v>
      </c>
      <c r="R702" s="158">
        <v>0.028895759</v>
      </c>
      <c r="S702" s="158">
        <v>0.721104241</v>
      </c>
      <c r="T702" s="157" t="s">
        <v>114</v>
      </c>
      <c r="U702" s="46" t="s">
        <v>651</v>
      </c>
      <c r="V702" s="46" t="b">
        <v>1</v>
      </c>
      <c r="W702" s="46">
        <v>0.95</v>
      </c>
      <c r="X702" s="46">
        <v>0.02745097105</v>
      </c>
      <c r="Y702" s="46">
        <v>0.656983894908746</v>
      </c>
      <c r="Z702" s="46" t="b">
        <v>1</v>
      </c>
      <c r="AA702" s="46" t="b">
        <v>1</v>
      </c>
    </row>
    <row r="703">
      <c r="A703" s="157" t="s">
        <v>556</v>
      </c>
      <c r="B703" s="158">
        <v>1.0</v>
      </c>
      <c r="C703" s="157" t="s">
        <v>642</v>
      </c>
      <c r="D703" s="157" t="s">
        <v>643</v>
      </c>
      <c r="E703" s="157" t="s">
        <v>644</v>
      </c>
      <c r="F703" s="157" t="s">
        <v>2368</v>
      </c>
      <c r="G703" s="157" t="s">
        <v>2369</v>
      </c>
      <c r="H703" s="157"/>
      <c r="I703" s="158">
        <v>-0.96423</v>
      </c>
      <c r="J703" s="158">
        <v>44.6336</v>
      </c>
      <c r="K703" s="157" t="s">
        <v>766</v>
      </c>
      <c r="L703" s="157" t="s">
        <v>648</v>
      </c>
      <c r="M703" s="158">
        <v>2022.0</v>
      </c>
      <c r="N703" s="157" t="s">
        <v>649</v>
      </c>
      <c r="O703" s="157" t="s">
        <v>650</v>
      </c>
      <c r="P703" s="161" t="b">
        <v>0</v>
      </c>
      <c r="Q703" s="158">
        <v>0.394</v>
      </c>
      <c r="R703" s="158">
        <v>0.0285754</v>
      </c>
      <c r="S703" s="158">
        <v>0.3654246</v>
      </c>
      <c r="T703" s="157" t="s">
        <v>594</v>
      </c>
      <c r="U703" s="46" t="s">
        <v>651</v>
      </c>
      <c r="V703" s="46" t="b">
        <v>1</v>
      </c>
      <c r="W703" s="46">
        <v>0.95</v>
      </c>
      <c r="X703" s="46">
        <v>0.0271466299999999</v>
      </c>
      <c r="Y703" s="46">
        <v>2.21513128739057</v>
      </c>
      <c r="Z703" s="46" t="b">
        <v>1</v>
      </c>
      <c r="AA703" s="46" t="b">
        <v>1</v>
      </c>
    </row>
    <row r="704">
      <c r="A704" s="157" t="s">
        <v>566</v>
      </c>
      <c r="B704" s="158">
        <v>1.0</v>
      </c>
      <c r="C704" s="157" t="s">
        <v>642</v>
      </c>
      <c r="D704" s="157" t="s">
        <v>2370</v>
      </c>
      <c r="E704" s="157" t="s">
        <v>2371</v>
      </c>
      <c r="F704" s="157" t="s">
        <v>2372</v>
      </c>
      <c r="G704" s="157" t="s">
        <v>2373</v>
      </c>
      <c r="H704" s="157"/>
      <c r="I704" s="158">
        <v>16.44333</v>
      </c>
      <c r="J704" s="158">
        <v>51.00056</v>
      </c>
      <c r="K704" s="157" t="s">
        <v>2374</v>
      </c>
      <c r="L704" s="157" t="s">
        <v>648</v>
      </c>
      <c r="M704" s="158">
        <v>2022.0</v>
      </c>
      <c r="N704" s="157" t="s">
        <v>547</v>
      </c>
      <c r="O704" s="157" t="s">
        <v>2371</v>
      </c>
      <c r="P704" s="161" t="b">
        <v>1</v>
      </c>
      <c r="Q704" s="158">
        <v>7.54</v>
      </c>
      <c r="R704" s="158">
        <v>0.028367193</v>
      </c>
      <c r="S704" s="158">
        <v>7.511632807</v>
      </c>
      <c r="T704" s="157" t="s">
        <v>547</v>
      </c>
      <c r="U704" s="46" t="s">
        <v>651</v>
      </c>
      <c r="V704" s="46" t="b">
        <v>1</v>
      </c>
      <c r="W704" s="46">
        <v>0.95</v>
      </c>
      <c r="X704" s="46">
        <v>0.0269488333499999</v>
      </c>
      <c r="Y704" s="46" t="s">
        <v>640</v>
      </c>
      <c r="Z704" s="46" t="b">
        <v>0</v>
      </c>
      <c r="AA704" s="46" t="b">
        <v>0</v>
      </c>
    </row>
    <row r="705">
      <c r="A705" s="157" t="s">
        <v>569</v>
      </c>
      <c r="B705" s="158">
        <v>1.0</v>
      </c>
      <c r="C705" s="157" t="s">
        <v>642</v>
      </c>
      <c r="D705" s="157" t="s">
        <v>643</v>
      </c>
      <c r="E705" s="157" t="s">
        <v>644</v>
      </c>
      <c r="F705" s="157" t="s">
        <v>2375</v>
      </c>
      <c r="G705" s="157" t="s">
        <v>2376</v>
      </c>
      <c r="H705" s="157"/>
      <c r="I705" s="158">
        <v>18.263048</v>
      </c>
      <c r="J705" s="158">
        <v>46.064103</v>
      </c>
      <c r="K705" s="157" t="s">
        <v>2377</v>
      </c>
      <c r="L705" s="157" t="s">
        <v>648</v>
      </c>
      <c r="M705" s="158">
        <v>2022.0</v>
      </c>
      <c r="N705" s="157" t="s">
        <v>649</v>
      </c>
      <c r="O705" s="157" t="s">
        <v>650</v>
      </c>
      <c r="P705" s="161" t="b">
        <v>0</v>
      </c>
      <c r="Q705" s="158">
        <v>0.390902</v>
      </c>
      <c r="R705" s="158">
        <v>0.028350714</v>
      </c>
      <c r="S705" s="158">
        <v>0.362551286</v>
      </c>
      <c r="T705" s="157" t="s">
        <v>594</v>
      </c>
      <c r="U705" s="46" t="s">
        <v>651</v>
      </c>
      <c r="V705" s="46" t="b">
        <v>1</v>
      </c>
      <c r="W705" s="46">
        <v>0.95</v>
      </c>
      <c r="X705" s="46">
        <v>0.0269331783</v>
      </c>
      <c r="Y705" s="46">
        <v>34.9533983078914</v>
      </c>
      <c r="Z705" s="46" t="b">
        <v>1</v>
      </c>
      <c r="AA705" s="46" t="b">
        <v>1</v>
      </c>
    </row>
    <row r="706">
      <c r="A706" s="157" t="s">
        <v>557</v>
      </c>
      <c r="B706" s="158">
        <v>3.0</v>
      </c>
      <c r="C706" s="157" t="s">
        <v>1215</v>
      </c>
      <c r="D706" s="157" t="s">
        <v>1371</v>
      </c>
      <c r="E706" s="157" t="s">
        <v>1372</v>
      </c>
      <c r="F706" s="162" t="s">
        <v>2378</v>
      </c>
      <c r="G706" s="157" t="s">
        <v>2379</v>
      </c>
      <c r="H706" s="157"/>
      <c r="I706" s="158">
        <v>8.334678573</v>
      </c>
      <c r="J706" s="158">
        <v>51.5944766435112</v>
      </c>
      <c r="K706" s="157" t="s">
        <v>2380</v>
      </c>
      <c r="L706" s="157" t="s">
        <v>648</v>
      </c>
      <c r="M706" s="158">
        <v>2022.0</v>
      </c>
      <c r="N706" s="157" t="s">
        <v>114</v>
      </c>
      <c r="O706" s="157" t="s">
        <v>1376</v>
      </c>
      <c r="P706" s="161" t="b">
        <v>1</v>
      </c>
      <c r="Q706" s="158">
        <v>0.496</v>
      </c>
      <c r="R706" s="158">
        <v>0.028</v>
      </c>
      <c r="S706" s="158">
        <v>0.468</v>
      </c>
      <c r="T706" s="157" t="s">
        <v>114</v>
      </c>
      <c r="U706" s="46" t="s">
        <v>651</v>
      </c>
      <c r="V706" s="46" t="b">
        <v>1</v>
      </c>
      <c r="W706" s="46">
        <v>0.95</v>
      </c>
      <c r="X706" s="46">
        <v>0.0266</v>
      </c>
      <c r="Y706" s="46">
        <v>7.91538292904857</v>
      </c>
      <c r="Z706" s="46" t="b">
        <v>1</v>
      </c>
      <c r="AA706" s="46" t="b">
        <v>1</v>
      </c>
    </row>
    <row r="707">
      <c r="A707" s="157" t="s">
        <v>561</v>
      </c>
      <c r="B707" s="158">
        <v>1.0</v>
      </c>
      <c r="C707" s="157" t="s">
        <v>642</v>
      </c>
      <c r="D707" s="157" t="s">
        <v>643</v>
      </c>
      <c r="E707" s="157" t="s">
        <v>644</v>
      </c>
      <c r="F707" s="157" t="s">
        <v>2381</v>
      </c>
      <c r="G707" s="157" t="s">
        <v>2382</v>
      </c>
      <c r="H707" s="157"/>
      <c r="I707" s="158">
        <v>-4.56</v>
      </c>
      <c r="J707" s="158">
        <v>36.75</v>
      </c>
      <c r="K707" s="157" t="s">
        <v>2383</v>
      </c>
      <c r="L707" s="157" t="s">
        <v>648</v>
      </c>
      <c r="M707" s="158">
        <v>2022.0</v>
      </c>
      <c r="N707" s="157" t="s">
        <v>649</v>
      </c>
      <c r="O707" s="157" t="s">
        <v>650</v>
      </c>
      <c r="P707" s="161" t="b">
        <v>0</v>
      </c>
      <c r="Q707" s="158">
        <v>0.384</v>
      </c>
      <c r="R707" s="158">
        <v>0.027850136</v>
      </c>
      <c r="S707" s="158">
        <v>0.356149864</v>
      </c>
      <c r="T707" s="157" t="s">
        <v>594</v>
      </c>
      <c r="U707" s="46" t="s">
        <v>651</v>
      </c>
      <c r="V707" s="46" t="b">
        <v>1</v>
      </c>
      <c r="W707" s="46">
        <v>0.95</v>
      </c>
      <c r="X707" s="46">
        <v>0.0264576292</v>
      </c>
      <c r="Y707" s="46" t="s">
        <v>640</v>
      </c>
      <c r="Z707" s="46" t="b">
        <v>0</v>
      </c>
      <c r="AA707" s="46" t="b">
        <v>0</v>
      </c>
    </row>
    <row r="708">
      <c r="A708" s="157" t="s">
        <v>560</v>
      </c>
      <c r="B708" s="158">
        <v>3.0</v>
      </c>
      <c r="C708" s="157" t="s">
        <v>1215</v>
      </c>
      <c r="D708" s="157" t="s">
        <v>1216</v>
      </c>
      <c r="E708" s="157" t="s">
        <v>1217</v>
      </c>
      <c r="F708" s="157" t="s">
        <v>2384</v>
      </c>
      <c r="G708" s="157" t="s">
        <v>2385</v>
      </c>
      <c r="H708" s="157"/>
      <c r="I708" s="158">
        <v>16.6</v>
      </c>
      <c r="J708" s="158">
        <v>47.983333</v>
      </c>
      <c r="K708" s="157" t="s">
        <v>2386</v>
      </c>
      <c r="L708" s="157" t="s">
        <v>648</v>
      </c>
      <c r="M708" s="158">
        <v>2022.0</v>
      </c>
      <c r="N708" s="157" t="s">
        <v>114</v>
      </c>
      <c r="O708" s="157" t="s">
        <v>1221</v>
      </c>
      <c r="P708" s="161" t="b">
        <v>1</v>
      </c>
      <c r="Q708" s="158">
        <v>0.604</v>
      </c>
      <c r="R708" s="158">
        <v>0.027504822</v>
      </c>
      <c r="S708" s="158">
        <v>0.576495178</v>
      </c>
      <c r="T708" s="157" t="s">
        <v>114</v>
      </c>
      <c r="U708" s="46" t="s">
        <v>651</v>
      </c>
      <c r="V708" s="46" t="b">
        <v>1</v>
      </c>
      <c r="W708" s="46">
        <v>0.95</v>
      </c>
      <c r="X708" s="46">
        <v>0.0261295809</v>
      </c>
      <c r="Y708" s="46" t="s">
        <v>640</v>
      </c>
      <c r="Z708" s="46" t="b">
        <v>0</v>
      </c>
      <c r="AA708" s="46" t="b">
        <v>0</v>
      </c>
    </row>
    <row r="709">
      <c r="A709" s="157" t="s">
        <v>559</v>
      </c>
      <c r="B709" s="158">
        <v>1.0</v>
      </c>
      <c r="C709" s="157" t="s">
        <v>642</v>
      </c>
      <c r="D709" s="157" t="s">
        <v>643</v>
      </c>
      <c r="E709" s="157" t="s">
        <v>644</v>
      </c>
      <c r="F709" s="157" t="s">
        <v>2387</v>
      </c>
      <c r="G709" s="157" t="s">
        <v>2388</v>
      </c>
      <c r="H709" s="157"/>
      <c r="I709" s="158">
        <v>8.739</v>
      </c>
      <c r="J709" s="158">
        <v>45.5212</v>
      </c>
      <c r="K709" s="157" t="s">
        <v>2389</v>
      </c>
      <c r="L709" s="157" t="s">
        <v>648</v>
      </c>
      <c r="M709" s="158">
        <v>2022.0</v>
      </c>
      <c r="N709" s="157" t="s">
        <v>649</v>
      </c>
      <c r="O709" s="157" t="s">
        <v>650</v>
      </c>
      <c r="P709" s="161" t="b">
        <v>0</v>
      </c>
      <c r="Q709" s="158">
        <v>0.377837</v>
      </c>
      <c r="R709" s="158">
        <v>0.027403156</v>
      </c>
      <c r="S709" s="158">
        <v>0.350433844</v>
      </c>
      <c r="T709" s="157" t="s">
        <v>594</v>
      </c>
      <c r="U709" s="46" t="s">
        <v>651</v>
      </c>
      <c r="V709" s="46" t="b">
        <v>1</v>
      </c>
      <c r="W709" s="46">
        <v>0.95</v>
      </c>
      <c r="X709" s="46">
        <v>0.0260329982</v>
      </c>
      <c r="Y709" s="46">
        <v>20.9026465709979</v>
      </c>
      <c r="Z709" s="46" t="b">
        <v>1</v>
      </c>
      <c r="AA709" s="46" t="b">
        <v>1</v>
      </c>
    </row>
    <row r="710">
      <c r="A710" s="157" t="s">
        <v>561</v>
      </c>
      <c r="B710" s="158">
        <v>3.0</v>
      </c>
      <c r="C710" s="157" t="s">
        <v>1215</v>
      </c>
      <c r="D710" s="157" t="s">
        <v>1371</v>
      </c>
      <c r="E710" s="157" t="s">
        <v>1372</v>
      </c>
      <c r="F710" s="157" t="s">
        <v>2390</v>
      </c>
      <c r="G710" s="157" t="s">
        <v>2391</v>
      </c>
      <c r="H710" s="157"/>
      <c r="I710" s="158">
        <v>-3.47434</v>
      </c>
      <c r="J710" s="158">
        <v>40.24483</v>
      </c>
      <c r="K710" s="157" t="s">
        <v>2392</v>
      </c>
      <c r="L710" s="157" t="s">
        <v>648</v>
      </c>
      <c r="M710" s="158">
        <v>2022.0</v>
      </c>
      <c r="N710" s="157" t="s">
        <v>114</v>
      </c>
      <c r="O710" s="157" t="s">
        <v>1376</v>
      </c>
      <c r="P710" s="161" t="b">
        <v>1</v>
      </c>
      <c r="Q710" s="158">
        <v>0.708</v>
      </c>
      <c r="R710" s="158">
        <v>0.027277596</v>
      </c>
      <c r="S710" s="158">
        <v>0.680722404</v>
      </c>
      <c r="T710" s="157" t="s">
        <v>114</v>
      </c>
      <c r="U710" s="46" t="s">
        <v>651</v>
      </c>
      <c r="V710" s="46" t="b">
        <v>1</v>
      </c>
      <c r="W710" s="46">
        <v>0.95</v>
      </c>
      <c r="X710" s="46">
        <v>0.0259137162</v>
      </c>
      <c r="Y710" s="46" t="s">
        <v>640</v>
      </c>
      <c r="Z710" s="46" t="b">
        <v>0</v>
      </c>
      <c r="AA710" s="46" t="b">
        <v>0</v>
      </c>
    </row>
    <row r="711">
      <c r="A711" s="157" t="s">
        <v>572</v>
      </c>
      <c r="B711" s="158">
        <v>3.0</v>
      </c>
      <c r="C711" s="157" t="s">
        <v>1215</v>
      </c>
      <c r="D711" s="157" t="s">
        <v>1216</v>
      </c>
      <c r="E711" s="157" t="s">
        <v>1217</v>
      </c>
      <c r="F711" s="157" t="s">
        <v>2393</v>
      </c>
      <c r="G711" s="157" t="s">
        <v>2394</v>
      </c>
      <c r="H711" s="157"/>
      <c r="I711" s="158">
        <v>22.9532</v>
      </c>
      <c r="J711" s="158">
        <v>40.6991</v>
      </c>
      <c r="K711" s="157" t="s">
        <v>2395</v>
      </c>
      <c r="L711" s="157" t="s">
        <v>648</v>
      </c>
      <c r="M711" s="158">
        <v>2022.0</v>
      </c>
      <c r="N711" s="157" t="s">
        <v>114</v>
      </c>
      <c r="O711" s="157" t="s">
        <v>1221</v>
      </c>
      <c r="P711" s="161" t="b">
        <v>1</v>
      </c>
      <c r="Q711" s="158">
        <v>0.597</v>
      </c>
      <c r="R711" s="158">
        <v>0.027186058</v>
      </c>
      <c r="S711" s="158">
        <v>0.569813942</v>
      </c>
      <c r="T711" s="157" t="s">
        <v>114</v>
      </c>
      <c r="U711" s="46" t="s">
        <v>651</v>
      </c>
      <c r="V711" s="46" t="b">
        <v>1</v>
      </c>
      <c r="W711" s="46">
        <v>0.95</v>
      </c>
      <c r="X711" s="46">
        <v>0.0258267550999999</v>
      </c>
      <c r="Y711" s="46" t="s">
        <v>640</v>
      </c>
      <c r="Z711" s="46" t="b">
        <v>0</v>
      </c>
      <c r="AA711" s="46" t="b">
        <v>0</v>
      </c>
    </row>
    <row r="712">
      <c r="A712" s="157" t="s">
        <v>579</v>
      </c>
      <c r="B712" s="158">
        <v>3.0</v>
      </c>
      <c r="C712" s="157" t="s">
        <v>1215</v>
      </c>
      <c r="D712" s="157" t="s">
        <v>1371</v>
      </c>
      <c r="E712" s="157" t="s">
        <v>1372</v>
      </c>
      <c r="F712" s="157" t="s">
        <v>2396</v>
      </c>
      <c r="G712" s="157" t="s">
        <v>2397</v>
      </c>
      <c r="H712" s="157"/>
      <c r="I712" s="158">
        <v>18.03978</v>
      </c>
      <c r="J712" s="158">
        <v>45.45294</v>
      </c>
      <c r="K712" s="157" t="s">
        <v>2398</v>
      </c>
      <c r="L712" s="157" t="s">
        <v>648</v>
      </c>
      <c r="M712" s="158">
        <v>2022.0</v>
      </c>
      <c r="N712" s="157" t="s">
        <v>114</v>
      </c>
      <c r="O712" s="157" t="s">
        <v>1376</v>
      </c>
      <c r="P712" s="161" t="b">
        <v>1</v>
      </c>
      <c r="Q712" s="158">
        <v>0.702</v>
      </c>
      <c r="R712" s="158">
        <v>0.02704643</v>
      </c>
      <c r="S712" s="158">
        <v>0.67495357</v>
      </c>
      <c r="T712" s="157" t="s">
        <v>114</v>
      </c>
      <c r="U712" s="46" t="s">
        <v>651</v>
      </c>
      <c r="V712" s="46" t="b">
        <v>1</v>
      </c>
      <c r="W712" s="46">
        <v>0.95</v>
      </c>
      <c r="X712" s="46">
        <v>0.0256941085</v>
      </c>
      <c r="Y712" s="46">
        <v>2.89541391148888</v>
      </c>
      <c r="Z712" s="46" t="b">
        <v>1</v>
      </c>
      <c r="AA712" s="46" t="b">
        <v>1</v>
      </c>
    </row>
    <row r="713">
      <c r="A713" s="157" t="s">
        <v>561</v>
      </c>
      <c r="B713" s="158">
        <v>1.0</v>
      </c>
      <c r="C713" s="157" t="s">
        <v>642</v>
      </c>
      <c r="D713" s="157" t="s">
        <v>643</v>
      </c>
      <c r="E713" s="157" t="s">
        <v>644</v>
      </c>
      <c r="F713" s="157" t="s">
        <v>2399</v>
      </c>
      <c r="G713" s="157" t="s">
        <v>2400</v>
      </c>
      <c r="H713" s="157"/>
      <c r="I713" s="158">
        <v>-3.98806</v>
      </c>
      <c r="J713" s="158">
        <v>38.6212</v>
      </c>
      <c r="K713" s="157" t="s">
        <v>2401</v>
      </c>
      <c r="L713" s="157" t="s">
        <v>648</v>
      </c>
      <c r="M713" s="158">
        <v>2022.0</v>
      </c>
      <c r="N713" s="157" t="s">
        <v>649</v>
      </c>
      <c r="O713" s="157" t="s">
        <v>650</v>
      </c>
      <c r="P713" s="161" t="b">
        <v>0</v>
      </c>
      <c r="Q713" s="158">
        <v>0.367</v>
      </c>
      <c r="R713" s="158">
        <v>0.026617188</v>
      </c>
      <c r="S713" s="158">
        <v>0.340382812</v>
      </c>
      <c r="T713" s="157" t="s">
        <v>594</v>
      </c>
      <c r="U713" s="46" t="s">
        <v>651</v>
      </c>
      <c r="V713" s="46" t="b">
        <v>1</v>
      </c>
      <c r="W713" s="46">
        <v>0.95</v>
      </c>
      <c r="X713" s="46">
        <v>0.0252863285999999</v>
      </c>
      <c r="Y713" s="46" t="s">
        <v>640</v>
      </c>
      <c r="Z713" s="46" t="b">
        <v>0</v>
      </c>
      <c r="AA713" s="46" t="b">
        <v>0</v>
      </c>
    </row>
    <row r="714">
      <c r="A714" s="157" t="s">
        <v>562</v>
      </c>
      <c r="B714" s="158">
        <v>1.0</v>
      </c>
      <c r="C714" s="157" t="s">
        <v>642</v>
      </c>
      <c r="D714" s="157" t="s">
        <v>643</v>
      </c>
      <c r="E714" s="157" t="s">
        <v>644</v>
      </c>
      <c r="F714" s="162" t="s">
        <v>2402</v>
      </c>
      <c r="G714" s="157" t="s">
        <v>2403</v>
      </c>
      <c r="H714" s="157"/>
      <c r="I714" s="158">
        <v>4.3192</v>
      </c>
      <c r="J714" s="158">
        <v>51.23458</v>
      </c>
      <c r="K714" s="157" t="s">
        <v>2404</v>
      </c>
      <c r="L714" s="157" t="s">
        <v>648</v>
      </c>
      <c r="M714" s="158">
        <v>2022.0</v>
      </c>
      <c r="N714" s="157" t="s">
        <v>649</v>
      </c>
      <c r="O714" s="157" t="s">
        <v>650</v>
      </c>
      <c r="P714" s="161" t="b">
        <v>0</v>
      </c>
      <c r="Q714" s="158">
        <v>0.364</v>
      </c>
      <c r="R714" s="158">
        <v>0.026399609</v>
      </c>
      <c r="S714" s="158">
        <v>0.337600391</v>
      </c>
      <c r="T714" s="157" t="s">
        <v>594</v>
      </c>
      <c r="U714" s="46" t="s">
        <v>651</v>
      </c>
      <c r="V714" s="46" t="b">
        <v>1</v>
      </c>
      <c r="W714" s="46">
        <v>0.95</v>
      </c>
      <c r="X714" s="46">
        <v>0.02507962855</v>
      </c>
      <c r="Y714" s="46">
        <v>6.10463296577408</v>
      </c>
      <c r="Z714" s="46" t="b">
        <v>1</v>
      </c>
      <c r="AA714" s="46" t="b">
        <v>1</v>
      </c>
    </row>
    <row r="715">
      <c r="A715" s="157" t="s">
        <v>561</v>
      </c>
      <c r="B715" s="158">
        <v>3.0</v>
      </c>
      <c r="C715" s="157" t="s">
        <v>1215</v>
      </c>
      <c r="D715" s="157" t="s">
        <v>1371</v>
      </c>
      <c r="E715" s="157" t="s">
        <v>1372</v>
      </c>
      <c r="F715" s="157" t="s">
        <v>2405</v>
      </c>
      <c r="G715" s="157" t="s">
        <v>2406</v>
      </c>
      <c r="H715" s="157"/>
      <c r="I715" s="158">
        <v>-6.204397</v>
      </c>
      <c r="J715" s="158">
        <v>37.353682</v>
      </c>
      <c r="K715" s="157" t="s">
        <v>2407</v>
      </c>
      <c r="L715" s="157" t="s">
        <v>648</v>
      </c>
      <c r="M715" s="158">
        <v>2022.0</v>
      </c>
      <c r="N715" s="157" t="s">
        <v>114</v>
      </c>
      <c r="O715" s="157" t="s">
        <v>1376</v>
      </c>
      <c r="P715" s="161" t="b">
        <v>1</v>
      </c>
      <c r="Q715" s="158">
        <v>0.677</v>
      </c>
      <c r="R715" s="158">
        <v>0.026083238</v>
      </c>
      <c r="S715" s="158">
        <v>0.650916762</v>
      </c>
      <c r="T715" s="157" t="s">
        <v>114</v>
      </c>
      <c r="U715" s="46" t="s">
        <v>651</v>
      </c>
      <c r="V715" s="46" t="b">
        <v>1</v>
      </c>
      <c r="W715" s="46">
        <v>0.95</v>
      </c>
      <c r="X715" s="46">
        <v>0.0247790761</v>
      </c>
      <c r="Y715" s="46" t="s">
        <v>640</v>
      </c>
      <c r="Z715" s="46" t="b">
        <v>0</v>
      </c>
      <c r="AA715" s="46" t="b">
        <v>0</v>
      </c>
    </row>
    <row r="716">
      <c r="A716" s="157" t="s">
        <v>572</v>
      </c>
      <c r="B716" s="158">
        <v>3.0</v>
      </c>
      <c r="C716" s="157" t="s">
        <v>1215</v>
      </c>
      <c r="D716" s="157" t="s">
        <v>1216</v>
      </c>
      <c r="E716" s="157" t="s">
        <v>1217</v>
      </c>
      <c r="F716" s="157" t="s">
        <v>2408</v>
      </c>
      <c r="G716" s="157" t="s">
        <v>2409</v>
      </c>
      <c r="H716" s="157"/>
      <c r="I716" s="158">
        <v>21.84543</v>
      </c>
      <c r="J716" s="158">
        <v>38.33557</v>
      </c>
      <c r="K716" s="157" t="s">
        <v>2410</v>
      </c>
      <c r="L716" s="157" t="s">
        <v>648</v>
      </c>
      <c r="M716" s="158">
        <v>2022.0</v>
      </c>
      <c r="N716" s="157" t="s">
        <v>114</v>
      </c>
      <c r="O716" s="157" t="s">
        <v>1221</v>
      </c>
      <c r="P716" s="161" t="b">
        <v>1</v>
      </c>
      <c r="Q716" s="158">
        <v>0.572</v>
      </c>
      <c r="R716" s="158">
        <v>0.026047613</v>
      </c>
      <c r="S716" s="158">
        <v>0.545952387</v>
      </c>
      <c r="T716" s="157" t="s">
        <v>114</v>
      </c>
      <c r="U716" s="46" t="s">
        <v>651</v>
      </c>
      <c r="V716" s="46" t="b">
        <v>1</v>
      </c>
      <c r="W716" s="46">
        <v>0.95</v>
      </c>
      <c r="X716" s="46">
        <v>0.02474523235</v>
      </c>
      <c r="Y716" s="46">
        <v>82.5841430054868</v>
      </c>
      <c r="Z716" s="46" t="b">
        <v>0</v>
      </c>
      <c r="AA716" s="46" t="b">
        <v>1</v>
      </c>
    </row>
    <row r="717">
      <c r="A717" s="157" t="s">
        <v>556</v>
      </c>
      <c r="B717" s="158">
        <v>3.0</v>
      </c>
      <c r="C717" s="157" t="s">
        <v>1215</v>
      </c>
      <c r="D717" s="157" t="s">
        <v>1371</v>
      </c>
      <c r="E717" s="157" t="s">
        <v>1372</v>
      </c>
      <c r="F717" s="157" t="s">
        <v>2411</v>
      </c>
      <c r="G717" s="157" t="s">
        <v>2215</v>
      </c>
      <c r="H717" s="157"/>
      <c r="I717" s="158">
        <v>4.68191</v>
      </c>
      <c r="J717" s="158">
        <v>44.54496</v>
      </c>
      <c r="K717" s="157" t="s">
        <v>2412</v>
      </c>
      <c r="L717" s="157" t="s">
        <v>648</v>
      </c>
      <c r="M717" s="158">
        <v>2022.0</v>
      </c>
      <c r="N717" s="157" t="s">
        <v>114</v>
      </c>
      <c r="O717" s="157" t="s">
        <v>1376</v>
      </c>
      <c r="P717" s="161" t="b">
        <v>1</v>
      </c>
      <c r="Q717" s="158">
        <v>0.676</v>
      </c>
      <c r="R717" s="158">
        <v>0.026044711</v>
      </c>
      <c r="S717" s="158">
        <v>0.649955289</v>
      </c>
      <c r="T717" s="157" t="s">
        <v>114</v>
      </c>
      <c r="U717" s="46" t="s">
        <v>651</v>
      </c>
      <c r="V717" s="46" t="b">
        <v>1</v>
      </c>
      <c r="W717" s="46">
        <v>0.95</v>
      </c>
      <c r="X717" s="46">
        <v>0.02474247545</v>
      </c>
      <c r="Y717" s="46">
        <v>6.92516427782179</v>
      </c>
      <c r="Z717" s="46" t="b">
        <v>1</v>
      </c>
      <c r="AA717" s="46" t="b">
        <v>1</v>
      </c>
    </row>
    <row r="718">
      <c r="A718" s="157" t="s">
        <v>567</v>
      </c>
      <c r="B718" s="158">
        <v>2.0</v>
      </c>
      <c r="C718" s="157" t="s">
        <v>916</v>
      </c>
      <c r="D718" s="157" t="s">
        <v>1203</v>
      </c>
      <c r="E718" s="157" t="s">
        <v>1204</v>
      </c>
      <c r="F718" s="157" t="s">
        <v>2413</v>
      </c>
      <c r="G718" s="157" t="s">
        <v>2414</v>
      </c>
      <c r="H718" s="157"/>
      <c r="I718" s="158">
        <v>9.143573</v>
      </c>
      <c r="J718" s="158">
        <v>63.3178329</v>
      </c>
      <c r="K718" s="157" t="s">
        <v>2415</v>
      </c>
      <c r="L718" s="157" t="s">
        <v>648</v>
      </c>
      <c r="M718" s="158">
        <v>2017.0</v>
      </c>
      <c r="N718" s="157" t="s">
        <v>549</v>
      </c>
      <c r="O718" s="157" t="s">
        <v>1208</v>
      </c>
      <c r="P718" s="161" t="b">
        <v>1</v>
      </c>
      <c r="Q718" s="158">
        <v>0.274</v>
      </c>
      <c r="R718" s="158">
        <v>0.026</v>
      </c>
      <c r="S718" s="158">
        <v>0.248</v>
      </c>
      <c r="T718" s="157" t="s">
        <v>549</v>
      </c>
      <c r="U718" s="46" t="s">
        <v>651</v>
      </c>
      <c r="V718" s="46" t="b">
        <v>1</v>
      </c>
      <c r="W718" s="46">
        <v>0.95</v>
      </c>
      <c r="X718" s="46">
        <v>0.0246999999999999</v>
      </c>
      <c r="Y718" s="46" t="s">
        <v>640</v>
      </c>
      <c r="Z718" s="46" t="b">
        <v>0</v>
      </c>
      <c r="AA718" s="46" t="b">
        <v>0</v>
      </c>
    </row>
    <row r="719">
      <c r="A719" s="157" t="s">
        <v>566</v>
      </c>
      <c r="B719" s="158">
        <v>1.0</v>
      </c>
      <c r="C719" s="157" t="s">
        <v>642</v>
      </c>
      <c r="D719" s="157" t="s">
        <v>643</v>
      </c>
      <c r="E719" s="157" t="s">
        <v>644</v>
      </c>
      <c r="F719" s="157" t="s">
        <v>2416</v>
      </c>
      <c r="G719" s="157" t="s">
        <v>2417</v>
      </c>
      <c r="H719" s="157"/>
      <c r="I719" s="158">
        <v>22.55778</v>
      </c>
      <c r="J719" s="158">
        <v>51.21584</v>
      </c>
      <c r="K719" s="157" t="s">
        <v>2418</v>
      </c>
      <c r="L719" s="157" t="s">
        <v>648</v>
      </c>
      <c r="M719" s="158">
        <v>2022.0</v>
      </c>
      <c r="N719" s="157" t="s">
        <v>649</v>
      </c>
      <c r="O719" s="157" t="s">
        <v>650</v>
      </c>
      <c r="P719" s="161" t="b">
        <v>0</v>
      </c>
      <c r="Q719" s="158">
        <v>0.357</v>
      </c>
      <c r="R719" s="158">
        <v>0.025891924</v>
      </c>
      <c r="S719" s="158">
        <v>0.331108076</v>
      </c>
      <c r="T719" s="157" t="s">
        <v>594</v>
      </c>
      <c r="U719" s="46" t="s">
        <v>651</v>
      </c>
      <c r="V719" s="46" t="b">
        <v>1</v>
      </c>
      <c r="W719" s="46">
        <v>0.95</v>
      </c>
      <c r="X719" s="46">
        <v>0.0245973278</v>
      </c>
      <c r="Y719" s="46" t="s">
        <v>640</v>
      </c>
      <c r="Z719" s="46" t="b">
        <v>0</v>
      </c>
      <c r="AA719" s="46" t="b">
        <v>0</v>
      </c>
    </row>
    <row r="720">
      <c r="A720" s="157" t="s">
        <v>559</v>
      </c>
      <c r="B720" s="158">
        <v>1.0</v>
      </c>
      <c r="C720" s="157" t="s">
        <v>642</v>
      </c>
      <c r="D720" s="157" t="s">
        <v>643</v>
      </c>
      <c r="E720" s="157" t="s">
        <v>644</v>
      </c>
      <c r="F720" s="157" t="s">
        <v>2419</v>
      </c>
      <c r="G720" s="157" t="s">
        <v>2420</v>
      </c>
      <c r="H720" s="157"/>
      <c r="I720" s="158">
        <v>10.7146</v>
      </c>
      <c r="J720" s="158">
        <v>45.3983</v>
      </c>
      <c r="K720" s="157" t="s">
        <v>2421</v>
      </c>
      <c r="L720" s="157" t="s">
        <v>648</v>
      </c>
      <c r="M720" s="158">
        <v>2022.0</v>
      </c>
      <c r="N720" s="157" t="s">
        <v>649</v>
      </c>
      <c r="O720" s="157" t="s">
        <v>650</v>
      </c>
      <c r="P720" s="161" t="b">
        <v>0</v>
      </c>
      <c r="Q720" s="158">
        <v>0.35603134</v>
      </c>
      <c r="R720" s="158">
        <v>0.02582167</v>
      </c>
      <c r="S720" s="158">
        <v>0.33020967</v>
      </c>
      <c r="T720" s="157" t="s">
        <v>594</v>
      </c>
      <c r="U720" s="46" t="s">
        <v>651</v>
      </c>
      <c r="V720" s="46" t="b">
        <v>1</v>
      </c>
      <c r="W720" s="46">
        <v>0.95</v>
      </c>
      <c r="X720" s="46">
        <v>0.0245305865</v>
      </c>
      <c r="Y720" s="46">
        <v>23.6459292643663</v>
      </c>
      <c r="Z720" s="46" t="b">
        <v>1</v>
      </c>
      <c r="AA720" s="46" t="b">
        <v>1</v>
      </c>
    </row>
    <row r="721">
      <c r="A721" s="157" t="s">
        <v>561</v>
      </c>
      <c r="B721" s="158">
        <v>1.0</v>
      </c>
      <c r="C721" s="157" t="s">
        <v>642</v>
      </c>
      <c r="D721" s="157" t="s">
        <v>643</v>
      </c>
      <c r="E721" s="157" t="s">
        <v>644</v>
      </c>
      <c r="F721" s="157" t="s">
        <v>2422</v>
      </c>
      <c r="G721" s="157" t="s">
        <v>2423</v>
      </c>
      <c r="H721" s="157"/>
      <c r="I721" s="158">
        <v>2.160452</v>
      </c>
      <c r="J721" s="158">
        <v>41.338591</v>
      </c>
      <c r="K721" s="157" t="s">
        <v>2424</v>
      </c>
      <c r="L721" s="157" t="s">
        <v>648</v>
      </c>
      <c r="M721" s="158">
        <v>2022.0</v>
      </c>
      <c r="N721" s="157" t="s">
        <v>649</v>
      </c>
      <c r="O721" s="157" t="s">
        <v>650</v>
      </c>
      <c r="P721" s="161" t="b">
        <v>0</v>
      </c>
      <c r="Q721" s="158">
        <v>0.356</v>
      </c>
      <c r="R721" s="158">
        <v>0.025819397</v>
      </c>
      <c r="S721" s="158">
        <v>0.330180603</v>
      </c>
      <c r="T721" s="157" t="s">
        <v>594</v>
      </c>
      <c r="U721" s="46" t="s">
        <v>651</v>
      </c>
      <c r="V721" s="46" t="b">
        <v>1</v>
      </c>
      <c r="W721" s="46">
        <v>0.95</v>
      </c>
      <c r="X721" s="46">
        <v>0.02452842715</v>
      </c>
      <c r="Y721" s="46" t="s">
        <v>640</v>
      </c>
      <c r="Z721" s="46" t="b">
        <v>0</v>
      </c>
      <c r="AA721" s="46" t="b">
        <v>0</v>
      </c>
    </row>
    <row r="722">
      <c r="A722" s="157" t="s">
        <v>556</v>
      </c>
      <c r="B722" s="158">
        <v>1.0</v>
      </c>
      <c r="C722" s="157" t="s">
        <v>642</v>
      </c>
      <c r="D722" s="157" t="s">
        <v>643</v>
      </c>
      <c r="E722" s="157" t="s">
        <v>644</v>
      </c>
      <c r="F722" s="157" t="s">
        <v>2425</v>
      </c>
      <c r="G722" s="157" t="s">
        <v>2426</v>
      </c>
      <c r="H722" s="157"/>
      <c r="I722" s="158">
        <v>2.32625</v>
      </c>
      <c r="J722" s="158">
        <v>48.91178</v>
      </c>
      <c r="K722" s="157" t="s">
        <v>966</v>
      </c>
      <c r="L722" s="157" t="s">
        <v>648</v>
      </c>
      <c r="M722" s="158">
        <v>2022.0</v>
      </c>
      <c r="N722" s="157" t="s">
        <v>649</v>
      </c>
      <c r="O722" s="157" t="s">
        <v>650</v>
      </c>
      <c r="P722" s="161" t="b">
        <v>0</v>
      </c>
      <c r="Q722" s="158">
        <v>0.354</v>
      </c>
      <c r="R722" s="158">
        <v>0.025674345</v>
      </c>
      <c r="S722" s="158">
        <v>0.328325655</v>
      </c>
      <c r="T722" s="157" t="s">
        <v>594</v>
      </c>
      <c r="U722" s="46" t="s">
        <v>651</v>
      </c>
      <c r="V722" s="46" t="b">
        <v>1</v>
      </c>
      <c r="W722" s="46">
        <v>0.95</v>
      </c>
      <c r="X722" s="46">
        <v>0.02439062775</v>
      </c>
      <c r="Y722" s="46">
        <v>0.323036160687242</v>
      </c>
      <c r="Z722" s="46" t="b">
        <v>1</v>
      </c>
      <c r="AA722" s="46" t="b">
        <v>1</v>
      </c>
    </row>
    <row r="723">
      <c r="A723" s="157" t="s">
        <v>561</v>
      </c>
      <c r="B723" s="158">
        <v>1.0</v>
      </c>
      <c r="C723" s="157" t="s">
        <v>642</v>
      </c>
      <c r="D723" s="157" t="s">
        <v>643</v>
      </c>
      <c r="E723" s="157" t="s">
        <v>644</v>
      </c>
      <c r="F723" s="157" t="s">
        <v>2427</v>
      </c>
      <c r="G723" s="157" t="s">
        <v>2428</v>
      </c>
      <c r="H723" s="157"/>
      <c r="I723" s="158">
        <v>-6.943695</v>
      </c>
      <c r="J723" s="158">
        <v>37.19141</v>
      </c>
      <c r="K723" s="157" t="s">
        <v>1491</v>
      </c>
      <c r="L723" s="157" t="s">
        <v>648</v>
      </c>
      <c r="M723" s="158">
        <v>2022.0</v>
      </c>
      <c r="N723" s="157" t="s">
        <v>649</v>
      </c>
      <c r="O723" s="157" t="s">
        <v>650</v>
      </c>
      <c r="P723" s="161" t="b">
        <v>0</v>
      </c>
      <c r="Q723" s="158">
        <v>0.353</v>
      </c>
      <c r="R723" s="158">
        <v>0.025601818</v>
      </c>
      <c r="S723" s="158">
        <v>0.327398182</v>
      </c>
      <c r="T723" s="157" t="s">
        <v>594</v>
      </c>
      <c r="U723" s="46" t="s">
        <v>651</v>
      </c>
      <c r="V723" s="46" t="b">
        <v>1</v>
      </c>
      <c r="W723" s="46">
        <v>0.95</v>
      </c>
      <c r="X723" s="46">
        <v>0.0243217270999999</v>
      </c>
      <c r="Y723" s="46" t="s">
        <v>640</v>
      </c>
      <c r="Z723" s="46" t="b">
        <v>0</v>
      </c>
      <c r="AA723" s="46" t="b">
        <v>0</v>
      </c>
    </row>
    <row r="724">
      <c r="A724" s="157" t="s">
        <v>562</v>
      </c>
      <c r="B724" s="158">
        <v>1.0</v>
      </c>
      <c r="C724" s="157" t="s">
        <v>642</v>
      </c>
      <c r="D724" s="157" t="s">
        <v>643</v>
      </c>
      <c r="E724" s="157" t="s">
        <v>644</v>
      </c>
      <c r="F724" s="157" t="s">
        <v>2429</v>
      </c>
      <c r="G724" s="157" t="s">
        <v>2430</v>
      </c>
      <c r="H724" s="157"/>
      <c r="I724" s="158">
        <v>5.954014</v>
      </c>
      <c r="J724" s="158">
        <v>50.29308</v>
      </c>
      <c r="K724" s="157" t="s">
        <v>2431</v>
      </c>
      <c r="L724" s="157" t="s">
        <v>648</v>
      </c>
      <c r="M724" s="158">
        <v>2022.0</v>
      </c>
      <c r="N724" s="157" t="s">
        <v>649</v>
      </c>
      <c r="O724" s="157" t="s">
        <v>650</v>
      </c>
      <c r="P724" s="161" t="b">
        <v>0</v>
      </c>
      <c r="Q724" s="158">
        <v>0.352</v>
      </c>
      <c r="R724" s="158">
        <v>0.025529292</v>
      </c>
      <c r="S724" s="158">
        <v>0.326470708</v>
      </c>
      <c r="T724" s="157" t="s">
        <v>594</v>
      </c>
      <c r="U724" s="46" t="s">
        <v>651</v>
      </c>
      <c r="V724" s="46" t="b">
        <v>1</v>
      </c>
      <c r="W724" s="46">
        <v>0.95</v>
      </c>
      <c r="X724" s="46">
        <v>0.0242528273999999</v>
      </c>
      <c r="Y724" s="46">
        <v>44.7764670357278</v>
      </c>
      <c r="Z724" s="46" t="b">
        <v>1</v>
      </c>
      <c r="AA724" s="46" t="b">
        <v>1</v>
      </c>
    </row>
    <row r="725">
      <c r="A725" s="157" t="s">
        <v>559</v>
      </c>
      <c r="B725" s="158">
        <v>1.0</v>
      </c>
      <c r="C725" s="157" t="s">
        <v>642</v>
      </c>
      <c r="D725" s="157" t="s">
        <v>643</v>
      </c>
      <c r="E725" s="157" t="s">
        <v>644</v>
      </c>
      <c r="F725" s="157" t="s">
        <v>2432</v>
      </c>
      <c r="G725" s="157" t="s">
        <v>2433</v>
      </c>
      <c r="H725" s="157"/>
      <c r="I725" s="158">
        <v>15.268</v>
      </c>
      <c r="J725" s="158">
        <v>38.1977</v>
      </c>
      <c r="K725" s="157" t="s">
        <v>2434</v>
      </c>
      <c r="L725" s="157" t="s">
        <v>648</v>
      </c>
      <c r="M725" s="158">
        <v>2022.0</v>
      </c>
      <c r="N725" s="157" t="s">
        <v>649</v>
      </c>
      <c r="O725" s="157" t="s">
        <v>650</v>
      </c>
      <c r="P725" s="161" t="b">
        <v>0</v>
      </c>
      <c r="Q725" s="158">
        <v>0.351761</v>
      </c>
      <c r="R725" s="158">
        <v>0.025511958</v>
      </c>
      <c r="S725" s="158">
        <v>0.326249042</v>
      </c>
      <c r="T725" s="157" t="s">
        <v>594</v>
      </c>
      <c r="U725" s="46" t="s">
        <v>651</v>
      </c>
      <c r="V725" s="46" t="b">
        <v>1</v>
      </c>
      <c r="W725" s="46">
        <v>0.95</v>
      </c>
      <c r="X725" s="46">
        <v>0.0242363601</v>
      </c>
      <c r="Y725" s="46" t="s">
        <v>640</v>
      </c>
      <c r="Z725" s="46" t="b">
        <v>0</v>
      </c>
      <c r="AA725" s="46" t="b">
        <v>0</v>
      </c>
    </row>
    <row r="726">
      <c r="A726" s="157" t="s">
        <v>556</v>
      </c>
      <c r="B726" s="158">
        <v>8.0</v>
      </c>
      <c r="C726" s="157" t="s">
        <v>1175</v>
      </c>
      <c r="D726" s="157" t="s">
        <v>1176</v>
      </c>
      <c r="E726" s="157" t="s">
        <v>1177</v>
      </c>
      <c r="F726" s="157" t="s">
        <v>2435</v>
      </c>
      <c r="G726" s="157" t="s">
        <v>2436</v>
      </c>
      <c r="H726" s="157"/>
      <c r="I726" s="158">
        <v>2.90924</v>
      </c>
      <c r="J726" s="158">
        <v>49.76945</v>
      </c>
      <c r="K726" s="157" t="s">
        <v>2437</v>
      </c>
      <c r="L726" s="157" t="s">
        <v>648</v>
      </c>
      <c r="M726" s="158">
        <v>2022.0</v>
      </c>
      <c r="N726" s="157" t="s">
        <v>552</v>
      </c>
      <c r="O726" s="157" t="s">
        <v>1181</v>
      </c>
      <c r="P726" s="161" t="b">
        <v>1</v>
      </c>
      <c r="Q726" s="158">
        <v>0.194</v>
      </c>
      <c r="R726" s="158">
        <v>0.025509596</v>
      </c>
      <c r="S726" s="158">
        <v>0.168490404</v>
      </c>
      <c r="T726" s="157" t="s">
        <v>552</v>
      </c>
      <c r="U726" s="46" t="s">
        <v>651</v>
      </c>
      <c r="V726" s="46" t="b">
        <v>1</v>
      </c>
      <c r="W726" s="46">
        <v>0.95</v>
      </c>
      <c r="X726" s="46">
        <v>0.0242341162</v>
      </c>
      <c r="Y726" s="46">
        <v>45.726487718065</v>
      </c>
      <c r="Z726" s="46" t="b">
        <v>1</v>
      </c>
      <c r="AA726" s="46" t="b">
        <v>1</v>
      </c>
    </row>
    <row r="727">
      <c r="A727" s="157" t="s">
        <v>556</v>
      </c>
      <c r="B727" s="158">
        <v>4.0</v>
      </c>
      <c r="C727" s="157" t="s">
        <v>1092</v>
      </c>
      <c r="D727" s="157" t="s">
        <v>1912</v>
      </c>
      <c r="E727" s="157" t="s">
        <v>1913</v>
      </c>
      <c r="F727" s="157" t="s">
        <v>2438</v>
      </c>
      <c r="G727" s="157" t="s">
        <v>2439</v>
      </c>
      <c r="H727" s="157"/>
      <c r="I727" s="158">
        <v>6.26553</v>
      </c>
      <c r="J727" s="158">
        <v>48.6394</v>
      </c>
      <c r="K727" s="157" t="s">
        <v>2440</v>
      </c>
      <c r="L727" s="157" t="s">
        <v>648</v>
      </c>
      <c r="M727" s="158">
        <v>2022.0</v>
      </c>
      <c r="N727" s="157" t="s">
        <v>201</v>
      </c>
      <c r="O727" s="157" t="s">
        <v>1098</v>
      </c>
      <c r="P727" s="161" t="b">
        <v>1</v>
      </c>
      <c r="Q727" s="158">
        <v>0.457</v>
      </c>
      <c r="R727" s="158">
        <v>0.025477352</v>
      </c>
      <c r="S727" s="158">
        <v>0.431522648</v>
      </c>
      <c r="T727" s="157" t="s">
        <v>201</v>
      </c>
      <c r="U727" s="46" t="s">
        <v>651</v>
      </c>
      <c r="V727" s="46" t="b">
        <v>1</v>
      </c>
      <c r="W727" s="46">
        <v>0.95</v>
      </c>
      <c r="X727" s="46">
        <v>0.0242034844</v>
      </c>
      <c r="Y727" s="46">
        <v>69.7107739138029</v>
      </c>
      <c r="Z727" s="46" t="b">
        <v>0</v>
      </c>
      <c r="AA727" s="46" t="b">
        <v>1</v>
      </c>
    </row>
    <row r="728">
      <c r="A728" s="157" t="s">
        <v>561</v>
      </c>
      <c r="B728" s="158">
        <v>1.0</v>
      </c>
      <c r="C728" s="157" t="s">
        <v>642</v>
      </c>
      <c r="D728" s="157" t="s">
        <v>643</v>
      </c>
      <c r="E728" s="157" t="s">
        <v>644</v>
      </c>
      <c r="F728" s="157" t="s">
        <v>2441</v>
      </c>
      <c r="G728" s="157" t="s">
        <v>2442</v>
      </c>
      <c r="H728" s="157"/>
      <c r="I728" s="158">
        <v>4.259713</v>
      </c>
      <c r="J728" s="158">
        <v>39.896436</v>
      </c>
      <c r="K728" s="157" t="s">
        <v>2443</v>
      </c>
      <c r="L728" s="157" t="s">
        <v>648</v>
      </c>
      <c r="M728" s="158">
        <v>2022.0</v>
      </c>
      <c r="N728" s="157" t="s">
        <v>649</v>
      </c>
      <c r="O728" s="157" t="s">
        <v>650</v>
      </c>
      <c r="P728" s="161" t="b">
        <v>0</v>
      </c>
      <c r="Q728" s="158">
        <v>0.346</v>
      </c>
      <c r="R728" s="158">
        <v>0.025094133</v>
      </c>
      <c r="S728" s="158">
        <v>0.320905867</v>
      </c>
      <c r="T728" s="157" t="s">
        <v>594</v>
      </c>
      <c r="U728" s="46" t="s">
        <v>651</v>
      </c>
      <c r="V728" s="46" t="b">
        <v>1</v>
      </c>
      <c r="W728" s="46">
        <v>0.95</v>
      </c>
      <c r="X728" s="46">
        <v>0.02383942635</v>
      </c>
      <c r="Y728" s="46" t="s">
        <v>640</v>
      </c>
      <c r="Z728" s="46" t="b">
        <v>0</v>
      </c>
      <c r="AA728" s="46" t="b">
        <v>0</v>
      </c>
    </row>
    <row r="729">
      <c r="A729" s="157" t="s">
        <v>562</v>
      </c>
      <c r="B729" s="158">
        <v>3.0</v>
      </c>
      <c r="C729" s="157" t="s">
        <v>1215</v>
      </c>
      <c r="D729" s="157" t="s">
        <v>2348</v>
      </c>
      <c r="E729" s="157" t="s">
        <v>2349</v>
      </c>
      <c r="F729" s="157" t="s">
        <v>2444</v>
      </c>
      <c r="G729" s="157" t="s">
        <v>2445</v>
      </c>
      <c r="H729" s="157"/>
      <c r="I729" s="158">
        <v>5.3703413</v>
      </c>
      <c r="J729" s="158">
        <v>50.570454</v>
      </c>
      <c r="K729" s="157" t="s">
        <v>2446</v>
      </c>
      <c r="L729" s="157" t="s">
        <v>648</v>
      </c>
      <c r="M729" s="158">
        <v>2022.0</v>
      </c>
      <c r="N729" s="157" t="s">
        <v>114</v>
      </c>
      <c r="O729" s="157" t="s">
        <v>1221</v>
      </c>
      <c r="P729" s="161" t="b">
        <v>1</v>
      </c>
      <c r="Q729" s="158">
        <v>0.551</v>
      </c>
      <c r="R729" s="158">
        <v>0.02509132</v>
      </c>
      <c r="S729" s="158">
        <v>0.52590868</v>
      </c>
      <c r="T729" s="157" t="s">
        <v>114</v>
      </c>
      <c r="U729" s="46" t="s">
        <v>651</v>
      </c>
      <c r="V729" s="46" t="b">
        <v>1</v>
      </c>
      <c r="W729" s="46">
        <v>0.95</v>
      </c>
      <c r="X729" s="46">
        <v>0.0238367539999999</v>
      </c>
      <c r="Y729" s="46">
        <v>1.29711476028503</v>
      </c>
      <c r="Z729" s="46" t="b">
        <v>1</v>
      </c>
      <c r="AA729" s="46" t="b">
        <v>1</v>
      </c>
    </row>
    <row r="730">
      <c r="A730" s="157" t="s">
        <v>561</v>
      </c>
      <c r="B730" s="158">
        <v>3.0</v>
      </c>
      <c r="C730" s="157" t="s">
        <v>1215</v>
      </c>
      <c r="D730" s="157" t="s">
        <v>1371</v>
      </c>
      <c r="E730" s="157" t="s">
        <v>1372</v>
      </c>
      <c r="F730" s="157" t="s">
        <v>2447</v>
      </c>
      <c r="G730" s="157" t="s">
        <v>2448</v>
      </c>
      <c r="H730" s="157"/>
      <c r="I730" s="158">
        <v>-1.9029</v>
      </c>
      <c r="J730" s="158">
        <v>36.9665</v>
      </c>
      <c r="K730" s="157" t="s">
        <v>2449</v>
      </c>
      <c r="L730" s="157" t="s">
        <v>648</v>
      </c>
      <c r="M730" s="158">
        <v>2022.0</v>
      </c>
      <c r="N730" s="157" t="s">
        <v>114</v>
      </c>
      <c r="O730" s="157" t="s">
        <v>1376</v>
      </c>
      <c r="P730" s="161" t="b">
        <v>1</v>
      </c>
      <c r="Q730" s="158">
        <v>0.649</v>
      </c>
      <c r="R730" s="158">
        <v>0.025004463</v>
      </c>
      <c r="S730" s="158">
        <v>0.623995537</v>
      </c>
      <c r="T730" s="157" t="s">
        <v>114</v>
      </c>
      <c r="U730" s="46" t="s">
        <v>651</v>
      </c>
      <c r="V730" s="46" t="b">
        <v>1</v>
      </c>
      <c r="W730" s="46">
        <v>0.95</v>
      </c>
      <c r="X730" s="46">
        <v>0.02375423985</v>
      </c>
      <c r="Y730" s="46" t="s">
        <v>640</v>
      </c>
      <c r="Z730" s="46" t="b">
        <v>0</v>
      </c>
      <c r="AA730" s="46" t="b">
        <v>0</v>
      </c>
    </row>
    <row r="731">
      <c r="A731" s="157" t="s">
        <v>556</v>
      </c>
      <c r="B731" s="158">
        <v>8.0</v>
      </c>
      <c r="C731" s="157" t="s">
        <v>1175</v>
      </c>
      <c r="D731" s="157" t="s">
        <v>1176</v>
      </c>
      <c r="E731" s="157" t="s">
        <v>1177</v>
      </c>
      <c r="F731" s="157" t="s">
        <v>2450</v>
      </c>
      <c r="G731" s="157" t="s">
        <v>2451</v>
      </c>
      <c r="H731" s="157"/>
      <c r="I731" s="158">
        <v>7.59363</v>
      </c>
      <c r="J731" s="158">
        <v>48.1668</v>
      </c>
      <c r="K731" s="157" t="s">
        <v>2452</v>
      </c>
      <c r="L731" s="157" t="s">
        <v>648</v>
      </c>
      <c r="M731" s="158">
        <v>2022.0</v>
      </c>
      <c r="N731" s="157" t="s">
        <v>552</v>
      </c>
      <c r="O731" s="157" t="s">
        <v>1181</v>
      </c>
      <c r="P731" s="161" t="b">
        <v>1</v>
      </c>
      <c r="Q731" s="158">
        <v>0.19</v>
      </c>
      <c r="R731" s="158">
        <v>0.024983625</v>
      </c>
      <c r="S731" s="158">
        <v>0.165016375</v>
      </c>
      <c r="T731" s="157" t="s">
        <v>552</v>
      </c>
      <c r="U731" s="46" t="s">
        <v>651</v>
      </c>
      <c r="V731" s="46" t="b">
        <v>1</v>
      </c>
      <c r="W731" s="46">
        <v>0.95</v>
      </c>
      <c r="X731" s="46">
        <v>0.0237344437499999</v>
      </c>
      <c r="Y731" s="46">
        <v>34.9468535526048</v>
      </c>
      <c r="Z731" s="46" t="b">
        <v>1</v>
      </c>
      <c r="AA731" s="46" t="b">
        <v>1</v>
      </c>
    </row>
    <row r="732">
      <c r="A732" s="157" t="s">
        <v>558</v>
      </c>
      <c r="B732" s="158">
        <v>1.0</v>
      </c>
      <c r="C732" s="157" t="s">
        <v>642</v>
      </c>
      <c r="D732" s="157" t="s">
        <v>643</v>
      </c>
      <c r="E732" s="157" t="s">
        <v>644</v>
      </c>
      <c r="F732" s="157" t="s">
        <v>2453</v>
      </c>
      <c r="G732" s="157" t="s">
        <v>2454</v>
      </c>
      <c r="H732" s="157"/>
      <c r="I732" s="158">
        <v>-8.875618</v>
      </c>
      <c r="J732" s="158">
        <v>40.049206</v>
      </c>
      <c r="K732" s="157" t="s">
        <v>746</v>
      </c>
      <c r="L732" s="157" t="s">
        <v>648</v>
      </c>
      <c r="M732" s="158">
        <v>2022.0</v>
      </c>
      <c r="N732" s="157" t="s">
        <v>649</v>
      </c>
      <c r="O732" s="157" t="s">
        <v>650</v>
      </c>
      <c r="P732" s="161" t="b">
        <v>0</v>
      </c>
      <c r="Q732" s="158">
        <v>0.34</v>
      </c>
      <c r="R732" s="158">
        <v>0.024658975</v>
      </c>
      <c r="S732" s="158">
        <v>0.315341025</v>
      </c>
      <c r="T732" s="157" t="s">
        <v>594</v>
      </c>
      <c r="U732" s="46" t="s">
        <v>651</v>
      </c>
      <c r="V732" s="46" t="b">
        <v>1</v>
      </c>
      <c r="W732" s="46">
        <v>0.95</v>
      </c>
      <c r="X732" s="46">
        <v>0.02342602625</v>
      </c>
      <c r="Y732" s="46" t="s">
        <v>640</v>
      </c>
      <c r="Z732" s="46" t="b">
        <v>0</v>
      </c>
      <c r="AA732" s="46" t="b">
        <v>0</v>
      </c>
    </row>
    <row r="733">
      <c r="A733" s="157" t="s">
        <v>561</v>
      </c>
      <c r="B733" s="158">
        <v>3.0</v>
      </c>
      <c r="C733" s="157" t="s">
        <v>1215</v>
      </c>
      <c r="D733" s="157" t="s">
        <v>2113</v>
      </c>
      <c r="E733" s="157" t="s">
        <v>2114</v>
      </c>
      <c r="F733" s="157" t="s">
        <v>2455</v>
      </c>
      <c r="G733" s="157" t="s">
        <v>2456</v>
      </c>
      <c r="H733" s="157"/>
      <c r="I733" s="158">
        <v>-5.773367</v>
      </c>
      <c r="J733" s="158">
        <v>43.330897</v>
      </c>
      <c r="K733" s="157" t="s">
        <v>2457</v>
      </c>
      <c r="L733" s="157" t="s">
        <v>648</v>
      </c>
      <c r="M733" s="158">
        <v>2022.0</v>
      </c>
      <c r="N733" s="157" t="s">
        <v>114</v>
      </c>
      <c r="O733" s="157" t="s">
        <v>2118</v>
      </c>
      <c r="P733" s="161" t="b">
        <v>1</v>
      </c>
      <c r="Q733" s="158">
        <v>0.547</v>
      </c>
      <c r="R733" s="158">
        <v>0.024620161</v>
      </c>
      <c r="S733" s="158">
        <v>0.522379839</v>
      </c>
      <c r="T733" s="157" t="s">
        <v>114</v>
      </c>
      <c r="U733" s="46" t="s">
        <v>651</v>
      </c>
      <c r="V733" s="46" t="b">
        <v>1</v>
      </c>
      <c r="W733" s="46">
        <v>0.95</v>
      </c>
      <c r="X733" s="46">
        <v>0.02338915295</v>
      </c>
      <c r="Y733" s="46" t="s">
        <v>640</v>
      </c>
      <c r="Z733" s="46" t="b">
        <v>0</v>
      </c>
      <c r="AA733" s="46" t="b">
        <v>0</v>
      </c>
    </row>
    <row r="734">
      <c r="A734" s="157" t="s">
        <v>559</v>
      </c>
      <c r="B734" s="158">
        <v>1.0</v>
      </c>
      <c r="C734" s="157" t="s">
        <v>642</v>
      </c>
      <c r="D734" s="157" t="s">
        <v>643</v>
      </c>
      <c r="E734" s="157" t="s">
        <v>644</v>
      </c>
      <c r="F734" s="157" t="s">
        <v>2458</v>
      </c>
      <c r="G734" s="157" t="s">
        <v>2459</v>
      </c>
      <c r="H734" s="157"/>
      <c r="I734" s="158">
        <v>14.2297</v>
      </c>
      <c r="J734" s="158">
        <v>41.0088</v>
      </c>
      <c r="K734" s="157" t="s">
        <v>2460</v>
      </c>
      <c r="L734" s="157" t="s">
        <v>648</v>
      </c>
      <c r="M734" s="158">
        <v>2022.0</v>
      </c>
      <c r="N734" s="157" t="s">
        <v>649</v>
      </c>
      <c r="O734" s="157" t="s">
        <v>650</v>
      </c>
      <c r="P734" s="161" t="b">
        <v>0</v>
      </c>
      <c r="Q734" s="158">
        <v>0.338269</v>
      </c>
      <c r="R734" s="158">
        <v>0.024533432</v>
      </c>
      <c r="S734" s="158">
        <v>0.313735568</v>
      </c>
      <c r="T734" s="157" t="s">
        <v>594</v>
      </c>
      <c r="U734" s="46" t="s">
        <v>651</v>
      </c>
      <c r="V734" s="46" t="b">
        <v>1</v>
      </c>
      <c r="W734" s="46">
        <v>0.95</v>
      </c>
      <c r="X734" s="46">
        <v>0.0233067604</v>
      </c>
      <c r="Y734" s="46" t="s">
        <v>640</v>
      </c>
      <c r="Z734" s="46" t="b">
        <v>0</v>
      </c>
      <c r="AA734" s="46" t="b">
        <v>0</v>
      </c>
    </row>
    <row r="735">
      <c r="A735" s="157" t="s">
        <v>569</v>
      </c>
      <c r="B735" s="158">
        <v>3.0</v>
      </c>
      <c r="C735" s="157" t="s">
        <v>1215</v>
      </c>
      <c r="D735" s="157" t="s">
        <v>1216</v>
      </c>
      <c r="E735" s="157" t="s">
        <v>1217</v>
      </c>
      <c r="F735" s="157" t="s">
        <v>2461</v>
      </c>
      <c r="G735" s="157" t="s">
        <v>2462</v>
      </c>
      <c r="H735" s="157"/>
      <c r="I735" s="158">
        <v>17.98419</v>
      </c>
      <c r="J735" s="158">
        <v>46.016013</v>
      </c>
      <c r="K735" s="157" t="s">
        <v>2463</v>
      </c>
      <c r="L735" s="157" t="s">
        <v>648</v>
      </c>
      <c r="M735" s="158">
        <v>2022.0</v>
      </c>
      <c r="N735" s="157" t="s">
        <v>114</v>
      </c>
      <c r="O735" s="157" t="s">
        <v>1221</v>
      </c>
      <c r="P735" s="161" t="b">
        <v>1</v>
      </c>
      <c r="Q735" s="158">
        <v>0.537774</v>
      </c>
      <c r="R735" s="158">
        <v>0.024489037</v>
      </c>
      <c r="S735" s="158">
        <v>0.513284963</v>
      </c>
      <c r="T735" s="157" t="s">
        <v>114</v>
      </c>
      <c r="U735" s="46" t="s">
        <v>651</v>
      </c>
      <c r="V735" s="46" t="b">
        <v>1</v>
      </c>
      <c r="W735" s="46">
        <v>0.95</v>
      </c>
      <c r="X735" s="46">
        <v>0.02326458515</v>
      </c>
      <c r="Y735" s="46">
        <v>41.3053514034702</v>
      </c>
      <c r="Z735" s="46" t="b">
        <v>1</v>
      </c>
      <c r="AA735" s="46" t="b">
        <v>1</v>
      </c>
    </row>
    <row r="736">
      <c r="A736" s="157" t="s">
        <v>556</v>
      </c>
      <c r="B736" s="158">
        <v>3.0</v>
      </c>
      <c r="C736" s="157" t="s">
        <v>1215</v>
      </c>
      <c r="D736" s="157" t="s">
        <v>2348</v>
      </c>
      <c r="E736" s="157" t="s">
        <v>2349</v>
      </c>
      <c r="F736" s="157" t="s">
        <v>2464</v>
      </c>
      <c r="G736" s="157" t="s">
        <v>2465</v>
      </c>
      <c r="H736" s="157"/>
      <c r="I736" s="158">
        <v>1.78231</v>
      </c>
      <c r="J736" s="158">
        <v>50.8137</v>
      </c>
      <c r="K736" s="157" t="s">
        <v>2466</v>
      </c>
      <c r="L736" s="157" t="s">
        <v>648</v>
      </c>
      <c r="M736" s="158">
        <v>2022.0</v>
      </c>
      <c r="N736" s="157" t="s">
        <v>114</v>
      </c>
      <c r="O736" s="157" t="s">
        <v>1221</v>
      </c>
      <c r="P736" s="161" t="b">
        <v>1</v>
      </c>
      <c r="Q736" s="158">
        <v>0.534</v>
      </c>
      <c r="R736" s="158">
        <v>0.024317177</v>
      </c>
      <c r="S736" s="158">
        <v>0.509682823</v>
      </c>
      <c r="T736" s="157" t="s">
        <v>114</v>
      </c>
      <c r="U736" s="46" t="s">
        <v>651</v>
      </c>
      <c r="V736" s="46" t="b">
        <v>1</v>
      </c>
      <c r="W736" s="46">
        <v>0.95</v>
      </c>
      <c r="X736" s="46">
        <v>0.0231013181499999</v>
      </c>
      <c r="Y736" s="46">
        <v>0.425407630433317</v>
      </c>
      <c r="Z736" s="46" t="b">
        <v>1</v>
      </c>
      <c r="AA736" s="46" t="b">
        <v>1</v>
      </c>
    </row>
    <row r="737">
      <c r="A737" s="157" t="s">
        <v>554</v>
      </c>
      <c r="B737" s="158">
        <v>5.0</v>
      </c>
      <c r="C737" s="157" t="s">
        <v>652</v>
      </c>
      <c r="D737" s="157" t="s">
        <v>895</v>
      </c>
      <c r="E737" s="157" t="s">
        <v>896</v>
      </c>
      <c r="F737" s="157" t="s">
        <v>2467</v>
      </c>
      <c r="G737" s="157" t="s">
        <v>2468</v>
      </c>
      <c r="H737" s="157"/>
      <c r="I737" s="158">
        <v>15.27978</v>
      </c>
      <c r="J737" s="158">
        <v>59.11531</v>
      </c>
      <c r="K737" s="157" t="s">
        <v>2469</v>
      </c>
      <c r="L737" s="157" t="s">
        <v>648</v>
      </c>
      <c r="M737" s="158">
        <v>2022.0</v>
      </c>
      <c r="N737" s="157" t="s">
        <v>116</v>
      </c>
      <c r="O737" s="157" t="s">
        <v>900</v>
      </c>
      <c r="P737" s="161" t="b">
        <v>1</v>
      </c>
      <c r="Q737" s="158">
        <v>0.135</v>
      </c>
      <c r="R737" s="158">
        <v>0.024</v>
      </c>
      <c r="S737" s="158">
        <v>0.111</v>
      </c>
      <c r="T737" s="157" t="s">
        <v>116</v>
      </c>
      <c r="U737" s="46" t="s">
        <v>651</v>
      </c>
      <c r="V737" s="46" t="b">
        <v>1</v>
      </c>
      <c r="W737" s="46">
        <v>0.95</v>
      </c>
      <c r="X737" s="46">
        <v>0.0228</v>
      </c>
      <c r="Y737" s="46" t="s">
        <v>640</v>
      </c>
      <c r="Z737" s="46" t="b">
        <v>0</v>
      </c>
      <c r="AA737" s="46" t="b">
        <v>0</v>
      </c>
    </row>
    <row r="738">
      <c r="A738" s="157" t="s">
        <v>566</v>
      </c>
      <c r="B738" s="158">
        <v>1.0</v>
      </c>
      <c r="C738" s="157" t="s">
        <v>642</v>
      </c>
      <c r="D738" s="157" t="s">
        <v>643</v>
      </c>
      <c r="E738" s="157" t="s">
        <v>644</v>
      </c>
      <c r="F738" s="157" t="s">
        <v>2470</v>
      </c>
      <c r="G738" s="157" t="s">
        <v>2471</v>
      </c>
      <c r="H738" s="157"/>
      <c r="I738" s="158">
        <v>19.01933289</v>
      </c>
      <c r="J738" s="158">
        <v>50.10638809</v>
      </c>
      <c r="K738" s="157" t="s">
        <v>2472</v>
      </c>
      <c r="L738" s="157" t="s">
        <v>648</v>
      </c>
      <c r="M738" s="158">
        <v>2022.0</v>
      </c>
      <c r="N738" s="157" t="s">
        <v>649</v>
      </c>
      <c r="O738" s="157" t="s">
        <v>650</v>
      </c>
      <c r="P738" s="161" t="b">
        <v>0</v>
      </c>
      <c r="Q738" s="158">
        <v>0.33</v>
      </c>
      <c r="R738" s="158">
        <v>0.023933711</v>
      </c>
      <c r="S738" s="158">
        <v>0.306066289</v>
      </c>
      <c r="T738" s="157" t="s">
        <v>594</v>
      </c>
      <c r="U738" s="46" t="s">
        <v>651</v>
      </c>
      <c r="V738" s="46" t="b">
        <v>1</v>
      </c>
      <c r="W738" s="46">
        <v>0.95</v>
      </c>
      <c r="X738" s="46">
        <v>0.02273702545</v>
      </c>
      <c r="Y738" s="46" t="s">
        <v>640</v>
      </c>
      <c r="Z738" s="46" t="b">
        <v>0</v>
      </c>
      <c r="AA738" s="46" t="b">
        <v>0</v>
      </c>
    </row>
    <row r="739">
      <c r="A739" s="157" t="s">
        <v>565</v>
      </c>
      <c r="B739" s="158">
        <v>1.0</v>
      </c>
      <c r="C739" s="157" t="s">
        <v>642</v>
      </c>
      <c r="D739" s="157" t="s">
        <v>643</v>
      </c>
      <c r="E739" s="157" t="s">
        <v>644</v>
      </c>
      <c r="F739" s="157" t="s">
        <v>2473</v>
      </c>
      <c r="G739" s="157" t="s">
        <v>2474</v>
      </c>
      <c r="H739" s="157"/>
      <c r="I739" s="158">
        <v>17.65382956</v>
      </c>
      <c r="J739" s="158">
        <v>49.22539815</v>
      </c>
      <c r="K739" s="157" t="s">
        <v>2475</v>
      </c>
      <c r="L739" s="157" t="s">
        <v>648</v>
      </c>
      <c r="M739" s="158">
        <v>2020.0</v>
      </c>
      <c r="N739" s="157" t="s">
        <v>649</v>
      </c>
      <c r="O739" s="157" t="s">
        <v>650</v>
      </c>
      <c r="P739" s="161" t="b">
        <v>0</v>
      </c>
      <c r="Q739" s="158">
        <v>0.260781</v>
      </c>
      <c r="R739" s="158">
        <v>0.023776</v>
      </c>
      <c r="S739" s="158">
        <v>0.237005</v>
      </c>
      <c r="T739" s="157" t="s">
        <v>117</v>
      </c>
      <c r="U739" s="46" t="s">
        <v>651</v>
      </c>
      <c r="V739" s="46" t="b">
        <v>1</v>
      </c>
      <c r="W739" s="46">
        <v>0.95</v>
      </c>
      <c r="X739" s="46">
        <v>0.0225871999999999</v>
      </c>
      <c r="Y739" s="46" t="s">
        <v>640</v>
      </c>
      <c r="Z739" s="46" t="b">
        <v>0</v>
      </c>
      <c r="AA739" s="46" t="b">
        <v>0</v>
      </c>
    </row>
    <row r="740">
      <c r="A740" s="157" t="s">
        <v>559</v>
      </c>
      <c r="B740" s="158">
        <v>3.0</v>
      </c>
      <c r="C740" s="157" t="s">
        <v>1215</v>
      </c>
      <c r="D740" s="157" t="s">
        <v>1216</v>
      </c>
      <c r="E740" s="157" t="s">
        <v>1217</v>
      </c>
      <c r="F740" s="157" t="s">
        <v>2476</v>
      </c>
      <c r="G740" s="157" t="s">
        <v>2477</v>
      </c>
      <c r="H740" s="157" t="s">
        <v>2478</v>
      </c>
      <c r="I740" s="158">
        <v>0.0</v>
      </c>
      <c r="J740" s="158">
        <v>0.0</v>
      </c>
      <c r="K740" s="157" t="s">
        <v>2479</v>
      </c>
      <c r="L740" s="157" t="s">
        <v>648</v>
      </c>
      <c r="M740" s="158">
        <v>2022.0</v>
      </c>
      <c r="N740" s="157" t="s">
        <v>114</v>
      </c>
      <c r="O740" s="157" t="s">
        <v>1221</v>
      </c>
      <c r="P740" s="161" t="b">
        <v>1</v>
      </c>
      <c r="Q740" s="158">
        <v>0.520397</v>
      </c>
      <c r="R740" s="158">
        <v>0.023697727</v>
      </c>
      <c r="S740" s="158">
        <v>0.496699273</v>
      </c>
      <c r="T740" s="157" t="s">
        <v>114</v>
      </c>
      <c r="U740" s="46" t="s">
        <v>651</v>
      </c>
      <c r="V740" s="46" t="b">
        <v>1</v>
      </c>
      <c r="W740" s="46">
        <v>0.95</v>
      </c>
      <c r="X740" s="46">
        <v>0.0225128406499999</v>
      </c>
      <c r="Y740" s="46" t="s">
        <v>640</v>
      </c>
      <c r="Z740" s="46" t="b">
        <v>0</v>
      </c>
      <c r="AA740" s="46" t="b">
        <v>0</v>
      </c>
    </row>
    <row r="741">
      <c r="A741" s="157" t="s">
        <v>562</v>
      </c>
      <c r="B741" s="158">
        <v>8.0</v>
      </c>
      <c r="C741" s="157" t="s">
        <v>1175</v>
      </c>
      <c r="D741" s="157" t="s">
        <v>1176</v>
      </c>
      <c r="E741" s="157" t="s">
        <v>1177</v>
      </c>
      <c r="F741" s="162" t="s">
        <v>2480</v>
      </c>
      <c r="G741" s="157" t="s">
        <v>2481</v>
      </c>
      <c r="H741" s="157"/>
      <c r="I741" s="158">
        <v>4.0448</v>
      </c>
      <c r="J741" s="158">
        <v>50.93764</v>
      </c>
      <c r="K741" s="157" t="s">
        <v>2482</v>
      </c>
      <c r="L741" s="157" t="s">
        <v>648</v>
      </c>
      <c r="M741" s="158">
        <v>2022.0</v>
      </c>
      <c r="N741" s="157" t="s">
        <v>552</v>
      </c>
      <c r="O741" s="157" t="s">
        <v>1181</v>
      </c>
      <c r="P741" s="161" t="b">
        <v>1</v>
      </c>
      <c r="Q741" s="158">
        <v>0.18</v>
      </c>
      <c r="R741" s="158">
        <v>0.023668698</v>
      </c>
      <c r="S741" s="158">
        <v>0.156331302</v>
      </c>
      <c r="T741" s="157" t="s">
        <v>552</v>
      </c>
      <c r="U741" s="46" t="s">
        <v>651</v>
      </c>
      <c r="V741" s="46" t="b">
        <v>1</v>
      </c>
      <c r="W741" s="46">
        <v>0.95</v>
      </c>
      <c r="X741" s="46">
        <v>0.0224852630999999</v>
      </c>
      <c r="Y741" s="46">
        <v>21.8632398914209</v>
      </c>
      <c r="Z741" s="46" t="b">
        <v>1</v>
      </c>
      <c r="AA741" s="46" t="b">
        <v>1</v>
      </c>
    </row>
    <row r="742">
      <c r="A742" s="157" t="s">
        <v>561</v>
      </c>
      <c r="B742" s="158">
        <v>3.0</v>
      </c>
      <c r="C742" s="157" t="s">
        <v>1215</v>
      </c>
      <c r="D742" s="157" t="s">
        <v>1371</v>
      </c>
      <c r="E742" s="157" t="s">
        <v>1372</v>
      </c>
      <c r="F742" s="157" t="s">
        <v>2483</v>
      </c>
      <c r="G742" s="157" t="s">
        <v>2484</v>
      </c>
      <c r="H742" s="157"/>
      <c r="I742" s="158">
        <v>-5.619827</v>
      </c>
      <c r="J742" s="158">
        <v>42.799394</v>
      </c>
      <c r="K742" s="157" t="s">
        <v>2485</v>
      </c>
      <c r="L742" s="157" t="s">
        <v>648</v>
      </c>
      <c r="M742" s="158">
        <v>2022.0</v>
      </c>
      <c r="N742" s="157" t="s">
        <v>114</v>
      </c>
      <c r="O742" s="157" t="s">
        <v>1376</v>
      </c>
      <c r="P742" s="161" t="b">
        <v>1</v>
      </c>
      <c r="Q742" s="158">
        <v>0.613</v>
      </c>
      <c r="R742" s="158">
        <v>0.023617467</v>
      </c>
      <c r="S742" s="158">
        <v>0.589382533</v>
      </c>
      <c r="T742" s="157" t="s">
        <v>114</v>
      </c>
      <c r="U742" s="46" t="s">
        <v>651</v>
      </c>
      <c r="V742" s="46" t="b">
        <v>1</v>
      </c>
      <c r="W742" s="46">
        <v>0.95</v>
      </c>
      <c r="X742" s="46">
        <v>0.02243659365</v>
      </c>
      <c r="Y742" s="46" t="s">
        <v>640</v>
      </c>
      <c r="Z742" s="46" t="b">
        <v>0</v>
      </c>
      <c r="AA742" s="46" t="b">
        <v>0</v>
      </c>
    </row>
    <row r="743">
      <c r="A743" s="157" t="s">
        <v>579</v>
      </c>
      <c r="B743" s="158">
        <v>3.0</v>
      </c>
      <c r="C743" s="157" t="s">
        <v>1215</v>
      </c>
      <c r="D743" s="157" t="s">
        <v>1371</v>
      </c>
      <c r="E743" s="157" t="s">
        <v>1372</v>
      </c>
      <c r="F743" s="157" t="s">
        <v>2486</v>
      </c>
      <c r="G743" s="157" t="s">
        <v>2487</v>
      </c>
      <c r="H743" s="157"/>
      <c r="I743" s="158">
        <v>16.44352</v>
      </c>
      <c r="J743" s="158">
        <v>43.54171</v>
      </c>
      <c r="K743" s="157" t="s">
        <v>2488</v>
      </c>
      <c r="L743" s="157" t="s">
        <v>648</v>
      </c>
      <c r="M743" s="158">
        <v>2022.0</v>
      </c>
      <c r="N743" s="157" t="s">
        <v>114</v>
      </c>
      <c r="O743" s="157" t="s">
        <v>1376</v>
      </c>
      <c r="P743" s="161" t="b">
        <v>1</v>
      </c>
      <c r="Q743" s="158">
        <v>0.611</v>
      </c>
      <c r="R743" s="158">
        <v>0.023540412</v>
      </c>
      <c r="S743" s="158">
        <v>0.587459588</v>
      </c>
      <c r="T743" s="157" t="s">
        <v>114</v>
      </c>
      <c r="U743" s="46" t="s">
        <v>651</v>
      </c>
      <c r="V743" s="46" t="b">
        <v>1</v>
      </c>
      <c r="W743" s="46">
        <v>0.95</v>
      </c>
      <c r="X743" s="46">
        <v>0.0223633913999999</v>
      </c>
      <c r="Y743" s="46" t="s">
        <v>640</v>
      </c>
      <c r="Z743" s="46" t="b">
        <v>0</v>
      </c>
      <c r="AA743" s="46" t="b">
        <v>0</v>
      </c>
    </row>
    <row r="744">
      <c r="A744" s="157" t="s">
        <v>564</v>
      </c>
      <c r="B744" s="158">
        <v>5.0</v>
      </c>
      <c r="C744" s="157" t="s">
        <v>652</v>
      </c>
      <c r="D744" s="157" t="s">
        <v>895</v>
      </c>
      <c r="E744" s="157" t="s">
        <v>896</v>
      </c>
      <c r="F744" s="157" t="s">
        <v>2489</v>
      </c>
      <c r="G744" s="157" t="s">
        <v>2490</v>
      </c>
      <c r="H744" s="157"/>
      <c r="I744" s="158">
        <v>6.9653</v>
      </c>
      <c r="J744" s="158">
        <v>46.2529</v>
      </c>
      <c r="K744" s="157" t="s">
        <v>1538</v>
      </c>
      <c r="L744" s="157" t="s">
        <v>648</v>
      </c>
      <c r="M744" s="158">
        <v>2021.0</v>
      </c>
      <c r="N744" s="157" t="s">
        <v>116</v>
      </c>
      <c r="O744" s="157" t="s">
        <v>900</v>
      </c>
      <c r="P744" s="161" t="b">
        <v>1</v>
      </c>
      <c r="Q744" s="158">
        <v>0.142</v>
      </c>
      <c r="R744" s="158">
        <v>0.023444848</v>
      </c>
      <c r="S744" s="158">
        <v>0.118555152</v>
      </c>
      <c r="T744" s="157" t="s">
        <v>116</v>
      </c>
      <c r="U744" s="46" t="s">
        <v>651</v>
      </c>
      <c r="V744" s="46" t="b">
        <v>1</v>
      </c>
      <c r="W744" s="46">
        <v>0.95</v>
      </c>
      <c r="X744" s="46">
        <v>0.0222726056</v>
      </c>
      <c r="Y744" s="46">
        <v>138.50504622153</v>
      </c>
      <c r="Z744" s="46" t="b">
        <v>0</v>
      </c>
      <c r="AA744" s="46" t="b">
        <v>0</v>
      </c>
    </row>
    <row r="745">
      <c r="A745" s="157" t="s">
        <v>560</v>
      </c>
      <c r="B745" s="158">
        <v>3.0</v>
      </c>
      <c r="C745" s="157" t="s">
        <v>1215</v>
      </c>
      <c r="D745" s="157" t="s">
        <v>1216</v>
      </c>
      <c r="E745" s="157" t="s">
        <v>1217</v>
      </c>
      <c r="F745" s="157" t="s">
        <v>2491</v>
      </c>
      <c r="G745" s="157" t="s">
        <v>2492</v>
      </c>
      <c r="H745" s="157"/>
      <c r="I745" s="158">
        <v>14.533667</v>
      </c>
      <c r="J745" s="158">
        <v>46.849889</v>
      </c>
      <c r="K745" s="157" t="s">
        <v>2493</v>
      </c>
      <c r="L745" s="157" t="s">
        <v>648</v>
      </c>
      <c r="M745" s="158">
        <v>2022.0</v>
      </c>
      <c r="N745" s="157" t="s">
        <v>114</v>
      </c>
      <c r="O745" s="157" t="s">
        <v>1221</v>
      </c>
      <c r="P745" s="161" t="b">
        <v>1</v>
      </c>
      <c r="Q745" s="158">
        <v>0.513</v>
      </c>
      <c r="R745" s="158">
        <v>0.023360884</v>
      </c>
      <c r="S745" s="158">
        <v>0.489639116</v>
      </c>
      <c r="T745" s="157" t="s">
        <v>114</v>
      </c>
      <c r="U745" s="46" t="s">
        <v>651</v>
      </c>
      <c r="V745" s="46" t="b">
        <v>1</v>
      </c>
      <c r="W745" s="46">
        <v>0.95</v>
      </c>
      <c r="X745" s="46">
        <v>0.0221928398</v>
      </c>
      <c r="Y745" s="46" t="s">
        <v>640</v>
      </c>
      <c r="Z745" s="46" t="b">
        <v>0</v>
      </c>
      <c r="AA745" s="46" t="b">
        <v>0</v>
      </c>
    </row>
    <row r="746">
      <c r="A746" s="157" t="s">
        <v>556</v>
      </c>
      <c r="B746" s="158">
        <v>4.0</v>
      </c>
      <c r="C746" s="157" t="s">
        <v>1092</v>
      </c>
      <c r="D746" s="157" t="s">
        <v>2494</v>
      </c>
      <c r="E746" s="157" t="s">
        <v>2495</v>
      </c>
      <c r="F746" s="157" t="s">
        <v>2496</v>
      </c>
      <c r="G746" s="157" t="s">
        <v>2497</v>
      </c>
      <c r="H746" s="157"/>
      <c r="I746" s="158">
        <v>1.03675</v>
      </c>
      <c r="J746" s="158">
        <v>49.4238</v>
      </c>
      <c r="K746" s="157" t="s">
        <v>2498</v>
      </c>
      <c r="L746" s="157" t="s">
        <v>648</v>
      </c>
      <c r="M746" s="158">
        <v>2022.0</v>
      </c>
      <c r="N746" s="157" t="s">
        <v>201</v>
      </c>
      <c r="O746" s="157" t="s">
        <v>1098</v>
      </c>
      <c r="P746" s="161" t="b">
        <v>1</v>
      </c>
      <c r="Q746" s="158">
        <v>0.417</v>
      </c>
      <c r="R746" s="158">
        <v>0.023247387</v>
      </c>
      <c r="S746" s="158">
        <v>0.393752613</v>
      </c>
      <c r="T746" s="157" t="s">
        <v>201</v>
      </c>
      <c r="U746" s="46" t="s">
        <v>651</v>
      </c>
      <c r="V746" s="46" t="b">
        <v>1</v>
      </c>
      <c r="W746" s="46">
        <v>0.95</v>
      </c>
      <c r="X746" s="46">
        <v>0.02208501765</v>
      </c>
      <c r="Y746" s="46">
        <v>2.81303047203327</v>
      </c>
      <c r="Z746" s="46" t="b">
        <v>1</v>
      </c>
      <c r="AA746" s="46" t="b">
        <v>1</v>
      </c>
    </row>
    <row r="747">
      <c r="A747" s="157" t="s">
        <v>561</v>
      </c>
      <c r="B747" s="158">
        <v>1.0</v>
      </c>
      <c r="C747" s="157" t="s">
        <v>642</v>
      </c>
      <c r="D747" s="157" t="s">
        <v>643</v>
      </c>
      <c r="E747" s="157" t="s">
        <v>644</v>
      </c>
      <c r="F747" s="157" t="s">
        <v>2499</v>
      </c>
      <c r="G747" s="157" t="s">
        <v>2500</v>
      </c>
      <c r="H747" s="157"/>
      <c r="I747" s="158">
        <v>-4.295953</v>
      </c>
      <c r="J747" s="158">
        <v>37.60976</v>
      </c>
      <c r="K747" s="157" t="s">
        <v>2501</v>
      </c>
      <c r="L747" s="157" t="s">
        <v>648</v>
      </c>
      <c r="M747" s="158">
        <v>2022.0</v>
      </c>
      <c r="N747" s="157" t="s">
        <v>649</v>
      </c>
      <c r="O747" s="157" t="s">
        <v>650</v>
      </c>
      <c r="P747" s="161" t="b">
        <v>0</v>
      </c>
      <c r="Q747" s="158">
        <v>0.319</v>
      </c>
      <c r="R747" s="158">
        <v>0.023135921</v>
      </c>
      <c r="S747" s="158">
        <v>0.295864079</v>
      </c>
      <c r="T747" s="157" t="s">
        <v>594</v>
      </c>
      <c r="U747" s="46" t="s">
        <v>651</v>
      </c>
      <c r="V747" s="46" t="b">
        <v>1</v>
      </c>
      <c r="W747" s="46">
        <v>0.95</v>
      </c>
      <c r="X747" s="46">
        <v>0.0219791249499999</v>
      </c>
      <c r="Y747" s="46" t="s">
        <v>640</v>
      </c>
      <c r="Z747" s="46" t="b">
        <v>0</v>
      </c>
      <c r="AA747" s="46" t="b">
        <v>0</v>
      </c>
    </row>
    <row r="748">
      <c r="A748" s="157" t="s">
        <v>561</v>
      </c>
      <c r="B748" s="158">
        <v>5.0</v>
      </c>
      <c r="C748" s="157" t="s">
        <v>652</v>
      </c>
      <c r="D748" s="157" t="s">
        <v>2502</v>
      </c>
      <c r="E748" s="157" t="s">
        <v>2503</v>
      </c>
      <c r="F748" s="157" t="s">
        <v>2504</v>
      </c>
      <c r="G748" s="157" t="s">
        <v>2505</v>
      </c>
      <c r="H748" s="157"/>
      <c r="I748" s="158">
        <v>2.452918</v>
      </c>
      <c r="J748" s="158">
        <v>42.131137</v>
      </c>
      <c r="K748" s="157" t="s">
        <v>2506</v>
      </c>
      <c r="L748" s="157" t="s">
        <v>648</v>
      </c>
      <c r="M748" s="158">
        <v>2022.0</v>
      </c>
      <c r="N748" s="157" t="s">
        <v>116</v>
      </c>
      <c r="O748" s="157" t="s">
        <v>2507</v>
      </c>
      <c r="P748" s="161" t="b">
        <v>1</v>
      </c>
      <c r="Q748" s="158">
        <v>0.129</v>
      </c>
      <c r="R748" s="158">
        <v>0.02310143</v>
      </c>
      <c r="S748" s="158">
        <v>0.10589857</v>
      </c>
      <c r="T748" s="157" t="s">
        <v>116</v>
      </c>
      <c r="U748" s="46" t="s">
        <v>651</v>
      </c>
      <c r="V748" s="46" t="b">
        <v>1</v>
      </c>
      <c r="W748" s="46">
        <v>0.95</v>
      </c>
      <c r="X748" s="46">
        <v>0.0219463585</v>
      </c>
      <c r="Y748" s="46">
        <v>117.189202532869</v>
      </c>
      <c r="Z748" s="46" t="b">
        <v>0</v>
      </c>
      <c r="AA748" s="46" t="b">
        <v>0</v>
      </c>
    </row>
    <row r="749">
      <c r="A749" s="157" t="s">
        <v>575</v>
      </c>
      <c r="B749" s="158">
        <v>3.0</v>
      </c>
      <c r="C749" s="157" t="s">
        <v>1215</v>
      </c>
      <c r="D749" s="157" t="s">
        <v>1371</v>
      </c>
      <c r="E749" s="157" t="s">
        <v>1372</v>
      </c>
      <c r="F749" s="157" t="s">
        <v>2508</v>
      </c>
      <c r="G749" s="157" t="s">
        <v>2509</v>
      </c>
      <c r="H749" s="157"/>
      <c r="I749" s="158">
        <v>6.00588</v>
      </c>
      <c r="J749" s="158">
        <v>49.46619</v>
      </c>
      <c r="K749" s="157" t="s">
        <v>2510</v>
      </c>
      <c r="L749" s="157" t="s">
        <v>648</v>
      </c>
      <c r="M749" s="158">
        <v>2022.0</v>
      </c>
      <c r="N749" s="157" t="s">
        <v>114</v>
      </c>
      <c r="O749" s="157" t="s">
        <v>1376</v>
      </c>
      <c r="P749" s="161" t="b">
        <v>1</v>
      </c>
      <c r="Q749" s="158">
        <v>0.599</v>
      </c>
      <c r="R749" s="158">
        <v>0.023078079</v>
      </c>
      <c r="S749" s="158">
        <v>0.575921921</v>
      </c>
      <c r="T749" s="157" t="s">
        <v>114</v>
      </c>
      <c r="U749" s="46" t="s">
        <v>651</v>
      </c>
      <c r="V749" s="46" t="b">
        <v>1</v>
      </c>
      <c r="W749" s="46">
        <v>0.95</v>
      </c>
      <c r="X749" s="46">
        <v>0.02192417505</v>
      </c>
      <c r="Y749" s="46">
        <v>69.1012892863973</v>
      </c>
      <c r="Z749" s="46" t="b">
        <v>0</v>
      </c>
      <c r="AA749" s="46" t="b">
        <v>1</v>
      </c>
    </row>
    <row r="750">
      <c r="A750" s="157" t="s">
        <v>559</v>
      </c>
      <c r="B750" s="158">
        <v>1.0</v>
      </c>
      <c r="C750" s="157" t="s">
        <v>642</v>
      </c>
      <c r="D750" s="157" t="s">
        <v>2370</v>
      </c>
      <c r="E750" s="157" t="s">
        <v>2371</v>
      </c>
      <c r="F750" s="157" t="s">
        <v>2511</v>
      </c>
      <c r="G750" s="157" t="s">
        <v>2512</v>
      </c>
      <c r="H750" s="157"/>
      <c r="I750" s="158">
        <v>9.0113</v>
      </c>
      <c r="J750" s="158">
        <v>39.0971</v>
      </c>
      <c r="K750" s="157" t="s">
        <v>2513</v>
      </c>
      <c r="L750" s="157" t="s">
        <v>648</v>
      </c>
      <c r="M750" s="158">
        <v>2022.0</v>
      </c>
      <c r="N750" s="157" t="s">
        <v>547</v>
      </c>
      <c r="O750" s="157" t="s">
        <v>2371</v>
      </c>
      <c r="P750" s="161" t="b">
        <v>1</v>
      </c>
      <c r="Q750" s="158">
        <v>6.104895493</v>
      </c>
      <c r="R750" s="158">
        <v>0.022968004</v>
      </c>
      <c r="S750" s="158">
        <v>6.081927489</v>
      </c>
      <c r="T750" s="157" t="s">
        <v>547</v>
      </c>
      <c r="U750" s="46" t="s">
        <v>651</v>
      </c>
      <c r="V750" s="46" t="b">
        <v>1</v>
      </c>
      <c r="W750" s="46">
        <v>0.95</v>
      </c>
      <c r="X750" s="46">
        <v>0.0218196038</v>
      </c>
      <c r="Y750" s="46" t="s">
        <v>640</v>
      </c>
      <c r="Z750" s="46" t="b">
        <v>0</v>
      </c>
      <c r="AA750" s="46" t="b">
        <v>0</v>
      </c>
    </row>
    <row r="751">
      <c r="A751" s="157" t="s">
        <v>559</v>
      </c>
      <c r="B751" s="158">
        <v>3.0</v>
      </c>
      <c r="C751" s="157" t="s">
        <v>1215</v>
      </c>
      <c r="D751" s="157" t="s">
        <v>1216</v>
      </c>
      <c r="E751" s="157" t="s">
        <v>1217</v>
      </c>
      <c r="F751" s="157" t="s">
        <v>2514</v>
      </c>
      <c r="G751" s="157" t="s">
        <v>2515</v>
      </c>
      <c r="H751" s="157"/>
      <c r="I751" s="158">
        <v>8.6794</v>
      </c>
      <c r="J751" s="158">
        <v>45.7794</v>
      </c>
      <c r="K751" s="157" t="s">
        <v>2516</v>
      </c>
      <c r="L751" s="157" t="s">
        <v>648</v>
      </c>
      <c r="M751" s="158">
        <v>2022.0</v>
      </c>
      <c r="N751" s="157" t="s">
        <v>114</v>
      </c>
      <c r="O751" s="157" t="s">
        <v>1221</v>
      </c>
      <c r="P751" s="161" t="b">
        <v>1</v>
      </c>
      <c r="Q751" s="158">
        <v>0.502374</v>
      </c>
      <c r="R751" s="158">
        <v>0.022876999</v>
      </c>
      <c r="S751" s="158">
        <v>0.479497001</v>
      </c>
      <c r="T751" s="157" t="s">
        <v>114</v>
      </c>
      <c r="U751" s="46" t="s">
        <v>651</v>
      </c>
      <c r="V751" s="46" t="b">
        <v>1</v>
      </c>
      <c r="W751" s="46">
        <v>0.95</v>
      </c>
      <c r="X751" s="46">
        <v>0.0217331490499999</v>
      </c>
      <c r="Y751" s="46">
        <v>18.610707159691</v>
      </c>
      <c r="Z751" s="46" t="b">
        <v>1</v>
      </c>
      <c r="AA751" s="46" t="b">
        <v>1</v>
      </c>
    </row>
    <row r="752">
      <c r="A752" s="157" t="s">
        <v>556</v>
      </c>
      <c r="B752" s="158">
        <v>5.0</v>
      </c>
      <c r="C752" s="157" t="s">
        <v>652</v>
      </c>
      <c r="D752" s="157" t="s">
        <v>895</v>
      </c>
      <c r="E752" s="157" t="s">
        <v>896</v>
      </c>
      <c r="F752" s="157" t="s">
        <v>2517</v>
      </c>
      <c r="G752" s="157" t="s">
        <v>2518</v>
      </c>
      <c r="H752" s="157"/>
      <c r="I752" s="158">
        <v>4.79411</v>
      </c>
      <c r="J752" s="158">
        <v>45.36192</v>
      </c>
      <c r="K752" s="157" t="s">
        <v>2198</v>
      </c>
      <c r="L752" s="157" t="s">
        <v>648</v>
      </c>
      <c r="M752" s="158">
        <v>2022.0</v>
      </c>
      <c r="N752" s="157" t="s">
        <v>116</v>
      </c>
      <c r="O752" s="157" t="s">
        <v>900</v>
      </c>
      <c r="P752" s="161" t="b">
        <v>1</v>
      </c>
      <c r="Q752" s="158">
        <v>0.138</v>
      </c>
      <c r="R752" s="158">
        <v>0.02278443</v>
      </c>
      <c r="S752" s="158">
        <v>0.11521557</v>
      </c>
      <c r="T752" s="157" t="s">
        <v>116</v>
      </c>
      <c r="U752" s="46" t="s">
        <v>651</v>
      </c>
      <c r="V752" s="46" t="b">
        <v>1</v>
      </c>
      <c r="W752" s="46">
        <v>0.95</v>
      </c>
      <c r="X752" s="46">
        <v>0.0216452085</v>
      </c>
      <c r="Y752" s="46">
        <v>0.691923535485099</v>
      </c>
      <c r="Z752" s="46" t="b">
        <v>1</v>
      </c>
      <c r="AA752" s="46" t="b">
        <v>1</v>
      </c>
    </row>
    <row r="753">
      <c r="A753" s="157" t="s">
        <v>559</v>
      </c>
      <c r="B753" s="158">
        <v>1.0</v>
      </c>
      <c r="C753" s="157" t="s">
        <v>642</v>
      </c>
      <c r="D753" s="157" t="s">
        <v>643</v>
      </c>
      <c r="E753" s="157" t="s">
        <v>644</v>
      </c>
      <c r="F753" s="157" t="s">
        <v>2519</v>
      </c>
      <c r="G753" s="157" t="s">
        <v>2520</v>
      </c>
      <c r="H753" s="157"/>
      <c r="I753" s="158">
        <v>10.6002</v>
      </c>
      <c r="J753" s="158">
        <v>43.8233</v>
      </c>
      <c r="K753" s="157" t="s">
        <v>2521</v>
      </c>
      <c r="L753" s="157" t="s">
        <v>648</v>
      </c>
      <c r="M753" s="158">
        <v>2022.0</v>
      </c>
      <c r="N753" s="157" t="s">
        <v>649</v>
      </c>
      <c r="O753" s="157" t="s">
        <v>650</v>
      </c>
      <c r="P753" s="161" t="b">
        <v>0</v>
      </c>
      <c r="Q753" s="158">
        <v>0.313637</v>
      </c>
      <c r="R753" s="158">
        <v>0.022746962</v>
      </c>
      <c r="S753" s="158">
        <v>0.290890038</v>
      </c>
      <c r="T753" s="157" t="s">
        <v>594</v>
      </c>
      <c r="U753" s="46" t="s">
        <v>651</v>
      </c>
      <c r="V753" s="46" t="b">
        <v>1</v>
      </c>
      <c r="W753" s="46">
        <v>0.95</v>
      </c>
      <c r="X753" s="46">
        <v>0.0216096138999999</v>
      </c>
      <c r="Y753" s="46">
        <v>99.5384126893336</v>
      </c>
      <c r="Z753" s="46" t="b">
        <v>0</v>
      </c>
      <c r="AA753" s="46" t="b">
        <v>1</v>
      </c>
    </row>
    <row r="754">
      <c r="A754" s="157" t="s">
        <v>559</v>
      </c>
      <c r="B754" s="158">
        <v>3.0</v>
      </c>
      <c r="C754" s="157" t="s">
        <v>1215</v>
      </c>
      <c r="D754" s="157" t="s">
        <v>1216</v>
      </c>
      <c r="E754" s="157" t="s">
        <v>1217</v>
      </c>
      <c r="F754" s="157" t="s">
        <v>2522</v>
      </c>
      <c r="G754" s="157" t="s">
        <v>2523</v>
      </c>
      <c r="H754" s="157"/>
      <c r="I754" s="158">
        <v>12.5467</v>
      </c>
      <c r="J754" s="158">
        <v>43.3636</v>
      </c>
      <c r="K754" s="157" t="s">
        <v>2524</v>
      </c>
      <c r="L754" s="157" t="s">
        <v>648</v>
      </c>
      <c r="M754" s="158">
        <v>2022.0</v>
      </c>
      <c r="N754" s="157" t="s">
        <v>114</v>
      </c>
      <c r="O754" s="157" t="s">
        <v>1221</v>
      </c>
      <c r="P754" s="161" t="b">
        <v>1</v>
      </c>
      <c r="Q754" s="158">
        <v>0.498444</v>
      </c>
      <c r="R754" s="158">
        <v>0.022698036</v>
      </c>
      <c r="S754" s="158">
        <v>0.475745964</v>
      </c>
      <c r="T754" s="157" t="s">
        <v>114</v>
      </c>
      <c r="U754" s="46" t="s">
        <v>651</v>
      </c>
      <c r="V754" s="46" t="b">
        <v>1</v>
      </c>
      <c r="W754" s="46">
        <v>0.95</v>
      </c>
      <c r="X754" s="46">
        <v>0.0215631342</v>
      </c>
      <c r="Y754" s="46">
        <v>118.003232637922</v>
      </c>
      <c r="Z754" s="46" t="b">
        <v>0</v>
      </c>
      <c r="AA754" s="46" t="b">
        <v>0</v>
      </c>
    </row>
    <row r="755">
      <c r="A755" s="157" t="s">
        <v>556</v>
      </c>
      <c r="B755" s="158">
        <v>3.0</v>
      </c>
      <c r="C755" s="157" t="s">
        <v>1215</v>
      </c>
      <c r="D755" s="157" t="s">
        <v>1371</v>
      </c>
      <c r="E755" s="157" t="s">
        <v>1372</v>
      </c>
      <c r="F755" s="157" t="s">
        <v>2525</v>
      </c>
      <c r="G755" s="157" t="s">
        <v>2526</v>
      </c>
      <c r="H755" s="157"/>
      <c r="I755" s="158">
        <v>-0.14459</v>
      </c>
      <c r="J755" s="158">
        <v>46.80699</v>
      </c>
      <c r="K755" s="157" t="s">
        <v>2527</v>
      </c>
      <c r="L755" s="157" t="s">
        <v>648</v>
      </c>
      <c r="M755" s="158">
        <v>2022.0</v>
      </c>
      <c r="N755" s="157" t="s">
        <v>114</v>
      </c>
      <c r="O755" s="157" t="s">
        <v>1376</v>
      </c>
      <c r="P755" s="161" t="b">
        <v>1</v>
      </c>
      <c r="Q755" s="158">
        <v>0.586</v>
      </c>
      <c r="R755" s="158">
        <v>0.02257722</v>
      </c>
      <c r="S755" s="158">
        <v>0.56342278</v>
      </c>
      <c r="T755" s="157" t="s">
        <v>114</v>
      </c>
      <c r="U755" s="46" t="s">
        <v>651</v>
      </c>
      <c r="V755" s="46" t="b">
        <v>1</v>
      </c>
      <c r="W755" s="46">
        <v>0.95</v>
      </c>
      <c r="X755" s="46">
        <v>0.0214483589999999</v>
      </c>
      <c r="Y755" s="46">
        <v>0.795950177207771</v>
      </c>
      <c r="Z755" s="46" t="b">
        <v>1</v>
      </c>
      <c r="AA755" s="46" t="b">
        <v>1</v>
      </c>
    </row>
    <row r="756">
      <c r="A756" s="157" t="s">
        <v>566</v>
      </c>
      <c r="B756" s="158">
        <v>1.0</v>
      </c>
      <c r="C756" s="157" t="s">
        <v>642</v>
      </c>
      <c r="D756" s="157" t="s">
        <v>643</v>
      </c>
      <c r="E756" s="157" t="s">
        <v>644</v>
      </c>
      <c r="F756" s="157" t="s">
        <v>2528</v>
      </c>
      <c r="G756" s="157" t="s">
        <v>2529</v>
      </c>
      <c r="H756" s="157"/>
      <c r="I756" s="158">
        <v>19.14409065</v>
      </c>
      <c r="J756" s="158">
        <v>50.79451752</v>
      </c>
      <c r="K756" s="157" t="s">
        <v>2530</v>
      </c>
      <c r="L756" s="157" t="s">
        <v>648</v>
      </c>
      <c r="M756" s="158">
        <v>2022.0</v>
      </c>
      <c r="N756" s="157" t="s">
        <v>649</v>
      </c>
      <c r="O756" s="157" t="s">
        <v>650</v>
      </c>
      <c r="P756" s="161" t="b">
        <v>0</v>
      </c>
      <c r="Q756" s="158">
        <v>0.311</v>
      </c>
      <c r="R756" s="158">
        <v>0.022555709</v>
      </c>
      <c r="S756" s="158">
        <v>0.288444291</v>
      </c>
      <c r="T756" s="157" t="s">
        <v>594</v>
      </c>
      <c r="U756" s="46" t="s">
        <v>651</v>
      </c>
      <c r="V756" s="46" t="b">
        <v>1</v>
      </c>
      <c r="W756" s="46">
        <v>0.95</v>
      </c>
      <c r="X756" s="46">
        <v>0.02142792355</v>
      </c>
      <c r="Y756" s="46" t="s">
        <v>640</v>
      </c>
      <c r="Z756" s="46" t="b">
        <v>0</v>
      </c>
      <c r="AA756" s="46" t="b">
        <v>0</v>
      </c>
    </row>
    <row r="757">
      <c r="A757" s="157" t="s">
        <v>556</v>
      </c>
      <c r="B757" s="158">
        <v>1.0</v>
      </c>
      <c r="C757" s="157" t="s">
        <v>642</v>
      </c>
      <c r="D757" s="157" t="s">
        <v>643</v>
      </c>
      <c r="E757" s="157" t="s">
        <v>644</v>
      </c>
      <c r="F757" s="157" t="s">
        <v>2531</v>
      </c>
      <c r="G757" s="157" t="s">
        <v>2532</v>
      </c>
      <c r="H757" s="157"/>
      <c r="I757" s="158">
        <v>1.18239</v>
      </c>
      <c r="J757" s="158">
        <v>49.31161</v>
      </c>
      <c r="K757" s="157" t="s">
        <v>2533</v>
      </c>
      <c r="L757" s="157" t="s">
        <v>648</v>
      </c>
      <c r="M757" s="158">
        <v>2022.0</v>
      </c>
      <c r="N757" s="157" t="s">
        <v>649</v>
      </c>
      <c r="O757" s="157" t="s">
        <v>650</v>
      </c>
      <c r="P757" s="161" t="b">
        <v>0</v>
      </c>
      <c r="Q757" s="158">
        <v>0.309</v>
      </c>
      <c r="R757" s="158">
        <v>0.022410657</v>
      </c>
      <c r="S757" s="158">
        <v>0.286589343</v>
      </c>
      <c r="T757" s="157" t="s">
        <v>594</v>
      </c>
      <c r="U757" s="46" t="s">
        <v>651</v>
      </c>
      <c r="V757" s="46" t="b">
        <v>1</v>
      </c>
      <c r="W757" s="46">
        <v>0.95</v>
      </c>
      <c r="X757" s="46">
        <v>0.02129012415</v>
      </c>
      <c r="Y757" s="46">
        <v>10.5787298024641</v>
      </c>
      <c r="Z757" s="46" t="b">
        <v>1</v>
      </c>
      <c r="AA757" s="46" t="b">
        <v>1</v>
      </c>
    </row>
    <row r="758">
      <c r="A758" s="157" t="s">
        <v>556</v>
      </c>
      <c r="B758" s="158">
        <v>1.0</v>
      </c>
      <c r="C758" s="157" t="s">
        <v>642</v>
      </c>
      <c r="D758" s="157" t="s">
        <v>643</v>
      </c>
      <c r="E758" s="157" t="s">
        <v>644</v>
      </c>
      <c r="F758" s="157" t="s">
        <v>2534</v>
      </c>
      <c r="G758" s="157" t="s">
        <v>2011</v>
      </c>
      <c r="H758" s="157"/>
      <c r="I758" s="158">
        <v>-2.13511</v>
      </c>
      <c r="J758" s="158">
        <v>47.3093</v>
      </c>
      <c r="K758" s="157" t="s">
        <v>2535</v>
      </c>
      <c r="L758" s="157" t="s">
        <v>648</v>
      </c>
      <c r="M758" s="158">
        <v>2022.0</v>
      </c>
      <c r="N758" s="157" t="s">
        <v>649</v>
      </c>
      <c r="O758" s="157" t="s">
        <v>650</v>
      </c>
      <c r="P758" s="161" t="b">
        <v>0</v>
      </c>
      <c r="Q758" s="158">
        <v>0.308</v>
      </c>
      <c r="R758" s="158">
        <v>0.02233813</v>
      </c>
      <c r="S758" s="158">
        <v>0.28566187</v>
      </c>
      <c r="T758" s="157" t="s">
        <v>594</v>
      </c>
      <c r="U758" s="46" t="s">
        <v>651</v>
      </c>
      <c r="V758" s="46" t="b">
        <v>1</v>
      </c>
      <c r="W758" s="46">
        <v>0.95</v>
      </c>
      <c r="X758" s="46">
        <v>0.0212212235</v>
      </c>
      <c r="Y758" s="46">
        <v>0.98479529728554</v>
      </c>
      <c r="Z758" s="46" t="b">
        <v>1</v>
      </c>
      <c r="AA758" s="46" t="b">
        <v>1</v>
      </c>
    </row>
    <row r="759">
      <c r="A759" s="157" t="s">
        <v>564</v>
      </c>
      <c r="B759" s="158">
        <v>5.0</v>
      </c>
      <c r="C759" s="157" t="s">
        <v>652</v>
      </c>
      <c r="D759" s="157" t="s">
        <v>895</v>
      </c>
      <c r="E759" s="157" t="s">
        <v>896</v>
      </c>
      <c r="F759" s="157" t="s">
        <v>2536</v>
      </c>
      <c r="G759" s="157" t="s">
        <v>2537</v>
      </c>
      <c r="H759" s="157"/>
      <c r="I759" s="158">
        <v>7.6647</v>
      </c>
      <c r="J759" s="158">
        <v>47.5325</v>
      </c>
      <c r="K759" s="157" t="s">
        <v>2538</v>
      </c>
      <c r="L759" s="157" t="s">
        <v>648</v>
      </c>
      <c r="M759" s="158">
        <v>2021.0</v>
      </c>
      <c r="N759" s="157" t="s">
        <v>116</v>
      </c>
      <c r="O759" s="157" t="s">
        <v>900</v>
      </c>
      <c r="P759" s="161" t="b">
        <v>1</v>
      </c>
      <c r="Q759" s="158">
        <v>0.134</v>
      </c>
      <c r="R759" s="158">
        <v>0.022124012</v>
      </c>
      <c r="S759" s="158">
        <v>0.111875988</v>
      </c>
      <c r="T759" s="157" t="s">
        <v>116</v>
      </c>
      <c r="U759" s="46" t="s">
        <v>651</v>
      </c>
      <c r="V759" s="46" t="b">
        <v>1</v>
      </c>
      <c r="W759" s="46">
        <v>0.95</v>
      </c>
      <c r="X759" s="46">
        <v>0.0210178114</v>
      </c>
      <c r="Y759" s="46">
        <v>29.0038932089982</v>
      </c>
      <c r="Z759" s="46" t="b">
        <v>1</v>
      </c>
      <c r="AA759" s="46" t="b">
        <v>1</v>
      </c>
    </row>
    <row r="760">
      <c r="A760" s="157" t="s">
        <v>560</v>
      </c>
      <c r="B760" s="158">
        <v>3.0</v>
      </c>
      <c r="C760" s="157" t="s">
        <v>1215</v>
      </c>
      <c r="D760" s="157" t="s">
        <v>1216</v>
      </c>
      <c r="E760" s="157" t="s">
        <v>1217</v>
      </c>
      <c r="F760" s="157" t="s">
        <v>2539</v>
      </c>
      <c r="G760" s="157" t="s">
        <v>2540</v>
      </c>
      <c r="H760" s="157"/>
      <c r="I760" s="158">
        <v>16.085917</v>
      </c>
      <c r="J760" s="158">
        <v>47.87225</v>
      </c>
      <c r="K760" s="157" t="s">
        <v>2541</v>
      </c>
      <c r="L760" s="157" t="s">
        <v>648</v>
      </c>
      <c r="M760" s="158">
        <v>2022.0</v>
      </c>
      <c r="N760" s="157" t="s">
        <v>114</v>
      </c>
      <c r="O760" s="157" t="s">
        <v>1221</v>
      </c>
      <c r="P760" s="161" t="b">
        <v>1</v>
      </c>
      <c r="Q760" s="158">
        <v>0.484</v>
      </c>
      <c r="R760" s="158">
        <v>0.022040288</v>
      </c>
      <c r="S760" s="158">
        <v>0.461959712</v>
      </c>
      <c r="T760" s="157" t="s">
        <v>114</v>
      </c>
      <c r="U760" s="46" t="s">
        <v>651</v>
      </c>
      <c r="V760" s="46" t="b">
        <v>1</v>
      </c>
      <c r="W760" s="46">
        <v>0.95</v>
      </c>
      <c r="X760" s="46">
        <v>0.0209382736</v>
      </c>
      <c r="Y760" s="46" t="s">
        <v>640</v>
      </c>
      <c r="Z760" s="46" t="b">
        <v>0</v>
      </c>
      <c r="AA760" s="46" t="b">
        <v>0</v>
      </c>
    </row>
    <row r="761">
      <c r="A761" s="157" t="s">
        <v>558</v>
      </c>
      <c r="B761" s="158">
        <v>1.0</v>
      </c>
      <c r="C761" s="157" t="s">
        <v>642</v>
      </c>
      <c r="D761" s="157" t="s">
        <v>643</v>
      </c>
      <c r="E761" s="157" t="s">
        <v>644</v>
      </c>
      <c r="F761" s="157" t="s">
        <v>2542</v>
      </c>
      <c r="G761" s="157" t="s">
        <v>2543</v>
      </c>
      <c r="H761" s="157"/>
      <c r="I761" s="158">
        <v>-8.87674</v>
      </c>
      <c r="J761" s="158">
        <v>40.05203</v>
      </c>
      <c r="K761" s="157" t="s">
        <v>746</v>
      </c>
      <c r="L761" s="157" t="s">
        <v>648</v>
      </c>
      <c r="M761" s="158">
        <v>2022.0</v>
      </c>
      <c r="N761" s="157" t="s">
        <v>649</v>
      </c>
      <c r="O761" s="157" t="s">
        <v>650</v>
      </c>
      <c r="P761" s="161" t="b">
        <v>0</v>
      </c>
      <c r="Q761" s="158">
        <v>0.302</v>
      </c>
      <c r="R761" s="158">
        <v>0.021902972</v>
      </c>
      <c r="S761" s="158">
        <v>0.280097028</v>
      </c>
      <c r="T761" s="157" t="s">
        <v>594</v>
      </c>
      <c r="U761" s="46" t="s">
        <v>651</v>
      </c>
      <c r="V761" s="46" t="b">
        <v>1</v>
      </c>
      <c r="W761" s="46">
        <v>0.95</v>
      </c>
      <c r="X761" s="46">
        <v>0.0208078233999999</v>
      </c>
      <c r="Y761" s="46" t="s">
        <v>640</v>
      </c>
      <c r="Z761" s="46" t="b">
        <v>0</v>
      </c>
      <c r="AA761" s="46" t="b">
        <v>0</v>
      </c>
    </row>
    <row r="762">
      <c r="A762" s="157" t="s">
        <v>559</v>
      </c>
      <c r="B762" s="158">
        <v>3.0</v>
      </c>
      <c r="C762" s="157" t="s">
        <v>1215</v>
      </c>
      <c r="D762" s="157" t="s">
        <v>1216</v>
      </c>
      <c r="E762" s="157" t="s">
        <v>1217</v>
      </c>
      <c r="F762" s="157" t="s">
        <v>2544</v>
      </c>
      <c r="G762" s="157" t="s">
        <v>2545</v>
      </c>
      <c r="H762" s="157"/>
      <c r="I762" s="158">
        <v>12.7167</v>
      </c>
      <c r="J762" s="158">
        <v>42.0001</v>
      </c>
      <c r="K762" s="157" t="s">
        <v>2546</v>
      </c>
      <c r="L762" s="157" t="s">
        <v>648</v>
      </c>
      <c r="M762" s="158">
        <v>2022.0</v>
      </c>
      <c r="N762" s="157" t="s">
        <v>114</v>
      </c>
      <c r="O762" s="157" t="s">
        <v>1221</v>
      </c>
      <c r="P762" s="161" t="b">
        <v>1</v>
      </c>
      <c r="Q762" s="158">
        <v>0.476931</v>
      </c>
      <c r="R762" s="158">
        <v>0.021718382</v>
      </c>
      <c r="S762" s="158">
        <v>0.455212618</v>
      </c>
      <c r="T762" s="157" t="s">
        <v>114</v>
      </c>
      <c r="U762" s="46" t="s">
        <v>651</v>
      </c>
      <c r="V762" s="46" t="b">
        <v>1</v>
      </c>
      <c r="W762" s="46">
        <v>0.95</v>
      </c>
      <c r="X762" s="46">
        <v>0.0206324629</v>
      </c>
      <c r="Y762" s="46" t="s">
        <v>640</v>
      </c>
      <c r="Z762" s="46" t="b">
        <v>0</v>
      </c>
      <c r="AA762" s="46" t="b">
        <v>0</v>
      </c>
    </row>
    <row r="763">
      <c r="A763" s="157" t="s">
        <v>561</v>
      </c>
      <c r="B763" s="158">
        <v>1.0</v>
      </c>
      <c r="C763" s="157" t="s">
        <v>642</v>
      </c>
      <c r="D763" s="157" t="s">
        <v>643</v>
      </c>
      <c r="E763" s="157" t="s">
        <v>644</v>
      </c>
      <c r="F763" s="157" t="s">
        <v>2547</v>
      </c>
      <c r="G763" s="157" t="s">
        <v>2548</v>
      </c>
      <c r="H763" s="157"/>
      <c r="I763" s="158">
        <v>-6.895319</v>
      </c>
      <c r="J763" s="158">
        <v>37.182824</v>
      </c>
      <c r="K763" s="157" t="s">
        <v>2549</v>
      </c>
      <c r="L763" s="157" t="s">
        <v>648</v>
      </c>
      <c r="M763" s="158">
        <v>2022.0</v>
      </c>
      <c r="N763" s="157" t="s">
        <v>649</v>
      </c>
      <c r="O763" s="157" t="s">
        <v>650</v>
      </c>
      <c r="P763" s="161" t="b">
        <v>0</v>
      </c>
      <c r="Q763" s="158">
        <v>0.299</v>
      </c>
      <c r="R763" s="158">
        <v>0.021685393</v>
      </c>
      <c r="S763" s="158">
        <v>0.277314607</v>
      </c>
      <c r="T763" s="157" t="s">
        <v>594</v>
      </c>
      <c r="U763" s="46" t="s">
        <v>651</v>
      </c>
      <c r="V763" s="46" t="b">
        <v>1</v>
      </c>
      <c r="W763" s="46">
        <v>0.95</v>
      </c>
      <c r="X763" s="46">
        <v>0.02060112335</v>
      </c>
      <c r="Y763" s="46" t="s">
        <v>640</v>
      </c>
      <c r="Z763" s="46" t="b">
        <v>0</v>
      </c>
      <c r="AA763" s="46" t="b">
        <v>0</v>
      </c>
    </row>
    <row r="764">
      <c r="A764" s="157" t="s">
        <v>572</v>
      </c>
      <c r="B764" s="158">
        <v>1.0</v>
      </c>
      <c r="C764" s="157" t="s">
        <v>642</v>
      </c>
      <c r="D764" s="157" t="s">
        <v>643</v>
      </c>
      <c r="E764" s="157" t="s">
        <v>644</v>
      </c>
      <c r="F764" s="157" t="s">
        <v>2550</v>
      </c>
      <c r="G764" s="157" t="s">
        <v>2551</v>
      </c>
      <c r="H764" s="157"/>
      <c r="I764" s="158">
        <v>24.03834</v>
      </c>
      <c r="J764" s="158">
        <v>35.48812</v>
      </c>
      <c r="K764" s="157" t="s">
        <v>2552</v>
      </c>
      <c r="L764" s="157" t="s">
        <v>648</v>
      </c>
      <c r="M764" s="158">
        <v>2022.0</v>
      </c>
      <c r="N764" s="157" t="s">
        <v>649</v>
      </c>
      <c r="O764" s="157" t="s">
        <v>650</v>
      </c>
      <c r="P764" s="161" t="b">
        <v>0</v>
      </c>
      <c r="Q764" s="158">
        <v>0.298</v>
      </c>
      <c r="R764" s="158">
        <v>0.021612866</v>
      </c>
      <c r="S764" s="158">
        <v>0.276387134</v>
      </c>
      <c r="T764" s="157" t="s">
        <v>594</v>
      </c>
      <c r="U764" s="46" t="s">
        <v>651</v>
      </c>
      <c r="V764" s="46" t="b">
        <v>1</v>
      </c>
      <c r="W764" s="46">
        <v>0.95</v>
      </c>
      <c r="X764" s="46">
        <v>0.0205322227</v>
      </c>
      <c r="Y764" s="46" t="s">
        <v>640</v>
      </c>
      <c r="Z764" s="46" t="b">
        <v>0</v>
      </c>
      <c r="AA764" s="46" t="b">
        <v>0</v>
      </c>
    </row>
    <row r="765">
      <c r="A765" s="157" t="s">
        <v>559</v>
      </c>
      <c r="B765" s="158">
        <v>3.0</v>
      </c>
      <c r="C765" s="157" t="s">
        <v>1215</v>
      </c>
      <c r="D765" s="157" t="s">
        <v>1216</v>
      </c>
      <c r="E765" s="157" t="s">
        <v>1217</v>
      </c>
      <c r="F765" s="157" t="s">
        <v>2553</v>
      </c>
      <c r="G765" s="157" t="s">
        <v>2554</v>
      </c>
      <c r="H765" s="157"/>
      <c r="I765" s="158">
        <v>9.81</v>
      </c>
      <c r="J765" s="158">
        <v>44.7667</v>
      </c>
      <c r="K765" s="157" t="s">
        <v>2555</v>
      </c>
      <c r="L765" s="157" t="s">
        <v>648</v>
      </c>
      <c r="M765" s="158">
        <v>2022.0</v>
      </c>
      <c r="N765" s="157" t="s">
        <v>114</v>
      </c>
      <c r="O765" s="157" t="s">
        <v>1221</v>
      </c>
      <c r="P765" s="161" t="b">
        <v>1</v>
      </c>
      <c r="Q765" s="158">
        <v>0.473012</v>
      </c>
      <c r="R765" s="158">
        <v>0.021539919</v>
      </c>
      <c r="S765" s="158">
        <v>0.451472081</v>
      </c>
      <c r="T765" s="157" t="s">
        <v>114</v>
      </c>
      <c r="U765" s="46" t="s">
        <v>651</v>
      </c>
      <c r="V765" s="46" t="b">
        <v>1</v>
      </c>
      <c r="W765" s="46">
        <v>0.95</v>
      </c>
      <c r="X765" s="46">
        <v>0.02046292305</v>
      </c>
      <c r="Y765" s="46">
        <v>0.977161264972074</v>
      </c>
      <c r="Z765" s="46" t="b">
        <v>1</v>
      </c>
      <c r="AA765" s="46" t="b">
        <v>1</v>
      </c>
    </row>
    <row r="766">
      <c r="A766" s="157" t="s">
        <v>556</v>
      </c>
      <c r="B766" s="158">
        <v>1.0</v>
      </c>
      <c r="C766" s="157" t="s">
        <v>642</v>
      </c>
      <c r="D766" s="157" t="s">
        <v>643</v>
      </c>
      <c r="E766" s="157" t="s">
        <v>644</v>
      </c>
      <c r="F766" s="157" t="s">
        <v>2556</v>
      </c>
      <c r="G766" s="157" t="s">
        <v>2557</v>
      </c>
      <c r="H766" s="157"/>
      <c r="I766" s="158">
        <v>8.75774</v>
      </c>
      <c r="J766" s="158">
        <v>41.9305</v>
      </c>
      <c r="K766" s="157" t="s">
        <v>2558</v>
      </c>
      <c r="L766" s="157" t="s">
        <v>648</v>
      </c>
      <c r="M766" s="158">
        <v>2022.0</v>
      </c>
      <c r="N766" s="157" t="s">
        <v>649</v>
      </c>
      <c r="O766" s="157" t="s">
        <v>650</v>
      </c>
      <c r="P766" s="161" t="b">
        <v>0</v>
      </c>
      <c r="Q766" s="158">
        <v>0.296</v>
      </c>
      <c r="R766" s="158">
        <v>0.021467814</v>
      </c>
      <c r="S766" s="158">
        <v>0.274532186</v>
      </c>
      <c r="T766" s="157" t="s">
        <v>594</v>
      </c>
      <c r="U766" s="46" t="s">
        <v>651</v>
      </c>
      <c r="V766" s="46" t="b">
        <v>1</v>
      </c>
      <c r="W766" s="46">
        <v>0.95</v>
      </c>
      <c r="X766" s="46">
        <v>0.0203944233</v>
      </c>
      <c r="Y766" s="46" t="s">
        <v>640</v>
      </c>
      <c r="Z766" s="46" t="b">
        <v>0</v>
      </c>
      <c r="AA766" s="46" t="b">
        <v>0</v>
      </c>
    </row>
    <row r="767">
      <c r="A767" s="157" t="s">
        <v>556</v>
      </c>
      <c r="B767" s="158">
        <v>8.0</v>
      </c>
      <c r="C767" s="157" t="s">
        <v>1175</v>
      </c>
      <c r="D767" s="157" t="s">
        <v>1176</v>
      </c>
      <c r="E767" s="157" t="s">
        <v>1177</v>
      </c>
      <c r="F767" s="157" t="s">
        <v>2559</v>
      </c>
      <c r="G767" s="157" t="s">
        <v>2560</v>
      </c>
      <c r="H767" s="157"/>
      <c r="I767" s="158">
        <v>8.10269</v>
      </c>
      <c r="J767" s="158">
        <v>48.85791</v>
      </c>
      <c r="K767" s="157" t="s">
        <v>2561</v>
      </c>
      <c r="L767" s="157" t="s">
        <v>648</v>
      </c>
      <c r="M767" s="158">
        <v>2022.0</v>
      </c>
      <c r="N767" s="157" t="s">
        <v>552</v>
      </c>
      <c r="O767" s="157" t="s">
        <v>1181</v>
      </c>
      <c r="P767" s="161" t="b">
        <v>1</v>
      </c>
      <c r="Q767" s="158">
        <v>0.163</v>
      </c>
      <c r="R767" s="158">
        <v>0.021433321</v>
      </c>
      <c r="S767" s="158">
        <v>0.141566679</v>
      </c>
      <c r="T767" s="157" t="s">
        <v>552</v>
      </c>
      <c r="U767" s="46" t="s">
        <v>651</v>
      </c>
      <c r="V767" s="46" t="b">
        <v>1</v>
      </c>
      <c r="W767" s="46">
        <v>0.95</v>
      </c>
      <c r="X767" s="46">
        <v>0.02036165495</v>
      </c>
      <c r="Y767" s="46">
        <v>15.6546387397906</v>
      </c>
      <c r="Z767" s="46" t="b">
        <v>1</v>
      </c>
      <c r="AA767" s="46" t="b">
        <v>1</v>
      </c>
    </row>
    <row r="768">
      <c r="A768" s="157" t="s">
        <v>574</v>
      </c>
      <c r="B768" s="158">
        <v>3.0</v>
      </c>
      <c r="C768" s="157" t="s">
        <v>1215</v>
      </c>
      <c r="D768" s="157" t="s">
        <v>1371</v>
      </c>
      <c r="E768" s="157" t="s">
        <v>1372</v>
      </c>
      <c r="F768" s="162" t="s">
        <v>2562</v>
      </c>
      <c r="G768" s="157" t="s">
        <v>2563</v>
      </c>
      <c r="H768" s="157"/>
      <c r="I768" s="158">
        <v>18.292761</v>
      </c>
      <c r="J768" s="158">
        <v>49.033025</v>
      </c>
      <c r="K768" s="157" t="s">
        <v>2564</v>
      </c>
      <c r="L768" s="157" t="s">
        <v>648</v>
      </c>
      <c r="M768" s="158">
        <v>2017.0</v>
      </c>
      <c r="N768" s="157" t="s">
        <v>114</v>
      </c>
      <c r="O768" s="157" t="s">
        <v>1376</v>
      </c>
      <c r="P768" s="161" t="b">
        <v>1</v>
      </c>
      <c r="Q768" s="158">
        <v>0.555</v>
      </c>
      <c r="R768" s="158">
        <v>0.021382862</v>
      </c>
      <c r="S768" s="158">
        <v>0.533617138</v>
      </c>
      <c r="T768" s="157" t="s">
        <v>114</v>
      </c>
      <c r="U768" s="46" t="s">
        <v>651</v>
      </c>
      <c r="V768" s="46" t="b">
        <v>1</v>
      </c>
      <c r="W768" s="46">
        <v>0.95</v>
      </c>
      <c r="X768" s="46">
        <v>0.0203137189</v>
      </c>
      <c r="Y768" s="46" t="s">
        <v>640</v>
      </c>
      <c r="Z768" s="46" t="b">
        <v>0</v>
      </c>
      <c r="AA768" s="46" t="b">
        <v>0</v>
      </c>
    </row>
    <row r="769">
      <c r="A769" s="157" t="s">
        <v>569</v>
      </c>
      <c r="B769" s="158">
        <v>1.0</v>
      </c>
      <c r="C769" s="157" t="s">
        <v>642</v>
      </c>
      <c r="D769" s="157" t="s">
        <v>643</v>
      </c>
      <c r="E769" s="157" t="s">
        <v>644</v>
      </c>
      <c r="F769" s="157" t="s">
        <v>2565</v>
      </c>
      <c r="G769" s="157" t="s">
        <v>2566</v>
      </c>
      <c r="H769" s="157"/>
      <c r="I769" s="158">
        <v>20.647105</v>
      </c>
      <c r="J769" s="158">
        <v>48.247852</v>
      </c>
      <c r="K769" s="157" t="s">
        <v>2567</v>
      </c>
      <c r="L769" s="157" t="s">
        <v>648</v>
      </c>
      <c r="M769" s="158">
        <v>2022.0</v>
      </c>
      <c r="N769" s="157" t="s">
        <v>649</v>
      </c>
      <c r="O769" s="157" t="s">
        <v>650</v>
      </c>
      <c r="P769" s="161" t="b">
        <v>0</v>
      </c>
      <c r="Q769" s="158">
        <v>0.294108</v>
      </c>
      <c r="R769" s="158">
        <v>0.021330594</v>
      </c>
      <c r="S769" s="158">
        <v>0.272777406</v>
      </c>
      <c r="T769" s="157" t="s">
        <v>594</v>
      </c>
      <c r="U769" s="46" t="s">
        <v>651</v>
      </c>
      <c r="V769" s="46" t="b">
        <v>1</v>
      </c>
      <c r="W769" s="46">
        <v>0.95</v>
      </c>
      <c r="X769" s="46">
        <v>0.0202640643</v>
      </c>
      <c r="Y769" s="46" t="s">
        <v>640</v>
      </c>
      <c r="Z769" s="46" t="b">
        <v>0</v>
      </c>
      <c r="AA769" s="46" t="b">
        <v>0</v>
      </c>
    </row>
    <row r="770">
      <c r="A770" s="157" t="s">
        <v>556</v>
      </c>
      <c r="B770" s="158">
        <v>1.0</v>
      </c>
      <c r="C770" s="157" t="s">
        <v>642</v>
      </c>
      <c r="D770" s="157" t="s">
        <v>643</v>
      </c>
      <c r="E770" s="157" t="s">
        <v>644</v>
      </c>
      <c r="F770" s="157" t="s">
        <v>2568</v>
      </c>
      <c r="G770" s="157" t="s">
        <v>2569</v>
      </c>
      <c r="H770" s="157"/>
      <c r="I770" s="158">
        <v>5.0</v>
      </c>
      <c r="J770" s="158">
        <v>43.38</v>
      </c>
      <c r="K770" s="157" t="s">
        <v>1476</v>
      </c>
      <c r="L770" s="157" t="s">
        <v>648</v>
      </c>
      <c r="M770" s="158">
        <v>2022.0</v>
      </c>
      <c r="N770" s="157" t="s">
        <v>649</v>
      </c>
      <c r="O770" s="157" t="s">
        <v>650</v>
      </c>
      <c r="P770" s="161" t="b">
        <v>0</v>
      </c>
      <c r="Q770" s="158">
        <v>0.294</v>
      </c>
      <c r="R770" s="158">
        <v>0.021322761</v>
      </c>
      <c r="S770" s="158">
        <v>0.272677239</v>
      </c>
      <c r="T770" s="157" t="s">
        <v>594</v>
      </c>
      <c r="U770" s="46" t="s">
        <v>651</v>
      </c>
      <c r="V770" s="46" t="b">
        <v>1</v>
      </c>
      <c r="W770" s="46">
        <v>0.95</v>
      </c>
      <c r="X770" s="46">
        <v>0.0202566229499999</v>
      </c>
      <c r="Y770" s="46">
        <v>27.4180736779891</v>
      </c>
      <c r="Z770" s="46" t="b">
        <v>1</v>
      </c>
      <c r="AA770" s="46" t="b">
        <v>1</v>
      </c>
    </row>
    <row r="771">
      <c r="A771" s="157" t="s">
        <v>574</v>
      </c>
      <c r="B771" s="158">
        <v>1.0</v>
      </c>
      <c r="C771" s="157" t="s">
        <v>642</v>
      </c>
      <c r="D771" s="157" t="s">
        <v>643</v>
      </c>
      <c r="E771" s="157" t="s">
        <v>644</v>
      </c>
      <c r="F771" s="162" t="s">
        <v>2570</v>
      </c>
      <c r="G771" s="157" t="s">
        <v>2571</v>
      </c>
      <c r="H771" s="157"/>
      <c r="I771" s="158">
        <v>22.069182</v>
      </c>
      <c r="J771" s="158">
        <v>48.531986</v>
      </c>
      <c r="K771" s="157" t="s">
        <v>2572</v>
      </c>
      <c r="L771" s="157" t="s">
        <v>648</v>
      </c>
      <c r="M771" s="158">
        <v>2017.0</v>
      </c>
      <c r="N771" s="157" t="s">
        <v>649</v>
      </c>
      <c r="O771" s="157" t="s">
        <v>650</v>
      </c>
      <c r="P771" s="161" t="b">
        <v>0</v>
      </c>
      <c r="Q771" s="158">
        <v>0.294</v>
      </c>
      <c r="R771" s="158">
        <v>0.021322761</v>
      </c>
      <c r="S771" s="158">
        <v>0.272677239</v>
      </c>
      <c r="T771" s="157" t="s">
        <v>594</v>
      </c>
      <c r="U771" s="46" t="s">
        <v>651</v>
      </c>
      <c r="V771" s="46" t="b">
        <v>1</v>
      </c>
      <c r="W771" s="46">
        <v>0.95</v>
      </c>
      <c r="X771" s="46">
        <v>0.0202566229499999</v>
      </c>
      <c r="Y771" s="46" t="s">
        <v>640</v>
      </c>
      <c r="Z771" s="46" t="b">
        <v>0</v>
      </c>
      <c r="AA771" s="46" t="b">
        <v>0</v>
      </c>
    </row>
    <row r="772">
      <c r="A772" s="157" t="s">
        <v>569</v>
      </c>
      <c r="B772" s="158">
        <v>1.0</v>
      </c>
      <c r="C772" s="157" t="s">
        <v>642</v>
      </c>
      <c r="D772" s="157" t="s">
        <v>643</v>
      </c>
      <c r="E772" s="157" t="s">
        <v>644</v>
      </c>
      <c r="F772" s="157" t="s">
        <v>2573</v>
      </c>
      <c r="G772" s="157" t="s">
        <v>2574</v>
      </c>
      <c r="H772" s="157"/>
      <c r="I772" s="158">
        <v>18.719982</v>
      </c>
      <c r="J772" s="158">
        <v>47.08588</v>
      </c>
      <c r="K772" s="157" t="s">
        <v>2575</v>
      </c>
      <c r="L772" s="157" t="s">
        <v>648</v>
      </c>
      <c r="M772" s="158">
        <v>2022.0</v>
      </c>
      <c r="N772" s="157" t="s">
        <v>649</v>
      </c>
      <c r="O772" s="157" t="s">
        <v>650</v>
      </c>
      <c r="P772" s="161" t="b">
        <v>0</v>
      </c>
      <c r="Q772" s="158">
        <v>0.293135</v>
      </c>
      <c r="R772" s="158">
        <v>0.021260025</v>
      </c>
      <c r="S772" s="158">
        <v>0.271874975</v>
      </c>
      <c r="T772" s="157" t="s">
        <v>594</v>
      </c>
      <c r="U772" s="46" t="s">
        <v>651</v>
      </c>
      <c r="V772" s="46" t="b">
        <v>1</v>
      </c>
      <c r="W772" s="46">
        <v>0.95</v>
      </c>
      <c r="X772" s="46">
        <v>0.0201970237499999</v>
      </c>
      <c r="Y772" s="46" t="s">
        <v>640</v>
      </c>
      <c r="Z772" s="46" t="b">
        <v>0</v>
      </c>
      <c r="AA772" s="46" t="b">
        <v>0</v>
      </c>
    </row>
    <row r="773">
      <c r="A773" s="157" t="s">
        <v>565</v>
      </c>
      <c r="B773" s="158">
        <v>1.0</v>
      </c>
      <c r="C773" s="157" t="s">
        <v>642</v>
      </c>
      <c r="D773" s="157" t="s">
        <v>643</v>
      </c>
      <c r="E773" s="157" t="s">
        <v>644</v>
      </c>
      <c r="F773" s="157" t="s">
        <v>2576</v>
      </c>
      <c r="G773" s="157" t="s">
        <v>2577</v>
      </c>
      <c r="H773" s="157"/>
      <c r="I773" s="158">
        <v>14.12858139</v>
      </c>
      <c r="J773" s="158">
        <v>50.15349761</v>
      </c>
      <c r="K773" s="157" t="s">
        <v>2578</v>
      </c>
      <c r="L773" s="157" t="s">
        <v>648</v>
      </c>
      <c r="M773" s="158">
        <v>2020.0</v>
      </c>
      <c r="N773" s="157" t="s">
        <v>649</v>
      </c>
      <c r="O773" s="157" t="s">
        <v>650</v>
      </c>
      <c r="P773" s="161" t="b">
        <v>0</v>
      </c>
      <c r="Q773" s="158">
        <v>1.770871691</v>
      </c>
      <c r="R773" s="158">
        <v>0.021157889</v>
      </c>
      <c r="S773" s="158">
        <v>1.749713802</v>
      </c>
      <c r="T773" s="157" t="s">
        <v>117</v>
      </c>
      <c r="U773" s="46" t="s">
        <v>651</v>
      </c>
      <c r="V773" s="46" t="b">
        <v>1</v>
      </c>
      <c r="W773" s="46">
        <v>0.95</v>
      </c>
      <c r="X773" s="46">
        <v>0.02009999455</v>
      </c>
      <c r="Y773" s="46">
        <v>64.8636344641166</v>
      </c>
      <c r="Z773" s="46" t="b">
        <v>0</v>
      </c>
      <c r="AA773" s="46" t="b">
        <v>1</v>
      </c>
    </row>
    <row r="774">
      <c r="A774" s="157" t="s">
        <v>559</v>
      </c>
      <c r="B774" s="158">
        <v>1.0</v>
      </c>
      <c r="C774" s="157" t="s">
        <v>642</v>
      </c>
      <c r="D774" s="157" t="s">
        <v>643</v>
      </c>
      <c r="E774" s="157" t="s">
        <v>644</v>
      </c>
      <c r="F774" s="157" t="s">
        <v>2579</v>
      </c>
      <c r="G774" s="157" t="s">
        <v>2580</v>
      </c>
      <c r="H774" s="157"/>
      <c r="I774" s="158">
        <v>8.6505</v>
      </c>
      <c r="J774" s="158">
        <v>45.4593</v>
      </c>
      <c r="K774" s="157" t="s">
        <v>2581</v>
      </c>
      <c r="L774" s="157" t="s">
        <v>648</v>
      </c>
      <c r="M774" s="158">
        <v>2022.0</v>
      </c>
      <c r="N774" s="157" t="s">
        <v>649</v>
      </c>
      <c r="O774" s="157" t="s">
        <v>650</v>
      </c>
      <c r="P774" s="161" t="b">
        <v>0</v>
      </c>
      <c r="Q774" s="158">
        <v>0.2915758</v>
      </c>
      <c r="R774" s="158">
        <v>0.021146942</v>
      </c>
      <c r="S774" s="158">
        <v>0.270428858</v>
      </c>
      <c r="T774" s="157" t="s">
        <v>594</v>
      </c>
      <c r="U774" s="46" t="s">
        <v>651</v>
      </c>
      <c r="V774" s="46" t="b">
        <v>1</v>
      </c>
      <c r="W774" s="46">
        <v>0.95</v>
      </c>
      <c r="X774" s="46">
        <v>0.0200895948999999</v>
      </c>
      <c r="Y774" s="46">
        <v>29.2526426479449</v>
      </c>
      <c r="Z774" s="46" t="b">
        <v>1</v>
      </c>
      <c r="AA774" s="46" t="b">
        <v>1</v>
      </c>
    </row>
    <row r="775">
      <c r="A775" s="157" t="s">
        <v>567</v>
      </c>
      <c r="B775" s="158">
        <v>2.0</v>
      </c>
      <c r="C775" s="157" t="s">
        <v>916</v>
      </c>
      <c r="D775" s="157" t="s">
        <v>1203</v>
      </c>
      <c r="E775" s="157" t="s">
        <v>1204</v>
      </c>
      <c r="F775" s="157" t="s">
        <v>2582</v>
      </c>
      <c r="G775" s="157" t="s">
        <v>2583</v>
      </c>
      <c r="H775" s="157"/>
      <c r="I775" s="158">
        <v>6.430421</v>
      </c>
      <c r="J775" s="158">
        <v>60.43092</v>
      </c>
      <c r="K775" s="157" t="s">
        <v>2584</v>
      </c>
      <c r="L775" s="157" t="s">
        <v>648</v>
      </c>
      <c r="M775" s="158">
        <v>2017.0</v>
      </c>
      <c r="N775" s="157" t="s">
        <v>549</v>
      </c>
      <c r="O775" s="157" t="s">
        <v>1208</v>
      </c>
      <c r="P775" s="161" t="b">
        <v>1</v>
      </c>
      <c r="Q775" s="158">
        <v>0.174</v>
      </c>
      <c r="R775" s="158">
        <v>0.021</v>
      </c>
      <c r="S775" s="158">
        <v>0.153</v>
      </c>
      <c r="T775" s="157" t="s">
        <v>549</v>
      </c>
      <c r="U775" s="46" t="s">
        <v>651</v>
      </c>
      <c r="V775" s="46" t="b">
        <v>1</v>
      </c>
      <c r="W775" s="46">
        <v>0.95</v>
      </c>
      <c r="X775" s="46">
        <v>0.01995</v>
      </c>
      <c r="Y775" s="46">
        <v>80.5593246033305</v>
      </c>
      <c r="Z775" s="46" t="b">
        <v>0</v>
      </c>
      <c r="AA775" s="46" t="b">
        <v>1</v>
      </c>
    </row>
    <row r="776">
      <c r="A776" s="157" t="s">
        <v>566</v>
      </c>
      <c r="B776" s="158">
        <v>5.0</v>
      </c>
      <c r="C776" s="157" t="s">
        <v>652</v>
      </c>
      <c r="D776" s="157" t="s">
        <v>2585</v>
      </c>
      <c r="E776" s="157" t="s">
        <v>2586</v>
      </c>
      <c r="F776" s="157" t="s">
        <v>2587</v>
      </c>
      <c r="G776" s="157" t="s">
        <v>2588</v>
      </c>
      <c r="H776" s="157"/>
      <c r="I776" s="158">
        <v>21.44509125</v>
      </c>
      <c r="J776" s="158">
        <v>50.94822311</v>
      </c>
      <c r="K776" s="157" t="s">
        <v>2589</v>
      </c>
      <c r="L776" s="157" t="s">
        <v>648</v>
      </c>
      <c r="M776" s="158">
        <v>2022.0</v>
      </c>
      <c r="N776" s="157" t="s">
        <v>116</v>
      </c>
      <c r="O776" s="157" t="s">
        <v>2590</v>
      </c>
      <c r="P776" s="161" t="b">
        <v>1</v>
      </c>
      <c r="Q776" s="158">
        <v>0.117</v>
      </c>
      <c r="R776" s="158">
        <v>0.020952459</v>
      </c>
      <c r="S776" s="158">
        <v>0.096047541</v>
      </c>
      <c r="T776" s="157" t="s">
        <v>116</v>
      </c>
      <c r="U776" s="46" t="s">
        <v>651</v>
      </c>
      <c r="V776" s="46" t="b">
        <v>1</v>
      </c>
      <c r="W776" s="46">
        <v>0.95</v>
      </c>
      <c r="X776" s="46">
        <v>0.01990483605</v>
      </c>
      <c r="Y776" s="46" t="s">
        <v>640</v>
      </c>
      <c r="Z776" s="46" t="b">
        <v>0</v>
      </c>
      <c r="AA776" s="46" t="b">
        <v>0</v>
      </c>
    </row>
    <row r="777">
      <c r="A777" s="157" t="s">
        <v>556</v>
      </c>
      <c r="B777" s="158">
        <v>8.0</v>
      </c>
      <c r="C777" s="157" t="s">
        <v>1175</v>
      </c>
      <c r="D777" s="157" t="s">
        <v>1176</v>
      </c>
      <c r="E777" s="157" t="s">
        <v>1177</v>
      </c>
      <c r="F777" s="157" t="s">
        <v>2591</v>
      </c>
      <c r="G777" s="157" t="s">
        <v>1944</v>
      </c>
      <c r="H777" s="157"/>
      <c r="I777" s="158">
        <v>3.36945</v>
      </c>
      <c r="J777" s="158">
        <v>49.39425</v>
      </c>
      <c r="K777" s="157" t="s">
        <v>2592</v>
      </c>
      <c r="L777" s="157" t="s">
        <v>648</v>
      </c>
      <c r="M777" s="158">
        <v>2022.0</v>
      </c>
      <c r="N777" s="157" t="s">
        <v>552</v>
      </c>
      <c r="O777" s="157" t="s">
        <v>1181</v>
      </c>
      <c r="P777" s="161" t="b">
        <v>1</v>
      </c>
      <c r="Q777" s="158">
        <v>0.159</v>
      </c>
      <c r="R777" s="158">
        <v>0.02090735</v>
      </c>
      <c r="S777" s="158">
        <v>0.13809265</v>
      </c>
      <c r="T777" s="157" t="s">
        <v>552</v>
      </c>
      <c r="U777" s="46" t="s">
        <v>651</v>
      </c>
      <c r="V777" s="46" t="b">
        <v>1</v>
      </c>
      <c r="W777" s="46">
        <v>0.95</v>
      </c>
      <c r="X777" s="46">
        <v>0.0198619825</v>
      </c>
      <c r="Y777" s="46">
        <v>88.1494621254022</v>
      </c>
      <c r="Z777" s="46" t="b">
        <v>0</v>
      </c>
      <c r="AA777" s="46" t="b">
        <v>1</v>
      </c>
    </row>
    <row r="778">
      <c r="A778" s="157" t="s">
        <v>562</v>
      </c>
      <c r="B778" s="158">
        <v>1.0</v>
      </c>
      <c r="C778" s="157" t="s">
        <v>642</v>
      </c>
      <c r="D778" s="157" t="s">
        <v>643</v>
      </c>
      <c r="E778" s="157" t="s">
        <v>644</v>
      </c>
      <c r="F778" s="157" t="s">
        <v>2593</v>
      </c>
      <c r="G778" s="157" t="s">
        <v>2594</v>
      </c>
      <c r="H778" s="157"/>
      <c r="I778" s="158">
        <v>5.912952</v>
      </c>
      <c r="J778" s="158">
        <v>50.25002</v>
      </c>
      <c r="K778" s="157" t="s">
        <v>2595</v>
      </c>
      <c r="L778" s="157" t="s">
        <v>648</v>
      </c>
      <c r="M778" s="158">
        <v>2022.0</v>
      </c>
      <c r="N778" s="157" t="s">
        <v>649</v>
      </c>
      <c r="O778" s="157" t="s">
        <v>650</v>
      </c>
      <c r="P778" s="161" t="b">
        <v>0</v>
      </c>
      <c r="Q778" s="158">
        <v>0.287</v>
      </c>
      <c r="R778" s="158">
        <v>0.020815076</v>
      </c>
      <c r="S778" s="158">
        <v>0.266184924</v>
      </c>
      <c r="T778" s="157" t="s">
        <v>594</v>
      </c>
      <c r="U778" s="46" t="s">
        <v>651</v>
      </c>
      <c r="V778" s="46" t="b">
        <v>1</v>
      </c>
      <c r="W778" s="46">
        <v>0.95</v>
      </c>
      <c r="X778" s="46">
        <v>0.0197743221999999</v>
      </c>
      <c r="Y778" s="46">
        <v>47.219130472664</v>
      </c>
      <c r="Z778" s="46" t="b">
        <v>1</v>
      </c>
      <c r="AA778" s="46" t="b">
        <v>1</v>
      </c>
    </row>
    <row r="779">
      <c r="A779" s="157" t="s">
        <v>572</v>
      </c>
      <c r="B779" s="158">
        <v>1.0</v>
      </c>
      <c r="C779" s="157" t="s">
        <v>642</v>
      </c>
      <c r="D779" s="157" t="s">
        <v>643</v>
      </c>
      <c r="E779" s="157" t="s">
        <v>644</v>
      </c>
      <c r="F779" s="157" t="s">
        <v>2596</v>
      </c>
      <c r="G779" s="157" t="s">
        <v>2597</v>
      </c>
      <c r="H779" s="157"/>
      <c r="I779" s="158">
        <v>28.01736</v>
      </c>
      <c r="J779" s="158">
        <v>36.37757</v>
      </c>
      <c r="K779" s="157" t="s">
        <v>2598</v>
      </c>
      <c r="L779" s="157" t="s">
        <v>648</v>
      </c>
      <c r="M779" s="158">
        <v>2022.0</v>
      </c>
      <c r="N779" s="157" t="s">
        <v>649</v>
      </c>
      <c r="O779" s="157" t="s">
        <v>650</v>
      </c>
      <c r="P779" s="161" t="b">
        <v>0</v>
      </c>
      <c r="Q779" s="158">
        <v>0.287</v>
      </c>
      <c r="R779" s="158">
        <v>0.020815076</v>
      </c>
      <c r="S779" s="158">
        <v>0.266184924</v>
      </c>
      <c r="T779" s="157" t="s">
        <v>594</v>
      </c>
      <c r="U779" s="46" t="s">
        <v>651</v>
      </c>
      <c r="V779" s="46" t="b">
        <v>1</v>
      </c>
      <c r="W779" s="46">
        <v>0.95</v>
      </c>
      <c r="X779" s="46">
        <v>0.0197743221999999</v>
      </c>
      <c r="Y779" s="46" t="s">
        <v>640</v>
      </c>
      <c r="Z779" s="46" t="b">
        <v>0</v>
      </c>
      <c r="AA779" s="46" t="b">
        <v>0</v>
      </c>
    </row>
    <row r="780">
      <c r="A780" s="157" t="s">
        <v>565</v>
      </c>
      <c r="B780" s="158">
        <v>1.0</v>
      </c>
      <c r="C780" s="157" t="s">
        <v>642</v>
      </c>
      <c r="D780" s="157" t="s">
        <v>643</v>
      </c>
      <c r="E780" s="157" t="s">
        <v>644</v>
      </c>
      <c r="F780" s="157" t="s">
        <v>2599</v>
      </c>
      <c r="G780" s="157" t="s">
        <v>2600</v>
      </c>
      <c r="H780" s="157"/>
      <c r="I780" s="158">
        <v>17.26642222</v>
      </c>
      <c r="J780" s="158">
        <v>49.58725833</v>
      </c>
      <c r="K780" s="157" t="s">
        <v>2601</v>
      </c>
      <c r="L780" s="157" t="s">
        <v>648</v>
      </c>
      <c r="M780" s="158">
        <v>2020.0</v>
      </c>
      <c r="N780" s="157" t="s">
        <v>649</v>
      </c>
      <c r="O780" s="157" t="s">
        <v>650</v>
      </c>
      <c r="P780" s="161" t="b">
        <v>0</v>
      </c>
      <c r="Q780" s="158">
        <v>0.307481127</v>
      </c>
      <c r="R780" s="158">
        <v>0.02071778</v>
      </c>
      <c r="S780" s="158">
        <v>0.286763347</v>
      </c>
      <c r="T780" s="157" t="s">
        <v>117</v>
      </c>
      <c r="U780" s="46" t="s">
        <v>651</v>
      </c>
      <c r="V780" s="46" t="b">
        <v>1</v>
      </c>
      <c r="W780" s="46">
        <v>0.95</v>
      </c>
      <c r="X780" s="46">
        <v>0.019681891</v>
      </c>
      <c r="Y780" s="46" t="s">
        <v>640</v>
      </c>
      <c r="Z780" s="46" t="b">
        <v>0</v>
      </c>
      <c r="AA780" s="46" t="b">
        <v>0</v>
      </c>
    </row>
    <row r="781">
      <c r="A781" s="157" t="s">
        <v>556</v>
      </c>
      <c r="B781" s="158">
        <v>3.0</v>
      </c>
      <c r="C781" s="157" t="s">
        <v>1215</v>
      </c>
      <c r="D781" s="157" t="s">
        <v>1371</v>
      </c>
      <c r="E781" s="157" t="s">
        <v>1372</v>
      </c>
      <c r="F781" s="157" t="s">
        <v>2602</v>
      </c>
      <c r="G781" s="157" t="s">
        <v>2603</v>
      </c>
      <c r="H781" s="157"/>
      <c r="I781" s="158">
        <v>7.37527</v>
      </c>
      <c r="J781" s="158">
        <v>43.7908</v>
      </c>
      <c r="K781" s="157" t="s">
        <v>2604</v>
      </c>
      <c r="L781" s="157" t="s">
        <v>648</v>
      </c>
      <c r="M781" s="158">
        <v>2022.0</v>
      </c>
      <c r="N781" s="157" t="s">
        <v>114</v>
      </c>
      <c r="O781" s="157" t="s">
        <v>1376</v>
      </c>
      <c r="P781" s="161" t="b">
        <v>1</v>
      </c>
      <c r="Q781" s="158">
        <v>0.536</v>
      </c>
      <c r="R781" s="158">
        <v>0.020650836</v>
      </c>
      <c r="S781" s="158">
        <v>0.515349164</v>
      </c>
      <c r="T781" s="157" t="s">
        <v>114</v>
      </c>
      <c r="U781" s="46" t="s">
        <v>651</v>
      </c>
      <c r="V781" s="46" t="b">
        <v>1</v>
      </c>
      <c r="W781" s="46">
        <v>0.95</v>
      </c>
      <c r="X781" s="46">
        <v>0.0196182941999999</v>
      </c>
      <c r="Y781" s="46" t="s">
        <v>640</v>
      </c>
      <c r="Z781" s="46" t="b">
        <v>0</v>
      </c>
      <c r="AA781" s="46" t="b">
        <v>0</v>
      </c>
    </row>
    <row r="782">
      <c r="A782" s="157" t="s">
        <v>562</v>
      </c>
      <c r="B782" s="158">
        <v>3.0</v>
      </c>
      <c r="C782" s="157" t="s">
        <v>1215</v>
      </c>
      <c r="D782" s="157" t="s">
        <v>2348</v>
      </c>
      <c r="E782" s="157" t="s">
        <v>2349</v>
      </c>
      <c r="F782" s="157" t="s">
        <v>2605</v>
      </c>
      <c r="G782" s="157" t="s">
        <v>2606</v>
      </c>
      <c r="H782" s="157"/>
      <c r="I782" s="158">
        <v>4.641672</v>
      </c>
      <c r="J782" s="158">
        <v>50.409557</v>
      </c>
      <c r="K782" s="157" t="s">
        <v>2607</v>
      </c>
      <c r="L782" s="157" t="s">
        <v>648</v>
      </c>
      <c r="M782" s="158">
        <v>2022.0</v>
      </c>
      <c r="N782" s="157" t="s">
        <v>114</v>
      </c>
      <c r="O782" s="157" t="s">
        <v>1221</v>
      </c>
      <c r="P782" s="161" t="b">
        <v>1</v>
      </c>
      <c r="Q782" s="158">
        <v>0.453</v>
      </c>
      <c r="R782" s="158">
        <v>0.020628617</v>
      </c>
      <c r="S782" s="158">
        <v>0.432371383</v>
      </c>
      <c r="T782" s="157" t="s">
        <v>114</v>
      </c>
      <c r="U782" s="46" t="s">
        <v>651</v>
      </c>
      <c r="V782" s="46" t="b">
        <v>1</v>
      </c>
      <c r="W782" s="46">
        <v>0.95</v>
      </c>
      <c r="X782" s="46">
        <v>0.0195971861499999</v>
      </c>
      <c r="Y782" s="46">
        <v>9.22224302299318</v>
      </c>
      <c r="Z782" s="46" t="b">
        <v>1</v>
      </c>
      <c r="AA782" s="46" t="b">
        <v>1</v>
      </c>
    </row>
    <row r="783">
      <c r="A783" s="157" t="s">
        <v>569</v>
      </c>
      <c r="B783" s="158">
        <v>1.0</v>
      </c>
      <c r="C783" s="157" t="s">
        <v>642</v>
      </c>
      <c r="D783" s="157" t="s">
        <v>643</v>
      </c>
      <c r="E783" s="157" t="s">
        <v>644</v>
      </c>
      <c r="F783" s="157" t="s">
        <v>2608</v>
      </c>
      <c r="G783" s="157" t="s">
        <v>2609</v>
      </c>
      <c r="H783" s="157"/>
      <c r="I783" s="158">
        <v>18.263555</v>
      </c>
      <c r="J783" s="158">
        <v>46.064781</v>
      </c>
      <c r="K783" s="157" t="s">
        <v>2377</v>
      </c>
      <c r="L783" s="157" t="s">
        <v>648</v>
      </c>
      <c r="M783" s="158">
        <v>2022.0</v>
      </c>
      <c r="N783" s="157" t="s">
        <v>649</v>
      </c>
      <c r="O783" s="157" t="s">
        <v>650</v>
      </c>
      <c r="P783" s="161" t="b">
        <v>0</v>
      </c>
      <c r="Q783" s="158">
        <v>0.280011554</v>
      </c>
      <c r="R783" s="158">
        <v>0.020308229</v>
      </c>
      <c r="S783" s="158">
        <v>0.259703325</v>
      </c>
      <c r="T783" s="157" t="s">
        <v>594</v>
      </c>
      <c r="U783" s="46" t="s">
        <v>651</v>
      </c>
      <c r="V783" s="46" t="b">
        <v>1</v>
      </c>
      <c r="W783" s="46">
        <v>0.95</v>
      </c>
      <c r="X783" s="46">
        <v>0.01929281755</v>
      </c>
      <c r="Y783" s="46">
        <v>35.0176627981288</v>
      </c>
      <c r="Z783" s="46" t="b">
        <v>1</v>
      </c>
      <c r="AA783" s="46" t="b">
        <v>1</v>
      </c>
    </row>
    <row r="784">
      <c r="A784" s="157" t="s">
        <v>556</v>
      </c>
      <c r="B784" s="158">
        <v>5.0</v>
      </c>
      <c r="C784" s="157" t="s">
        <v>652</v>
      </c>
      <c r="D784" s="157" t="s">
        <v>895</v>
      </c>
      <c r="E784" s="157" t="s">
        <v>896</v>
      </c>
      <c r="F784" s="157" t="s">
        <v>2610</v>
      </c>
      <c r="G784" s="157" t="s">
        <v>2611</v>
      </c>
      <c r="H784" s="157"/>
      <c r="I784" s="158">
        <v>0.31926</v>
      </c>
      <c r="J784" s="158">
        <v>49.4983</v>
      </c>
      <c r="K784" s="157" t="s">
        <v>2612</v>
      </c>
      <c r="L784" s="157" t="s">
        <v>648</v>
      </c>
      <c r="M784" s="158">
        <v>2022.0</v>
      </c>
      <c r="N784" s="157" t="s">
        <v>116</v>
      </c>
      <c r="O784" s="157" t="s">
        <v>900</v>
      </c>
      <c r="P784" s="161" t="b">
        <v>1</v>
      </c>
      <c r="Q784" s="158">
        <v>0.123</v>
      </c>
      <c r="R784" s="158">
        <v>0.020307861</v>
      </c>
      <c r="S784" s="158">
        <v>0.102692139</v>
      </c>
      <c r="T784" s="157" t="s">
        <v>116</v>
      </c>
      <c r="U784" s="46" t="s">
        <v>651</v>
      </c>
      <c r="V784" s="46" t="b">
        <v>1</v>
      </c>
      <c r="W784" s="46">
        <v>0.95</v>
      </c>
      <c r="X784" s="46">
        <v>0.01929246795</v>
      </c>
      <c r="Y784" s="46">
        <v>1.58263241020835</v>
      </c>
      <c r="Z784" s="46" t="b">
        <v>1</v>
      </c>
      <c r="AA784" s="46" t="b">
        <v>1</v>
      </c>
    </row>
    <row r="785">
      <c r="A785" s="157" t="s">
        <v>566</v>
      </c>
      <c r="B785" s="158">
        <v>1.0</v>
      </c>
      <c r="C785" s="157" t="s">
        <v>642</v>
      </c>
      <c r="D785" s="157" t="s">
        <v>643</v>
      </c>
      <c r="E785" s="157" t="s">
        <v>644</v>
      </c>
      <c r="F785" s="157" t="s">
        <v>2613</v>
      </c>
      <c r="G785" s="157" t="s">
        <v>2614</v>
      </c>
      <c r="H785" s="157"/>
      <c r="I785" s="158">
        <v>22.03069</v>
      </c>
      <c r="J785" s="158">
        <v>50.0648</v>
      </c>
      <c r="K785" s="157" t="s">
        <v>2615</v>
      </c>
      <c r="L785" s="157" t="s">
        <v>648</v>
      </c>
      <c r="M785" s="158">
        <v>2022.0</v>
      </c>
      <c r="N785" s="157" t="s">
        <v>649</v>
      </c>
      <c r="O785" s="157" t="s">
        <v>650</v>
      </c>
      <c r="P785" s="161" t="b">
        <v>0</v>
      </c>
      <c r="Q785" s="158">
        <v>0.278</v>
      </c>
      <c r="R785" s="158">
        <v>0.020162338</v>
      </c>
      <c r="S785" s="158">
        <v>0.257837662</v>
      </c>
      <c r="T785" s="157" t="s">
        <v>594</v>
      </c>
      <c r="U785" s="46" t="s">
        <v>651</v>
      </c>
      <c r="V785" s="46" t="b">
        <v>1</v>
      </c>
      <c r="W785" s="46">
        <v>0.95</v>
      </c>
      <c r="X785" s="46">
        <v>0.0191542210999999</v>
      </c>
      <c r="Y785" s="46" t="s">
        <v>640</v>
      </c>
      <c r="Z785" s="46" t="b">
        <v>0</v>
      </c>
      <c r="AA785" s="46" t="b">
        <v>0</v>
      </c>
    </row>
    <row r="786">
      <c r="A786" s="157" t="s">
        <v>556</v>
      </c>
      <c r="B786" s="158">
        <v>1.0</v>
      </c>
      <c r="C786" s="157" t="s">
        <v>642</v>
      </c>
      <c r="D786" s="157" t="s">
        <v>643</v>
      </c>
      <c r="E786" s="157" t="s">
        <v>644</v>
      </c>
      <c r="F786" s="157" t="s">
        <v>2616</v>
      </c>
      <c r="G786" s="157" t="s">
        <v>2617</v>
      </c>
      <c r="H786" s="157"/>
      <c r="I786" s="158">
        <v>2.41632</v>
      </c>
      <c r="J786" s="158">
        <v>48.789</v>
      </c>
      <c r="K786" s="157" t="s">
        <v>2618</v>
      </c>
      <c r="L786" s="157" t="s">
        <v>648</v>
      </c>
      <c r="M786" s="158">
        <v>2022.0</v>
      </c>
      <c r="N786" s="157" t="s">
        <v>649</v>
      </c>
      <c r="O786" s="157" t="s">
        <v>650</v>
      </c>
      <c r="P786" s="161" t="b">
        <v>0</v>
      </c>
      <c r="Q786" s="158">
        <v>0.276</v>
      </c>
      <c r="R786" s="158">
        <v>0.020017286</v>
      </c>
      <c r="S786" s="158">
        <v>0.255982714</v>
      </c>
      <c r="T786" s="157" t="s">
        <v>594</v>
      </c>
      <c r="U786" s="46" t="s">
        <v>651</v>
      </c>
      <c r="V786" s="46" t="b">
        <v>1</v>
      </c>
      <c r="W786" s="46">
        <v>0.95</v>
      </c>
      <c r="X786" s="46">
        <v>0.0190164216999999</v>
      </c>
      <c r="Y786" s="46">
        <v>7.03951244260015</v>
      </c>
      <c r="Z786" s="46" t="b">
        <v>1</v>
      </c>
      <c r="AA786" s="46" t="b">
        <v>1</v>
      </c>
    </row>
    <row r="787">
      <c r="A787" s="157" t="s">
        <v>569</v>
      </c>
      <c r="B787" s="158">
        <v>3.0</v>
      </c>
      <c r="C787" s="157" t="s">
        <v>1215</v>
      </c>
      <c r="D787" s="157" t="s">
        <v>1216</v>
      </c>
      <c r="E787" s="157" t="s">
        <v>1217</v>
      </c>
      <c r="F787" s="157" t="s">
        <v>2619</v>
      </c>
      <c r="G787" s="157" t="s">
        <v>2620</v>
      </c>
      <c r="H787" s="157"/>
      <c r="I787" s="158">
        <v>19.104605</v>
      </c>
      <c r="J787" s="158">
        <v>47.811315</v>
      </c>
      <c r="K787" s="157" t="s">
        <v>2621</v>
      </c>
      <c r="L787" s="157" t="s">
        <v>648</v>
      </c>
      <c r="M787" s="158">
        <v>2022.0</v>
      </c>
      <c r="N787" s="157" t="s">
        <v>114</v>
      </c>
      <c r="O787" s="157" t="s">
        <v>1221</v>
      </c>
      <c r="P787" s="161" t="b">
        <v>1</v>
      </c>
      <c r="Q787" s="158">
        <v>0.439212</v>
      </c>
      <c r="R787" s="158">
        <v>0.020000742</v>
      </c>
      <c r="S787" s="158">
        <v>0.419211258</v>
      </c>
      <c r="T787" s="157" t="s">
        <v>114</v>
      </c>
      <c r="U787" s="46" t="s">
        <v>651</v>
      </c>
      <c r="V787" s="46" t="b">
        <v>1</v>
      </c>
      <c r="W787" s="46">
        <v>0.95</v>
      </c>
      <c r="X787" s="46">
        <v>0.0190007049</v>
      </c>
      <c r="Y787" s="46" t="s">
        <v>640</v>
      </c>
      <c r="Z787" s="46" t="b">
        <v>0</v>
      </c>
      <c r="AA787" s="46" t="b">
        <v>0</v>
      </c>
    </row>
    <row r="788">
      <c r="A788" s="157" t="s">
        <v>564</v>
      </c>
      <c r="B788" s="158">
        <v>3.0</v>
      </c>
      <c r="C788" s="157" t="s">
        <v>1215</v>
      </c>
      <c r="D788" s="157" t="s">
        <v>1371</v>
      </c>
      <c r="E788" s="157" t="s">
        <v>1372</v>
      </c>
      <c r="F788" s="157" t="s">
        <v>2622</v>
      </c>
      <c r="G788" s="157" t="s">
        <v>2623</v>
      </c>
      <c r="H788" s="157"/>
      <c r="I788" s="158">
        <v>8.2391</v>
      </c>
      <c r="J788" s="158">
        <v>47.5217</v>
      </c>
      <c r="K788" s="157" t="s">
        <v>2624</v>
      </c>
      <c r="L788" s="157" t="s">
        <v>648</v>
      </c>
      <c r="M788" s="158">
        <v>2021.0</v>
      </c>
      <c r="N788" s="157" t="s">
        <v>114</v>
      </c>
      <c r="O788" s="157" t="s">
        <v>1376</v>
      </c>
      <c r="P788" s="161" t="b">
        <v>1</v>
      </c>
      <c r="Q788" s="158">
        <v>0.516</v>
      </c>
      <c r="R788" s="158">
        <v>0.019880282</v>
      </c>
      <c r="S788" s="158">
        <v>0.496119718</v>
      </c>
      <c r="T788" s="157" t="s">
        <v>114</v>
      </c>
      <c r="U788" s="46" t="s">
        <v>651</v>
      </c>
      <c r="V788" s="46" t="b">
        <v>1</v>
      </c>
      <c r="W788" s="46">
        <v>0.95</v>
      </c>
      <c r="X788" s="46">
        <v>0.0188862679</v>
      </c>
      <c r="Y788" s="46">
        <v>14.1827272748039</v>
      </c>
      <c r="Z788" s="46" t="b">
        <v>1</v>
      </c>
      <c r="AA788" s="46" t="b">
        <v>1</v>
      </c>
    </row>
    <row r="789">
      <c r="A789" s="157" t="s">
        <v>574</v>
      </c>
      <c r="B789" s="158">
        <v>2.0</v>
      </c>
      <c r="C789" s="157" t="s">
        <v>916</v>
      </c>
      <c r="D789" s="157" t="s">
        <v>1203</v>
      </c>
      <c r="E789" s="157" t="s">
        <v>1204</v>
      </c>
      <c r="F789" s="162" t="s">
        <v>2625</v>
      </c>
      <c r="G789" s="157" t="s">
        <v>2626</v>
      </c>
      <c r="H789" s="157"/>
      <c r="I789" s="158">
        <v>18.846948</v>
      </c>
      <c r="J789" s="158">
        <v>48.564183</v>
      </c>
      <c r="K789" s="157" t="s">
        <v>2627</v>
      </c>
      <c r="L789" s="157" t="s">
        <v>648</v>
      </c>
      <c r="M789" s="158">
        <v>2017.0</v>
      </c>
      <c r="N789" s="157" t="s">
        <v>549</v>
      </c>
      <c r="O789" s="157" t="s">
        <v>1208</v>
      </c>
      <c r="P789" s="161" t="b">
        <v>1</v>
      </c>
      <c r="Q789" s="158">
        <v>0.296</v>
      </c>
      <c r="R789" s="158">
        <v>0.019879236</v>
      </c>
      <c r="S789" s="158">
        <v>0.276120764</v>
      </c>
      <c r="T789" s="157" t="s">
        <v>549</v>
      </c>
      <c r="U789" s="46" t="s">
        <v>651</v>
      </c>
      <c r="V789" s="46" t="b">
        <v>1</v>
      </c>
      <c r="W789" s="46">
        <v>0.95</v>
      </c>
      <c r="X789" s="46">
        <v>0.0188852742</v>
      </c>
      <c r="Y789" s="46" t="s">
        <v>640</v>
      </c>
      <c r="Z789" s="46" t="b">
        <v>0</v>
      </c>
      <c r="AA789" s="46" t="b">
        <v>0</v>
      </c>
    </row>
    <row r="790">
      <c r="A790" s="157" t="s">
        <v>574</v>
      </c>
      <c r="B790" s="158">
        <v>2.0</v>
      </c>
      <c r="C790" s="157" t="s">
        <v>916</v>
      </c>
      <c r="D790" s="157" t="s">
        <v>1203</v>
      </c>
      <c r="E790" s="157" t="s">
        <v>1204</v>
      </c>
      <c r="F790" s="162" t="s">
        <v>2628</v>
      </c>
      <c r="G790" s="157" t="s">
        <v>2629</v>
      </c>
      <c r="H790" s="157"/>
      <c r="I790" s="158">
        <v>19.340795</v>
      </c>
      <c r="J790" s="158">
        <v>49.246894</v>
      </c>
      <c r="K790" s="157" t="s">
        <v>2630</v>
      </c>
      <c r="L790" s="157" t="s">
        <v>648</v>
      </c>
      <c r="M790" s="158">
        <v>2017.0</v>
      </c>
      <c r="N790" s="157" t="s">
        <v>549</v>
      </c>
      <c r="O790" s="157" t="s">
        <v>1208</v>
      </c>
      <c r="P790" s="161" t="b">
        <v>1</v>
      </c>
      <c r="Q790" s="158">
        <v>0.294</v>
      </c>
      <c r="R790" s="158">
        <v>0.019744917</v>
      </c>
      <c r="S790" s="158">
        <v>0.274255083</v>
      </c>
      <c r="T790" s="157" t="s">
        <v>549</v>
      </c>
      <c r="U790" s="46" t="s">
        <v>651</v>
      </c>
      <c r="V790" s="46" t="b">
        <v>1</v>
      </c>
      <c r="W790" s="46">
        <v>0.95</v>
      </c>
      <c r="X790" s="46">
        <v>0.01875767115</v>
      </c>
      <c r="Y790" s="46" t="s">
        <v>640</v>
      </c>
      <c r="Z790" s="46" t="b">
        <v>0</v>
      </c>
      <c r="AA790" s="46" t="b">
        <v>0</v>
      </c>
    </row>
    <row r="791">
      <c r="A791" s="157" t="s">
        <v>569</v>
      </c>
      <c r="B791" s="158">
        <v>3.0</v>
      </c>
      <c r="C791" s="157" t="s">
        <v>1215</v>
      </c>
      <c r="D791" s="157" t="s">
        <v>1216</v>
      </c>
      <c r="E791" s="157" t="s">
        <v>1217</v>
      </c>
      <c r="F791" s="157" t="s">
        <v>2631</v>
      </c>
      <c r="G791" s="157" t="s">
        <v>2620</v>
      </c>
      <c r="H791" s="157"/>
      <c r="I791" s="158">
        <v>18.398833</v>
      </c>
      <c r="J791" s="158">
        <v>45.811201</v>
      </c>
      <c r="K791" s="157" t="s">
        <v>2632</v>
      </c>
      <c r="L791" s="157" t="s">
        <v>648</v>
      </c>
      <c r="M791" s="158">
        <v>2022.0</v>
      </c>
      <c r="N791" s="157" t="s">
        <v>114</v>
      </c>
      <c r="O791" s="157" t="s">
        <v>1221</v>
      </c>
      <c r="P791" s="161" t="b">
        <v>1</v>
      </c>
      <c r="Q791" s="158">
        <v>0.431133</v>
      </c>
      <c r="R791" s="158">
        <v>0.019632842</v>
      </c>
      <c r="S791" s="158">
        <v>0.411500158</v>
      </c>
      <c r="T791" s="157" t="s">
        <v>114</v>
      </c>
      <c r="U791" s="46" t="s">
        <v>651</v>
      </c>
      <c r="V791" s="46" t="b">
        <v>1</v>
      </c>
      <c r="W791" s="46">
        <v>0.95</v>
      </c>
      <c r="X791" s="46">
        <v>0.0186511999</v>
      </c>
      <c r="Y791" s="46">
        <v>6.38624233779263</v>
      </c>
      <c r="Z791" s="46" t="b">
        <v>1</v>
      </c>
      <c r="AA791" s="46" t="b">
        <v>1</v>
      </c>
    </row>
    <row r="792">
      <c r="A792" s="157" t="s">
        <v>561</v>
      </c>
      <c r="B792" s="158">
        <v>3.0</v>
      </c>
      <c r="C792" s="157" t="s">
        <v>1215</v>
      </c>
      <c r="D792" s="157" t="s">
        <v>1371</v>
      </c>
      <c r="E792" s="157" t="s">
        <v>1372</v>
      </c>
      <c r="F792" s="157" t="s">
        <v>2633</v>
      </c>
      <c r="G792" s="157" t="s">
        <v>2634</v>
      </c>
      <c r="H792" s="157"/>
      <c r="I792" s="158">
        <v>-3.9</v>
      </c>
      <c r="J792" s="158">
        <v>40.011</v>
      </c>
      <c r="K792" s="157" t="s">
        <v>2635</v>
      </c>
      <c r="L792" s="157" t="s">
        <v>648</v>
      </c>
      <c r="M792" s="158">
        <v>2022.0</v>
      </c>
      <c r="N792" s="157" t="s">
        <v>114</v>
      </c>
      <c r="O792" s="157" t="s">
        <v>1376</v>
      </c>
      <c r="P792" s="161" t="b">
        <v>1</v>
      </c>
      <c r="Q792" s="158">
        <v>0.508</v>
      </c>
      <c r="R792" s="158">
        <v>0.019572061</v>
      </c>
      <c r="S792" s="158">
        <v>0.488427939</v>
      </c>
      <c r="T792" s="157" t="s">
        <v>114</v>
      </c>
      <c r="U792" s="46" t="s">
        <v>651</v>
      </c>
      <c r="V792" s="46" t="b">
        <v>1</v>
      </c>
      <c r="W792" s="46">
        <v>0.95</v>
      </c>
      <c r="X792" s="46">
        <v>0.01859345795</v>
      </c>
      <c r="Y792" s="46" t="s">
        <v>640</v>
      </c>
      <c r="Z792" s="46" t="b">
        <v>0</v>
      </c>
      <c r="AA792" s="46" t="b">
        <v>0</v>
      </c>
    </row>
    <row r="793">
      <c r="A793" s="157" t="s">
        <v>556</v>
      </c>
      <c r="B793" s="158">
        <v>3.0</v>
      </c>
      <c r="C793" s="157" t="s">
        <v>1215</v>
      </c>
      <c r="D793" s="157" t="s">
        <v>1371</v>
      </c>
      <c r="E793" s="157" t="s">
        <v>1372</v>
      </c>
      <c r="F793" s="157" t="s">
        <v>2636</v>
      </c>
      <c r="G793" s="157" t="s">
        <v>2637</v>
      </c>
      <c r="H793" s="157"/>
      <c r="I793" s="158">
        <v>3.03251</v>
      </c>
      <c r="J793" s="158">
        <v>43.0221</v>
      </c>
      <c r="K793" s="157" t="s">
        <v>2638</v>
      </c>
      <c r="L793" s="157" t="s">
        <v>648</v>
      </c>
      <c r="M793" s="158">
        <v>2022.0</v>
      </c>
      <c r="N793" s="157" t="s">
        <v>114</v>
      </c>
      <c r="O793" s="157" t="s">
        <v>1376</v>
      </c>
      <c r="P793" s="161" t="b">
        <v>1</v>
      </c>
      <c r="Q793" s="158">
        <v>0.504</v>
      </c>
      <c r="R793" s="158">
        <v>0.01941795</v>
      </c>
      <c r="S793" s="158">
        <v>0.48458205</v>
      </c>
      <c r="T793" s="157" t="s">
        <v>114</v>
      </c>
      <c r="U793" s="46" t="s">
        <v>651</v>
      </c>
      <c r="V793" s="46" t="b">
        <v>1</v>
      </c>
      <c r="W793" s="46">
        <v>0.95</v>
      </c>
      <c r="X793" s="46">
        <v>0.0184470524999999</v>
      </c>
      <c r="Y793" s="46">
        <v>26.7340305238067</v>
      </c>
      <c r="Z793" s="46" t="b">
        <v>1</v>
      </c>
      <c r="AA793" s="46" t="b">
        <v>1</v>
      </c>
    </row>
    <row r="794">
      <c r="A794" s="157" t="s">
        <v>556</v>
      </c>
      <c r="B794" s="158">
        <v>3.0</v>
      </c>
      <c r="C794" s="157" t="s">
        <v>1215</v>
      </c>
      <c r="D794" s="157" t="s">
        <v>1371</v>
      </c>
      <c r="E794" s="157" t="s">
        <v>1372</v>
      </c>
      <c r="F794" s="157" t="s">
        <v>2639</v>
      </c>
      <c r="G794" s="157" t="s">
        <v>2640</v>
      </c>
      <c r="H794" s="157"/>
      <c r="I794" s="158">
        <v>4.62159</v>
      </c>
      <c r="J794" s="158">
        <v>43.80428</v>
      </c>
      <c r="K794" s="157" t="s">
        <v>2641</v>
      </c>
      <c r="L794" s="157" t="s">
        <v>648</v>
      </c>
      <c r="M794" s="158">
        <v>2022.0</v>
      </c>
      <c r="N794" s="157" t="s">
        <v>114</v>
      </c>
      <c r="O794" s="157" t="s">
        <v>1376</v>
      </c>
      <c r="P794" s="161" t="b">
        <v>1</v>
      </c>
      <c r="Q794" s="158">
        <v>0.496</v>
      </c>
      <c r="R794" s="158">
        <v>0.019109729</v>
      </c>
      <c r="S794" s="158">
        <v>0.476890271</v>
      </c>
      <c r="T794" s="157" t="s">
        <v>114</v>
      </c>
      <c r="U794" s="46" t="s">
        <v>651</v>
      </c>
      <c r="V794" s="46" t="b">
        <v>1</v>
      </c>
      <c r="W794" s="46">
        <v>0.95</v>
      </c>
      <c r="X794" s="46">
        <v>0.0181542425499999</v>
      </c>
      <c r="Y794" s="46">
        <v>9.48606500325988</v>
      </c>
      <c r="Z794" s="46" t="b">
        <v>1</v>
      </c>
      <c r="AA794" s="46" t="b">
        <v>1</v>
      </c>
    </row>
    <row r="795">
      <c r="A795" s="157" t="s">
        <v>559</v>
      </c>
      <c r="B795" s="158">
        <v>3.0</v>
      </c>
      <c r="C795" s="157" t="s">
        <v>1215</v>
      </c>
      <c r="D795" s="157" t="s">
        <v>1216</v>
      </c>
      <c r="E795" s="157" t="s">
        <v>1217</v>
      </c>
      <c r="F795" s="157" t="s">
        <v>2642</v>
      </c>
      <c r="G795" s="157" t="s">
        <v>2643</v>
      </c>
      <c r="H795" s="157"/>
      <c r="I795" s="158">
        <v>15.180555</v>
      </c>
      <c r="J795" s="158">
        <v>37.194444</v>
      </c>
      <c r="K795" s="157" t="s">
        <v>2644</v>
      </c>
      <c r="L795" s="157" t="s">
        <v>648</v>
      </c>
      <c r="M795" s="158">
        <v>2022.0</v>
      </c>
      <c r="N795" s="157" t="s">
        <v>114</v>
      </c>
      <c r="O795" s="157" t="s">
        <v>1221</v>
      </c>
      <c r="P795" s="161" t="b">
        <v>1</v>
      </c>
      <c r="Q795" s="158">
        <v>0.419549</v>
      </c>
      <c r="R795" s="158">
        <v>0.019105332</v>
      </c>
      <c r="S795" s="158">
        <v>0.400443668</v>
      </c>
      <c r="T795" s="157" t="s">
        <v>114</v>
      </c>
      <c r="U795" s="46" t="s">
        <v>651</v>
      </c>
      <c r="V795" s="46" t="b">
        <v>1</v>
      </c>
      <c r="W795" s="46">
        <v>0.95</v>
      </c>
      <c r="X795" s="46">
        <v>0.0181500654</v>
      </c>
      <c r="Y795" s="46" t="s">
        <v>640</v>
      </c>
      <c r="Z795" s="46" t="b">
        <v>0</v>
      </c>
      <c r="AA795" s="46" t="b">
        <v>0</v>
      </c>
    </row>
    <row r="796">
      <c r="A796" s="157" t="s">
        <v>566</v>
      </c>
      <c r="B796" s="158">
        <v>1.0</v>
      </c>
      <c r="C796" s="157" t="s">
        <v>642</v>
      </c>
      <c r="D796" s="157" t="s">
        <v>643</v>
      </c>
      <c r="E796" s="157" t="s">
        <v>644</v>
      </c>
      <c r="F796" s="157" t="s">
        <v>2645</v>
      </c>
      <c r="G796" s="157" t="s">
        <v>2646</v>
      </c>
      <c r="H796" s="157"/>
      <c r="I796" s="158">
        <v>19.02972221</v>
      </c>
      <c r="J796" s="158">
        <v>49.875</v>
      </c>
      <c r="K796" s="157" t="s">
        <v>2647</v>
      </c>
      <c r="L796" s="157" t="s">
        <v>648</v>
      </c>
      <c r="M796" s="158">
        <v>2022.0</v>
      </c>
      <c r="N796" s="157" t="s">
        <v>649</v>
      </c>
      <c r="O796" s="157" t="s">
        <v>650</v>
      </c>
      <c r="P796" s="161" t="b">
        <v>0</v>
      </c>
      <c r="Q796" s="158">
        <v>0.26</v>
      </c>
      <c r="R796" s="158">
        <v>0.018856863</v>
      </c>
      <c r="S796" s="158">
        <v>0.241143137</v>
      </c>
      <c r="T796" s="157" t="s">
        <v>594</v>
      </c>
      <c r="U796" s="46" t="s">
        <v>651</v>
      </c>
      <c r="V796" s="46" t="b">
        <v>1</v>
      </c>
      <c r="W796" s="46">
        <v>0.95</v>
      </c>
      <c r="X796" s="46">
        <v>0.01791401985</v>
      </c>
      <c r="Y796" s="46" t="s">
        <v>640</v>
      </c>
      <c r="Z796" s="46" t="b">
        <v>0</v>
      </c>
      <c r="AA796" s="46" t="b">
        <v>0</v>
      </c>
    </row>
    <row r="797">
      <c r="A797" s="157" t="s">
        <v>564</v>
      </c>
      <c r="B797" s="158">
        <v>3.0</v>
      </c>
      <c r="C797" s="157" t="s">
        <v>1215</v>
      </c>
      <c r="D797" s="157" t="s">
        <v>1371</v>
      </c>
      <c r="E797" s="157" t="s">
        <v>1372</v>
      </c>
      <c r="F797" s="157" t="s">
        <v>2648</v>
      </c>
      <c r="G797" s="157" t="s">
        <v>2649</v>
      </c>
      <c r="H797" s="157"/>
      <c r="I797" s="158">
        <v>8.1568</v>
      </c>
      <c r="J797" s="158">
        <v>47.4147</v>
      </c>
      <c r="K797" s="157" t="s">
        <v>2650</v>
      </c>
      <c r="L797" s="157" t="s">
        <v>648</v>
      </c>
      <c r="M797" s="158">
        <v>2021.0</v>
      </c>
      <c r="N797" s="157" t="s">
        <v>114</v>
      </c>
      <c r="O797" s="157" t="s">
        <v>1376</v>
      </c>
      <c r="P797" s="161" t="b">
        <v>1</v>
      </c>
      <c r="Q797" s="158">
        <v>0.489</v>
      </c>
      <c r="R797" s="158">
        <v>0.018840035</v>
      </c>
      <c r="S797" s="158">
        <v>0.470159965</v>
      </c>
      <c r="T797" s="157" t="s">
        <v>114</v>
      </c>
      <c r="U797" s="46" t="s">
        <v>651</v>
      </c>
      <c r="V797" s="46" t="b">
        <v>1</v>
      </c>
      <c r="W797" s="46">
        <v>0.95</v>
      </c>
      <c r="X797" s="46">
        <v>0.01789803325</v>
      </c>
      <c r="Y797" s="46">
        <v>7.66853021955996</v>
      </c>
      <c r="Z797" s="46" t="b">
        <v>1</v>
      </c>
      <c r="AA797" s="46" t="b">
        <v>1</v>
      </c>
    </row>
    <row r="798">
      <c r="A798" s="157" t="s">
        <v>559</v>
      </c>
      <c r="B798" s="158">
        <v>1.0</v>
      </c>
      <c r="C798" s="157" t="s">
        <v>642</v>
      </c>
      <c r="D798" s="157" t="s">
        <v>643</v>
      </c>
      <c r="E798" s="157" t="s">
        <v>644</v>
      </c>
      <c r="F798" s="157" t="s">
        <v>2651</v>
      </c>
      <c r="G798" s="157" t="s">
        <v>2652</v>
      </c>
      <c r="H798" s="157"/>
      <c r="I798" s="158">
        <v>15.2164</v>
      </c>
      <c r="J798" s="158">
        <v>37.1399</v>
      </c>
      <c r="K798" s="157" t="s">
        <v>1272</v>
      </c>
      <c r="L798" s="157" t="s">
        <v>648</v>
      </c>
      <c r="M798" s="158">
        <v>2022.0</v>
      </c>
      <c r="N798" s="157" t="s">
        <v>649</v>
      </c>
      <c r="O798" s="157" t="s">
        <v>650</v>
      </c>
      <c r="P798" s="161" t="b">
        <v>0</v>
      </c>
      <c r="Q798" s="158">
        <v>0.258232404</v>
      </c>
      <c r="R798" s="158">
        <v>0.018728666</v>
      </c>
      <c r="S798" s="158">
        <v>0.239503738</v>
      </c>
      <c r="T798" s="157" t="s">
        <v>594</v>
      </c>
      <c r="U798" s="46" t="s">
        <v>651</v>
      </c>
      <c r="V798" s="46" t="b">
        <v>1</v>
      </c>
      <c r="W798" s="46">
        <v>0.95</v>
      </c>
      <c r="X798" s="46">
        <v>0.0177922327</v>
      </c>
      <c r="Y798" s="46" t="s">
        <v>640</v>
      </c>
      <c r="Z798" s="46" t="b">
        <v>0</v>
      </c>
      <c r="AA798" s="46" t="b">
        <v>0</v>
      </c>
    </row>
    <row r="799">
      <c r="A799" s="157" t="s">
        <v>561</v>
      </c>
      <c r="B799" s="158">
        <v>1.0</v>
      </c>
      <c r="C799" s="157" t="s">
        <v>642</v>
      </c>
      <c r="D799" s="157" t="s">
        <v>643</v>
      </c>
      <c r="E799" s="157" t="s">
        <v>644</v>
      </c>
      <c r="F799" s="157" t="s">
        <v>2653</v>
      </c>
      <c r="G799" s="157" t="s">
        <v>2654</v>
      </c>
      <c r="H799" s="157"/>
      <c r="I799" s="158">
        <v>-3.633</v>
      </c>
      <c r="J799" s="158">
        <v>38.083</v>
      </c>
      <c r="K799" s="157" t="s">
        <v>2655</v>
      </c>
      <c r="L799" s="157" t="s">
        <v>648</v>
      </c>
      <c r="M799" s="158">
        <v>2022.0</v>
      </c>
      <c r="N799" s="157" t="s">
        <v>649</v>
      </c>
      <c r="O799" s="157" t="s">
        <v>650</v>
      </c>
      <c r="P799" s="161" t="b">
        <v>0</v>
      </c>
      <c r="Q799" s="158">
        <v>0.257</v>
      </c>
      <c r="R799" s="158">
        <v>0.018639284</v>
      </c>
      <c r="S799" s="158">
        <v>0.238360716</v>
      </c>
      <c r="T799" s="157" t="s">
        <v>594</v>
      </c>
      <c r="U799" s="46" t="s">
        <v>651</v>
      </c>
      <c r="V799" s="46" t="b">
        <v>1</v>
      </c>
      <c r="W799" s="46">
        <v>0.95</v>
      </c>
      <c r="X799" s="46">
        <v>0.0177073198</v>
      </c>
      <c r="Y799" s="46" t="s">
        <v>640</v>
      </c>
      <c r="Z799" s="46" t="b">
        <v>0</v>
      </c>
      <c r="AA799" s="46" t="b">
        <v>0</v>
      </c>
    </row>
    <row r="800">
      <c r="A800" s="157" t="s">
        <v>569</v>
      </c>
      <c r="B800" s="158">
        <v>1.0</v>
      </c>
      <c r="C800" s="157" t="s">
        <v>642</v>
      </c>
      <c r="D800" s="157" t="s">
        <v>643</v>
      </c>
      <c r="E800" s="157" t="s">
        <v>644</v>
      </c>
      <c r="F800" s="157" t="s">
        <v>2656</v>
      </c>
      <c r="G800" s="157" t="s">
        <v>2657</v>
      </c>
      <c r="H800" s="157"/>
      <c r="I800" s="158">
        <v>19.055637</v>
      </c>
      <c r="J800" s="158">
        <v>47.463478</v>
      </c>
      <c r="K800" s="157" t="s">
        <v>2658</v>
      </c>
      <c r="L800" s="157" t="s">
        <v>648</v>
      </c>
      <c r="M800" s="158">
        <v>2022.0</v>
      </c>
      <c r="N800" s="157" t="s">
        <v>649</v>
      </c>
      <c r="O800" s="157" t="s">
        <v>650</v>
      </c>
      <c r="P800" s="161" t="b">
        <v>0</v>
      </c>
      <c r="Q800" s="158">
        <v>0.255104</v>
      </c>
      <c r="R800" s="158">
        <v>0.018501774</v>
      </c>
      <c r="S800" s="158">
        <v>0.236602226</v>
      </c>
      <c r="T800" s="157" t="s">
        <v>594</v>
      </c>
      <c r="U800" s="46" t="s">
        <v>651</v>
      </c>
      <c r="V800" s="46" t="b">
        <v>1</v>
      </c>
      <c r="W800" s="46">
        <v>0.95</v>
      </c>
      <c r="X800" s="46">
        <v>0.0175766853</v>
      </c>
      <c r="Y800" s="46" t="s">
        <v>640</v>
      </c>
      <c r="Z800" s="46" t="b">
        <v>0</v>
      </c>
      <c r="AA800" s="46" t="b">
        <v>0</v>
      </c>
    </row>
    <row r="801">
      <c r="A801" s="157" t="s">
        <v>569</v>
      </c>
      <c r="B801" s="158">
        <v>1.0</v>
      </c>
      <c r="C801" s="157" t="s">
        <v>642</v>
      </c>
      <c r="D801" s="157" t="s">
        <v>643</v>
      </c>
      <c r="E801" s="157" t="s">
        <v>644</v>
      </c>
      <c r="F801" s="157" t="s">
        <v>2659</v>
      </c>
      <c r="G801" s="157" t="s">
        <v>2660</v>
      </c>
      <c r="H801" s="157"/>
      <c r="I801" s="158">
        <v>21.906</v>
      </c>
      <c r="J801" s="158">
        <v>47.737169</v>
      </c>
      <c r="K801" s="157" t="s">
        <v>2661</v>
      </c>
      <c r="L801" s="157" t="s">
        <v>648</v>
      </c>
      <c r="M801" s="158">
        <v>2022.0</v>
      </c>
      <c r="N801" s="157" t="s">
        <v>649</v>
      </c>
      <c r="O801" s="157" t="s">
        <v>650</v>
      </c>
      <c r="P801" s="161" t="b">
        <v>0</v>
      </c>
      <c r="Q801" s="158">
        <v>0.25501767</v>
      </c>
      <c r="R801" s="158">
        <v>0.018495513</v>
      </c>
      <c r="S801" s="158">
        <v>0.236522157</v>
      </c>
      <c r="T801" s="157" t="s">
        <v>594</v>
      </c>
      <c r="U801" s="46" t="s">
        <v>651</v>
      </c>
      <c r="V801" s="46" t="b">
        <v>1</v>
      </c>
      <c r="W801" s="46">
        <v>0.95</v>
      </c>
      <c r="X801" s="46">
        <v>0.01757073735</v>
      </c>
      <c r="Y801" s="46" t="s">
        <v>640</v>
      </c>
      <c r="Z801" s="46" t="b">
        <v>0</v>
      </c>
      <c r="AA801" s="46" t="b">
        <v>0</v>
      </c>
    </row>
    <row r="802">
      <c r="A802" s="157" t="s">
        <v>562</v>
      </c>
      <c r="B802" s="158">
        <v>1.0</v>
      </c>
      <c r="C802" s="157" t="s">
        <v>642</v>
      </c>
      <c r="D802" s="157" t="s">
        <v>643</v>
      </c>
      <c r="E802" s="157" t="s">
        <v>644</v>
      </c>
      <c r="F802" s="162" t="s">
        <v>2662</v>
      </c>
      <c r="G802" s="157" t="s">
        <v>2663</v>
      </c>
      <c r="H802" s="157"/>
      <c r="I802" s="158">
        <v>3.2105</v>
      </c>
      <c r="J802" s="158">
        <v>51.26208</v>
      </c>
      <c r="K802" s="157" t="s">
        <v>2664</v>
      </c>
      <c r="L802" s="157" t="s">
        <v>648</v>
      </c>
      <c r="M802" s="158">
        <v>2022.0</v>
      </c>
      <c r="N802" s="157" t="s">
        <v>649</v>
      </c>
      <c r="O802" s="157" t="s">
        <v>650</v>
      </c>
      <c r="P802" s="161" t="b">
        <v>0</v>
      </c>
      <c r="Q802" s="158">
        <v>0.253</v>
      </c>
      <c r="R802" s="158">
        <v>0.018349178</v>
      </c>
      <c r="S802" s="158">
        <v>0.234650822</v>
      </c>
      <c r="T802" s="157" t="s">
        <v>594</v>
      </c>
      <c r="U802" s="46" t="s">
        <v>651</v>
      </c>
      <c r="V802" s="46" t="b">
        <v>1</v>
      </c>
      <c r="W802" s="46">
        <v>0.95</v>
      </c>
      <c r="X802" s="46">
        <v>0.0174317191</v>
      </c>
      <c r="Y802" s="46">
        <v>2.07789481806075</v>
      </c>
      <c r="Z802" s="46" t="b">
        <v>1</v>
      </c>
      <c r="AA802" s="46" t="b">
        <v>1</v>
      </c>
    </row>
    <row r="803">
      <c r="A803" s="157" t="s">
        <v>569</v>
      </c>
      <c r="B803" s="158">
        <v>1.0</v>
      </c>
      <c r="C803" s="157" t="s">
        <v>642</v>
      </c>
      <c r="D803" s="157" t="s">
        <v>643</v>
      </c>
      <c r="E803" s="157" t="s">
        <v>644</v>
      </c>
      <c r="F803" s="157" t="s">
        <v>2665</v>
      </c>
      <c r="G803" s="157" t="s">
        <v>2666</v>
      </c>
      <c r="H803" s="157"/>
      <c r="I803" s="158">
        <v>17.558444</v>
      </c>
      <c r="J803" s="158">
        <v>47.0956</v>
      </c>
      <c r="K803" s="157" t="s">
        <v>2187</v>
      </c>
      <c r="L803" s="157" t="s">
        <v>648</v>
      </c>
      <c r="M803" s="158">
        <v>2022.0</v>
      </c>
      <c r="N803" s="157" t="s">
        <v>649</v>
      </c>
      <c r="O803" s="157" t="s">
        <v>650</v>
      </c>
      <c r="P803" s="161" t="b">
        <v>0</v>
      </c>
      <c r="Q803" s="158">
        <v>0.252216</v>
      </c>
      <c r="R803" s="158">
        <v>0.018292318</v>
      </c>
      <c r="S803" s="158">
        <v>0.233923682</v>
      </c>
      <c r="T803" s="157" t="s">
        <v>594</v>
      </c>
      <c r="U803" s="46" t="s">
        <v>651</v>
      </c>
      <c r="V803" s="46" t="b">
        <v>1</v>
      </c>
      <c r="W803" s="46">
        <v>0.95</v>
      </c>
      <c r="X803" s="46">
        <v>0.0173777020999999</v>
      </c>
      <c r="Y803" s="46" t="s">
        <v>640</v>
      </c>
      <c r="Z803" s="46" t="b">
        <v>0</v>
      </c>
      <c r="AA803" s="46" t="b">
        <v>0</v>
      </c>
    </row>
    <row r="804">
      <c r="A804" s="157" t="s">
        <v>582</v>
      </c>
      <c r="B804" s="158">
        <v>2.0</v>
      </c>
      <c r="C804" s="157" t="s">
        <v>916</v>
      </c>
      <c r="D804" s="157" t="s">
        <v>1203</v>
      </c>
      <c r="E804" s="157" t="s">
        <v>1204</v>
      </c>
      <c r="F804" s="157" t="s">
        <v>2667</v>
      </c>
      <c r="G804" s="157" t="s">
        <v>2668</v>
      </c>
      <c r="H804" s="157"/>
      <c r="I804" s="158">
        <v>-22.02865</v>
      </c>
      <c r="J804" s="158">
        <v>64.046185</v>
      </c>
      <c r="K804" s="157" t="s">
        <v>2669</v>
      </c>
      <c r="L804" s="157" t="s">
        <v>648</v>
      </c>
      <c r="M804" s="158">
        <v>2020.0</v>
      </c>
      <c r="N804" s="157" t="s">
        <v>549</v>
      </c>
      <c r="O804" s="157" t="s">
        <v>1208</v>
      </c>
      <c r="P804" s="161" t="b">
        <v>1</v>
      </c>
      <c r="Q804" s="158">
        <v>0.272203498</v>
      </c>
      <c r="R804" s="158">
        <v>0.018281073</v>
      </c>
      <c r="S804" s="158">
        <v>0.253922425</v>
      </c>
      <c r="T804" s="157" t="s">
        <v>549</v>
      </c>
      <c r="U804" s="46" t="s">
        <v>651</v>
      </c>
      <c r="V804" s="46" t="b">
        <v>1</v>
      </c>
      <c r="W804" s="46">
        <v>0.95</v>
      </c>
      <c r="X804" s="46">
        <v>0.01736701935</v>
      </c>
      <c r="Y804" s="46" t="s">
        <v>640</v>
      </c>
      <c r="Z804" s="46" t="b">
        <v>0</v>
      </c>
      <c r="AA804" s="46" t="b">
        <v>0</v>
      </c>
    </row>
    <row r="805">
      <c r="A805" s="157" t="s">
        <v>566</v>
      </c>
      <c r="B805" s="158">
        <v>3.0</v>
      </c>
      <c r="C805" s="157" t="s">
        <v>1215</v>
      </c>
      <c r="D805" s="157" t="s">
        <v>1216</v>
      </c>
      <c r="E805" s="157" t="s">
        <v>1217</v>
      </c>
      <c r="F805" s="157" t="s">
        <v>2670</v>
      </c>
      <c r="G805" s="157" t="s">
        <v>2671</v>
      </c>
      <c r="H805" s="157"/>
      <c r="I805" s="158">
        <v>19.25732994</v>
      </c>
      <c r="J805" s="158">
        <v>50.87509155</v>
      </c>
      <c r="K805" s="157" t="s">
        <v>2672</v>
      </c>
      <c r="L805" s="157" t="s">
        <v>648</v>
      </c>
      <c r="M805" s="158">
        <v>2022.0</v>
      </c>
      <c r="N805" s="157" t="s">
        <v>114</v>
      </c>
      <c r="O805" s="157" t="s">
        <v>1221</v>
      </c>
      <c r="P805" s="161" t="b">
        <v>1</v>
      </c>
      <c r="Q805" s="158">
        <v>0.4</v>
      </c>
      <c r="R805" s="158">
        <v>0.018215114</v>
      </c>
      <c r="S805" s="158">
        <v>0.381784886</v>
      </c>
      <c r="T805" s="157" t="s">
        <v>114</v>
      </c>
      <c r="U805" s="46" t="s">
        <v>651</v>
      </c>
      <c r="V805" s="46" t="b">
        <v>1</v>
      </c>
      <c r="W805" s="46">
        <v>0.95</v>
      </c>
      <c r="X805" s="46">
        <v>0.0173043583</v>
      </c>
      <c r="Y805" s="46" t="s">
        <v>640</v>
      </c>
      <c r="Z805" s="46" t="b">
        <v>0</v>
      </c>
      <c r="AA805" s="46" t="b">
        <v>0</v>
      </c>
    </row>
    <row r="806">
      <c r="A806" s="157" t="s">
        <v>556</v>
      </c>
      <c r="B806" s="158">
        <v>3.0</v>
      </c>
      <c r="C806" s="157" t="s">
        <v>1215</v>
      </c>
      <c r="D806" s="157" t="s">
        <v>1371</v>
      </c>
      <c r="E806" s="157" t="s">
        <v>1372</v>
      </c>
      <c r="F806" s="157" t="s">
        <v>2673</v>
      </c>
      <c r="G806" s="157" t="s">
        <v>2215</v>
      </c>
      <c r="H806" s="157"/>
      <c r="I806" s="158">
        <v>0.99013</v>
      </c>
      <c r="J806" s="158">
        <v>43.18562</v>
      </c>
      <c r="K806" s="157" t="s">
        <v>2674</v>
      </c>
      <c r="L806" s="157" t="s">
        <v>648</v>
      </c>
      <c r="M806" s="158">
        <v>2022.0</v>
      </c>
      <c r="N806" s="157" t="s">
        <v>114</v>
      </c>
      <c r="O806" s="157" t="s">
        <v>1376</v>
      </c>
      <c r="P806" s="161" t="b">
        <v>1</v>
      </c>
      <c r="Q806" s="158">
        <v>0.472</v>
      </c>
      <c r="R806" s="158">
        <v>0.018185064</v>
      </c>
      <c r="S806" s="158">
        <v>0.453814936</v>
      </c>
      <c r="T806" s="157" t="s">
        <v>114</v>
      </c>
      <c r="U806" s="46" t="s">
        <v>651</v>
      </c>
      <c r="V806" s="46" t="b">
        <v>1</v>
      </c>
      <c r="W806" s="46">
        <v>0.95</v>
      </c>
      <c r="X806" s="46">
        <v>0.0172758108</v>
      </c>
      <c r="Y806" s="46">
        <v>6.24315237013283</v>
      </c>
      <c r="Z806" s="46" t="b">
        <v>1</v>
      </c>
      <c r="AA806" s="46" t="b">
        <v>1</v>
      </c>
    </row>
    <row r="807">
      <c r="A807" s="157" t="s">
        <v>561</v>
      </c>
      <c r="B807" s="158">
        <v>1.0</v>
      </c>
      <c r="C807" s="157" t="s">
        <v>642</v>
      </c>
      <c r="D807" s="157" t="s">
        <v>643</v>
      </c>
      <c r="E807" s="157" t="s">
        <v>644</v>
      </c>
      <c r="F807" s="157" t="s">
        <v>2675</v>
      </c>
      <c r="G807" s="157" t="s">
        <v>2676</v>
      </c>
      <c r="H807" s="157"/>
      <c r="I807" s="158">
        <v>-1.28138</v>
      </c>
      <c r="J807" s="158">
        <v>42.57708</v>
      </c>
      <c r="K807" s="157" t="s">
        <v>1494</v>
      </c>
      <c r="L807" s="157" t="s">
        <v>648</v>
      </c>
      <c r="M807" s="158">
        <v>2022.0</v>
      </c>
      <c r="N807" s="157" t="s">
        <v>649</v>
      </c>
      <c r="O807" s="157" t="s">
        <v>650</v>
      </c>
      <c r="P807" s="161" t="b">
        <v>0</v>
      </c>
      <c r="Q807" s="158">
        <v>0.25</v>
      </c>
      <c r="R807" s="158">
        <v>0.018131599</v>
      </c>
      <c r="S807" s="158">
        <v>0.231868401</v>
      </c>
      <c r="T807" s="157" t="s">
        <v>594</v>
      </c>
      <c r="U807" s="46" t="s">
        <v>651</v>
      </c>
      <c r="V807" s="46" t="b">
        <v>1</v>
      </c>
      <c r="W807" s="46">
        <v>0.95</v>
      </c>
      <c r="X807" s="46">
        <v>0.01722501905</v>
      </c>
      <c r="Y807" s="46">
        <v>105.104991534742</v>
      </c>
      <c r="Z807" s="46" t="b">
        <v>0</v>
      </c>
      <c r="AA807" s="46" t="b">
        <v>0</v>
      </c>
    </row>
    <row r="808">
      <c r="A808" s="157" t="s">
        <v>559</v>
      </c>
      <c r="B808" s="158">
        <v>3.0</v>
      </c>
      <c r="C808" s="157" t="s">
        <v>1215</v>
      </c>
      <c r="D808" s="157" t="s">
        <v>1216</v>
      </c>
      <c r="E808" s="157" t="s">
        <v>1217</v>
      </c>
      <c r="F808" s="157" t="s">
        <v>2677</v>
      </c>
      <c r="G808" s="157" t="s">
        <v>2678</v>
      </c>
      <c r="H808" s="157"/>
      <c r="I808" s="158">
        <v>11.8367</v>
      </c>
      <c r="J808" s="158">
        <v>43.6581</v>
      </c>
      <c r="K808" s="157" t="s">
        <v>2679</v>
      </c>
      <c r="L808" s="157" t="s">
        <v>648</v>
      </c>
      <c r="M808" s="158">
        <v>2022.0</v>
      </c>
      <c r="N808" s="157" t="s">
        <v>114</v>
      </c>
      <c r="O808" s="157" t="s">
        <v>1221</v>
      </c>
      <c r="P808" s="161" t="b">
        <v>1</v>
      </c>
      <c r="Q808" s="158">
        <v>0.397954</v>
      </c>
      <c r="R808" s="158">
        <v>0.018121944</v>
      </c>
      <c r="S808" s="158">
        <v>0.379832056</v>
      </c>
      <c r="T808" s="157" t="s">
        <v>114</v>
      </c>
      <c r="U808" s="46" t="s">
        <v>651</v>
      </c>
      <c r="V808" s="46" t="b">
        <v>1</v>
      </c>
      <c r="W808" s="46">
        <v>0.95</v>
      </c>
      <c r="X808" s="46">
        <v>0.0172158468</v>
      </c>
      <c r="Y808" s="46">
        <v>82.5729106323571</v>
      </c>
      <c r="Z808" s="46" t="b">
        <v>0</v>
      </c>
      <c r="AA808" s="46" t="b">
        <v>1</v>
      </c>
    </row>
    <row r="809">
      <c r="A809" s="157" t="s">
        <v>561</v>
      </c>
      <c r="B809" s="158">
        <v>3.0</v>
      </c>
      <c r="C809" s="157" t="s">
        <v>1215</v>
      </c>
      <c r="D809" s="157" t="s">
        <v>1371</v>
      </c>
      <c r="E809" s="157" t="s">
        <v>1372</v>
      </c>
      <c r="F809" s="157" t="s">
        <v>2680</v>
      </c>
      <c r="G809" s="157" t="s">
        <v>2681</v>
      </c>
      <c r="H809" s="157"/>
      <c r="I809" s="158">
        <v>-0.541845</v>
      </c>
      <c r="J809" s="158">
        <v>38.378608</v>
      </c>
      <c r="K809" s="157" t="s">
        <v>2682</v>
      </c>
      <c r="L809" s="157" t="s">
        <v>648</v>
      </c>
      <c r="M809" s="158">
        <v>2022.0</v>
      </c>
      <c r="N809" s="157" t="s">
        <v>114</v>
      </c>
      <c r="O809" s="157" t="s">
        <v>1376</v>
      </c>
      <c r="P809" s="161" t="b">
        <v>1</v>
      </c>
      <c r="Q809" s="158">
        <v>0.469</v>
      </c>
      <c r="R809" s="158">
        <v>0.018069481</v>
      </c>
      <c r="S809" s="158">
        <v>0.450930519</v>
      </c>
      <c r="T809" s="157" t="s">
        <v>114</v>
      </c>
      <c r="U809" s="46" t="s">
        <v>651</v>
      </c>
      <c r="V809" s="46" t="b">
        <v>1</v>
      </c>
      <c r="W809" s="46">
        <v>0.95</v>
      </c>
      <c r="X809" s="46">
        <v>0.0171660069499999</v>
      </c>
      <c r="Y809" s="46" t="s">
        <v>640</v>
      </c>
      <c r="Z809" s="46" t="b">
        <v>0</v>
      </c>
      <c r="AA809" s="46" t="b">
        <v>0</v>
      </c>
    </row>
    <row r="810">
      <c r="A810" s="157" t="s">
        <v>559</v>
      </c>
      <c r="B810" s="158">
        <v>1.0</v>
      </c>
      <c r="C810" s="157" t="s">
        <v>642</v>
      </c>
      <c r="D810" s="157" t="s">
        <v>643</v>
      </c>
      <c r="E810" s="157" t="s">
        <v>644</v>
      </c>
      <c r="F810" s="157" t="s">
        <v>2683</v>
      </c>
      <c r="G810" s="157" t="s">
        <v>2684</v>
      </c>
      <c r="H810" s="157"/>
      <c r="I810" s="158">
        <v>12.2003</v>
      </c>
      <c r="J810" s="158">
        <v>42.9946</v>
      </c>
      <c r="K810" s="157" t="s">
        <v>2685</v>
      </c>
      <c r="L810" s="157" t="s">
        <v>648</v>
      </c>
      <c r="M810" s="158">
        <v>2022.0</v>
      </c>
      <c r="N810" s="157" t="s">
        <v>649</v>
      </c>
      <c r="O810" s="157" t="s">
        <v>650</v>
      </c>
      <c r="P810" s="161" t="b">
        <v>0</v>
      </c>
      <c r="Q810" s="158">
        <v>0.248824</v>
      </c>
      <c r="R810" s="158">
        <v>0.018046308</v>
      </c>
      <c r="S810" s="158">
        <v>0.230777692</v>
      </c>
      <c r="T810" s="157" t="s">
        <v>594</v>
      </c>
      <c r="U810" s="46" t="s">
        <v>651</v>
      </c>
      <c r="V810" s="46" t="b">
        <v>1</v>
      </c>
      <c r="W810" s="46">
        <v>0.95</v>
      </c>
      <c r="X810" s="46">
        <v>0.0171439926</v>
      </c>
      <c r="Y810" s="46" t="s">
        <v>640</v>
      </c>
      <c r="Z810" s="46" t="b">
        <v>0</v>
      </c>
      <c r="AA810" s="46" t="b">
        <v>0</v>
      </c>
    </row>
    <row r="811">
      <c r="A811" s="157" t="s">
        <v>581</v>
      </c>
      <c r="B811" s="158">
        <v>3.0</v>
      </c>
      <c r="C811" s="157" t="s">
        <v>1215</v>
      </c>
      <c r="D811" s="157" t="s">
        <v>1371</v>
      </c>
      <c r="E811" s="157" t="s">
        <v>1372</v>
      </c>
      <c r="F811" s="157" t="s">
        <v>2686</v>
      </c>
      <c r="G811" s="157" t="s">
        <v>2687</v>
      </c>
      <c r="H811" s="157"/>
      <c r="I811" s="158">
        <v>24.170937</v>
      </c>
      <c r="J811" s="158">
        <v>43.088184</v>
      </c>
      <c r="K811" s="157" t="s">
        <v>2688</v>
      </c>
      <c r="L811" s="157" t="s">
        <v>648</v>
      </c>
      <c r="M811" s="158">
        <v>2021.0</v>
      </c>
      <c r="N811" s="157" t="s">
        <v>114</v>
      </c>
      <c r="O811" s="157" t="s">
        <v>1376</v>
      </c>
      <c r="P811" s="161" t="b">
        <v>1</v>
      </c>
      <c r="Q811" s="158">
        <v>0.379</v>
      </c>
      <c r="R811" s="158">
        <v>0.018</v>
      </c>
      <c r="S811" s="158">
        <v>0.361</v>
      </c>
      <c r="T811" s="157" t="s">
        <v>114</v>
      </c>
      <c r="U811" s="46" t="s">
        <v>651</v>
      </c>
      <c r="V811" s="46" t="b">
        <v>1</v>
      </c>
      <c r="W811" s="46">
        <v>0.95</v>
      </c>
      <c r="X811" s="46">
        <v>0.0170999999999999</v>
      </c>
      <c r="Y811" s="46" t="s">
        <v>640</v>
      </c>
      <c r="Z811" s="46" t="b">
        <v>0</v>
      </c>
      <c r="AA811" s="46" t="b">
        <v>0</v>
      </c>
    </row>
    <row r="812">
      <c r="A812" s="157" t="s">
        <v>554</v>
      </c>
      <c r="B812" s="158">
        <v>3.0</v>
      </c>
      <c r="C812" s="157" t="s">
        <v>1215</v>
      </c>
      <c r="D812" s="157" t="s">
        <v>1216</v>
      </c>
      <c r="E812" s="157" t="s">
        <v>1217</v>
      </c>
      <c r="F812" s="157" t="s">
        <v>2689</v>
      </c>
      <c r="G812" s="157" t="s">
        <v>2690</v>
      </c>
      <c r="H812" s="157"/>
      <c r="I812" s="158">
        <v>13.82477</v>
      </c>
      <c r="J812" s="158">
        <v>58.38436</v>
      </c>
      <c r="K812" s="157" t="s">
        <v>2691</v>
      </c>
      <c r="L812" s="157" t="s">
        <v>648</v>
      </c>
      <c r="M812" s="158">
        <v>2022.0</v>
      </c>
      <c r="N812" s="157" t="s">
        <v>114</v>
      </c>
      <c r="O812" s="157" t="s">
        <v>1221</v>
      </c>
      <c r="P812" s="161" t="b">
        <v>1</v>
      </c>
      <c r="Q812" s="158">
        <v>0.407</v>
      </c>
      <c r="R812" s="158">
        <v>0.018</v>
      </c>
      <c r="S812" s="158">
        <v>0.389</v>
      </c>
      <c r="T812" s="157" t="s">
        <v>114</v>
      </c>
      <c r="U812" s="46" t="s">
        <v>651</v>
      </c>
      <c r="V812" s="46" t="b">
        <v>1</v>
      </c>
      <c r="W812" s="46">
        <v>0.95</v>
      </c>
      <c r="X812" s="46">
        <v>0.0170999999999999</v>
      </c>
      <c r="Y812" s="46" t="s">
        <v>640</v>
      </c>
      <c r="Z812" s="46" t="b">
        <v>0</v>
      </c>
      <c r="AA812" s="46" t="b">
        <v>0</v>
      </c>
    </row>
    <row r="813">
      <c r="A813" s="157" t="s">
        <v>559</v>
      </c>
      <c r="B813" s="158">
        <v>3.0</v>
      </c>
      <c r="C813" s="157" t="s">
        <v>1215</v>
      </c>
      <c r="D813" s="157" t="s">
        <v>1216</v>
      </c>
      <c r="E813" s="157" t="s">
        <v>1217</v>
      </c>
      <c r="F813" s="157" t="s">
        <v>2692</v>
      </c>
      <c r="G813" s="157" t="s">
        <v>2693</v>
      </c>
      <c r="H813" s="157"/>
      <c r="I813" s="158">
        <v>16.6569</v>
      </c>
      <c r="J813" s="158">
        <v>40.6753</v>
      </c>
      <c r="K813" s="157" t="s">
        <v>2694</v>
      </c>
      <c r="L813" s="157" t="s">
        <v>648</v>
      </c>
      <c r="M813" s="158">
        <v>2022.0</v>
      </c>
      <c r="N813" s="157" t="s">
        <v>114</v>
      </c>
      <c r="O813" s="157" t="s">
        <v>1221</v>
      </c>
      <c r="P813" s="161" t="b">
        <v>1</v>
      </c>
      <c r="Q813" s="158">
        <v>0.394573</v>
      </c>
      <c r="R813" s="158">
        <v>0.017967981</v>
      </c>
      <c r="S813" s="158">
        <v>0.376605019</v>
      </c>
      <c r="T813" s="157" t="s">
        <v>114</v>
      </c>
      <c r="U813" s="46" t="s">
        <v>651</v>
      </c>
      <c r="V813" s="46" t="b">
        <v>1</v>
      </c>
      <c r="W813" s="46">
        <v>0.95</v>
      </c>
      <c r="X813" s="46">
        <v>0.01706958195</v>
      </c>
      <c r="Y813" s="46" t="s">
        <v>640</v>
      </c>
      <c r="Z813" s="46" t="b">
        <v>0</v>
      </c>
      <c r="AA813" s="46" t="b">
        <v>0</v>
      </c>
    </row>
    <row r="814">
      <c r="A814" s="157" t="s">
        <v>569</v>
      </c>
      <c r="B814" s="158">
        <v>1.0</v>
      </c>
      <c r="C814" s="157" t="s">
        <v>642</v>
      </c>
      <c r="D814" s="157" t="s">
        <v>643</v>
      </c>
      <c r="E814" s="157" t="s">
        <v>644</v>
      </c>
      <c r="F814" s="157" t="s">
        <v>2695</v>
      </c>
      <c r="G814" s="157" t="s">
        <v>2657</v>
      </c>
      <c r="H814" s="157"/>
      <c r="I814" s="158">
        <v>19.103282</v>
      </c>
      <c r="J814" s="158">
        <v>47.553512</v>
      </c>
      <c r="K814" s="157" t="s">
        <v>2696</v>
      </c>
      <c r="L814" s="157" t="s">
        <v>648</v>
      </c>
      <c r="M814" s="158">
        <v>2022.0</v>
      </c>
      <c r="N814" s="157" t="s">
        <v>649</v>
      </c>
      <c r="O814" s="157" t="s">
        <v>650</v>
      </c>
      <c r="P814" s="161" t="b">
        <v>0</v>
      </c>
      <c r="Q814" s="158">
        <v>0.246674</v>
      </c>
      <c r="R814" s="158">
        <v>0.017890376</v>
      </c>
      <c r="S814" s="158">
        <v>0.228783624</v>
      </c>
      <c r="T814" s="157" t="s">
        <v>594</v>
      </c>
      <c r="U814" s="46" t="s">
        <v>651</v>
      </c>
      <c r="V814" s="46" t="b">
        <v>1</v>
      </c>
      <c r="W814" s="46">
        <v>0.95</v>
      </c>
      <c r="X814" s="46">
        <v>0.0169958572</v>
      </c>
      <c r="Y814" s="46" t="s">
        <v>640</v>
      </c>
      <c r="Z814" s="46" t="b">
        <v>0</v>
      </c>
      <c r="AA814" s="46" t="b">
        <v>0</v>
      </c>
    </row>
    <row r="815">
      <c r="A815" s="157" t="s">
        <v>566</v>
      </c>
      <c r="B815" s="158">
        <v>1.0</v>
      </c>
      <c r="C815" s="157" t="s">
        <v>642</v>
      </c>
      <c r="D815" s="157" t="s">
        <v>643</v>
      </c>
      <c r="E815" s="157" t="s">
        <v>644</v>
      </c>
      <c r="F815" s="157" t="s">
        <v>2697</v>
      </c>
      <c r="G815" s="157" t="s">
        <v>2698</v>
      </c>
      <c r="H815" s="157"/>
      <c r="I815" s="158">
        <v>22.080833</v>
      </c>
      <c r="J815" s="158">
        <v>50.552222</v>
      </c>
      <c r="K815" s="157" t="s">
        <v>2699</v>
      </c>
      <c r="L815" s="157" t="s">
        <v>648</v>
      </c>
      <c r="M815" s="158">
        <v>2022.0</v>
      </c>
      <c r="N815" s="157" t="s">
        <v>649</v>
      </c>
      <c r="O815" s="157" t="s">
        <v>650</v>
      </c>
      <c r="P815" s="161" t="b">
        <v>0</v>
      </c>
      <c r="Q815" s="158">
        <v>0.244</v>
      </c>
      <c r="R815" s="158">
        <v>0.017696441</v>
      </c>
      <c r="S815" s="158">
        <v>0.226303559</v>
      </c>
      <c r="T815" s="157" t="s">
        <v>594</v>
      </c>
      <c r="U815" s="46" t="s">
        <v>651</v>
      </c>
      <c r="V815" s="46" t="b">
        <v>1</v>
      </c>
      <c r="W815" s="46">
        <v>0.95</v>
      </c>
      <c r="X815" s="46">
        <v>0.01681161895</v>
      </c>
      <c r="Y815" s="46" t="s">
        <v>640</v>
      </c>
      <c r="Z815" s="46" t="b">
        <v>0</v>
      </c>
      <c r="AA815" s="46" t="b">
        <v>0</v>
      </c>
    </row>
    <row r="816">
      <c r="A816" s="157" t="s">
        <v>560</v>
      </c>
      <c r="B816" s="158">
        <v>3.0</v>
      </c>
      <c r="C816" s="157" t="s">
        <v>1215</v>
      </c>
      <c r="D816" s="157" t="s">
        <v>1216</v>
      </c>
      <c r="E816" s="157" t="s">
        <v>1217</v>
      </c>
      <c r="F816" s="157" t="s">
        <v>2700</v>
      </c>
      <c r="G816" s="157" t="s">
        <v>2701</v>
      </c>
      <c r="H816" s="157"/>
      <c r="I816" s="158">
        <v>13.052528</v>
      </c>
      <c r="J816" s="158">
        <v>47.721444</v>
      </c>
      <c r="K816" s="157" t="s">
        <v>861</v>
      </c>
      <c r="L816" s="157" t="s">
        <v>648</v>
      </c>
      <c r="M816" s="158">
        <v>2022.0</v>
      </c>
      <c r="N816" s="157" t="s">
        <v>114</v>
      </c>
      <c r="O816" s="157" t="s">
        <v>1221</v>
      </c>
      <c r="P816" s="161" t="b">
        <v>1</v>
      </c>
      <c r="Q816" s="158">
        <v>0.386</v>
      </c>
      <c r="R816" s="158">
        <v>0.017577585</v>
      </c>
      <c r="S816" s="158">
        <v>0.368422415</v>
      </c>
      <c r="T816" s="157" t="s">
        <v>114</v>
      </c>
      <c r="U816" s="46" t="s">
        <v>651</v>
      </c>
      <c r="V816" s="46" t="b">
        <v>1</v>
      </c>
      <c r="W816" s="46">
        <v>0.95</v>
      </c>
      <c r="X816" s="46">
        <v>0.0166987057499999</v>
      </c>
      <c r="Y816" s="46">
        <v>42.3162619128528</v>
      </c>
      <c r="Z816" s="46" t="b">
        <v>1</v>
      </c>
      <c r="AA816" s="46" t="b">
        <v>1</v>
      </c>
    </row>
    <row r="817">
      <c r="A817" s="157" t="s">
        <v>574</v>
      </c>
      <c r="B817" s="158">
        <v>3.0</v>
      </c>
      <c r="C817" s="157" t="s">
        <v>1215</v>
      </c>
      <c r="D817" s="157" t="s">
        <v>2113</v>
      </c>
      <c r="E817" s="157" t="s">
        <v>2114</v>
      </c>
      <c r="F817" s="162" t="s">
        <v>2702</v>
      </c>
      <c r="G817" s="157" t="s">
        <v>2703</v>
      </c>
      <c r="H817" s="157"/>
      <c r="I817" s="158">
        <v>21.18369522</v>
      </c>
      <c r="J817" s="158">
        <v>48.60596805</v>
      </c>
      <c r="K817" s="157" t="s">
        <v>994</v>
      </c>
      <c r="L817" s="157" t="s">
        <v>648</v>
      </c>
      <c r="M817" s="158">
        <v>2017.0</v>
      </c>
      <c r="N817" s="157" t="s">
        <v>114</v>
      </c>
      <c r="O817" s="157" t="s">
        <v>2118</v>
      </c>
      <c r="P817" s="161" t="b">
        <v>1</v>
      </c>
      <c r="Q817" s="158">
        <v>0.39</v>
      </c>
      <c r="R817" s="158">
        <v>0.01755368</v>
      </c>
      <c r="S817" s="158">
        <v>0.37244632</v>
      </c>
      <c r="T817" s="157" t="s">
        <v>114</v>
      </c>
      <c r="U817" s="46" t="s">
        <v>651</v>
      </c>
      <c r="V817" s="46" t="b">
        <v>1</v>
      </c>
      <c r="W817" s="46">
        <v>0.95</v>
      </c>
      <c r="X817" s="46">
        <v>0.016675996</v>
      </c>
      <c r="Y817" s="46" t="s">
        <v>640</v>
      </c>
      <c r="Z817" s="46" t="b">
        <v>0</v>
      </c>
      <c r="AA817" s="46" t="b">
        <v>0</v>
      </c>
    </row>
    <row r="818">
      <c r="A818" s="157" t="s">
        <v>566</v>
      </c>
      <c r="B818" s="158">
        <v>1.0</v>
      </c>
      <c r="C818" s="157" t="s">
        <v>642</v>
      </c>
      <c r="D818" s="157" t="s">
        <v>643</v>
      </c>
      <c r="E818" s="157" t="s">
        <v>644</v>
      </c>
      <c r="F818" s="157" t="s">
        <v>2704</v>
      </c>
      <c r="G818" s="157" t="s">
        <v>2705</v>
      </c>
      <c r="H818" s="157"/>
      <c r="I818" s="158">
        <v>20.61518</v>
      </c>
      <c r="J818" s="158">
        <v>50.89771</v>
      </c>
      <c r="K818" s="157" t="s">
        <v>2706</v>
      </c>
      <c r="L818" s="157" t="s">
        <v>648</v>
      </c>
      <c r="M818" s="158">
        <v>2022.0</v>
      </c>
      <c r="N818" s="157" t="s">
        <v>649</v>
      </c>
      <c r="O818" s="157" t="s">
        <v>650</v>
      </c>
      <c r="P818" s="161" t="b">
        <v>0</v>
      </c>
      <c r="Q818" s="158">
        <v>0.242</v>
      </c>
      <c r="R818" s="158">
        <v>0.017551388</v>
      </c>
      <c r="S818" s="158">
        <v>0.224448612</v>
      </c>
      <c r="T818" s="157" t="s">
        <v>594</v>
      </c>
      <c r="U818" s="46" t="s">
        <v>651</v>
      </c>
      <c r="V818" s="46" t="b">
        <v>1</v>
      </c>
      <c r="W818" s="46">
        <v>0.95</v>
      </c>
      <c r="X818" s="46">
        <v>0.0166738186</v>
      </c>
      <c r="Y818" s="46" t="s">
        <v>640</v>
      </c>
      <c r="Z818" s="46" t="b">
        <v>0</v>
      </c>
      <c r="AA818" s="46" t="b">
        <v>0</v>
      </c>
    </row>
    <row r="819">
      <c r="A819" s="157" t="s">
        <v>558</v>
      </c>
      <c r="B819" s="158">
        <v>3.0</v>
      </c>
      <c r="C819" s="157" t="s">
        <v>1215</v>
      </c>
      <c r="D819" s="157" t="s">
        <v>1371</v>
      </c>
      <c r="E819" s="157" t="s">
        <v>1372</v>
      </c>
      <c r="F819" s="157" t="s">
        <v>2707</v>
      </c>
      <c r="G819" s="157" t="s">
        <v>2708</v>
      </c>
      <c r="H819" s="157"/>
      <c r="I819" s="158">
        <v>-8.903386</v>
      </c>
      <c r="J819" s="158">
        <v>39.686559</v>
      </c>
      <c r="K819" s="157" t="s">
        <v>2709</v>
      </c>
      <c r="L819" s="157" t="s">
        <v>648</v>
      </c>
      <c r="M819" s="158">
        <v>2022.0</v>
      </c>
      <c r="N819" s="157" t="s">
        <v>114</v>
      </c>
      <c r="O819" s="157" t="s">
        <v>1376</v>
      </c>
      <c r="P819" s="161" t="b">
        <v>1</v>
      </c>
      <c r="Q819" s="158">
        <v>0.454</v>
      </c>
      <c r="R819" s="158">
        <v>0.017491566</v>
      </c>
      <c r="S819" s="158">
        <v>0.436508434</v>
      </c>
      <c r="T819" s="157" t="s">
        <v>114</v>
      </c>
      <c r="U819" s="46" t="s">
        <v>651</v>
      </c>
      <c r="V819" s="46" t="b">
        <v>1</v>
      </c>
      <c r="W819" s="46">
        <v>0.95</v>
      </c>
      <c r="X819" s="46">
        <v>0.0166169877</v>
      </c>
      <c r="Y819" s="46" t="s">
        <v>640</v>
      </c>
      <c r="Z819" s="46" t="b">
        <v>0</v>
      </c>
      <c r="AA819" s="46" t="b">
        <v>0</v>
      </c>
    </row>
    <row r="820">
      <c r="A820" s="157" t="s">
        <v>556</v>
      </c>
      <c r="B820" s="158">
        <v>3.0</v>
      </c>
      <c r="C820" s="157" t="s">
        <v>1215</v>
      </c>
      <c r="D820" s="157" t="s">
        <v>1371</v>
      </c>
      <c r="E820" s="157" t="s">
        <v>1372</v>
      </c>
      <c r="F820" s="157" t="s">
        <v>2710</v>
      </c>
      <c r="G820" s="157" t="s">
        <v>2711</v>
      </c>
      <c r="H820" s="157"/>
      <c r="I820" s="158">
        <v>6.96899</v>
      </c>
      <c r="J820" s="158">
        <v>48.6902</v>
      </c>
      <c r="K820" s="157" t="s">
        <v>2712</v>
      </c>
      <c r="L820" s="157" t="s">
        <v>648</v>
      </c>
      <c r="M820" s="158">
        <v>2022.0</v>
      </c>
      <c r="N820" s="157" t="s">
        <v>114</v>
      </c>
      <c r="O820" s="157" t="s">
        <v>1376</v>
      </c>
      <c r="P820" s="161" t="b">
        <v>1</v>
      </c>
      <c r="Q820" s="158">
        <v>0.453</v>
      </c>
      <c r="R820" s="158">
        <v>0.017453038</v>
      </c>
      <c r="S820" s="158">
        <v>0.435546962</v>
      </c>
      <c r="T820" s="157" t="s">
        <v>114</v>
      </c>
      <c r="U820" s="46" t="s">
        <v>651</v>
      </c>
      <c r="V820" s="46" t="b">
        <v>1</v>
      </c>
      <c r="W820" s="46">
        <v>0.95</v>
      </c>
      <c r="X820" s="46">
        <v>0.0165803861</v>
      </c>
      <c r="Y820" s="46">
        <v>52.0089023298939</v>
      </c>
      <c r="Z820" s="46" t="b">
        <v>0</v>
      </c>
      <c r="AA820" s="46" t="b">
        <v>1</v>
      </c>
    </row>
    <row r="821">
      <c r="A821" s="157" t="s">
        <v>559</v>
      </c>
      <c r="B821" s="158">
        <v>3.0</v>
      </c>
      <c r="C821" s="157" t="s">
        <v>1215</v>
      </c>
      <c r="D821" s="157" t="s">
        <v>1216</v>
      </c>
      <c r="E821" s="157" t="s">
        <v>1217</v>
      </c>
      <c r="F821" s="157" t="s">
        <v>2713</v>
      </c>
      <c r="G821" s="157" t="s">
        <v>2714</v>
      </c>
      <c r="H821" s="157"/>
      <c r="I821" s="158">
        <v>9.7186</v>
      </c>
      <c r="J821" s="158">
        <v>45.0497</v>
      </c>
      <c r="K821" s="157" t="s">
        <v>1963</v>
      </c>
      <c r="L821" s="157" t="s">
        <v>648</v>
      </c>
      <c r="M821" s="158">
        <v>2022.0</v>
      </c>
      <c r="N821" s="157" t="s">
        <v>114</v>
      </c>
      <c r="O821" s="157" t="s">
        <v>1221</v>
      </c>
      <c r="P821" s="161" t="b">
        <v>1</v>
      </c>
      <c r="Q821" s="158">
        <v>0.382199</v>
      </c>
      <c r="R821" s="158">
        <v>0.017404496</v>
      </c>
      <c r="S821" s="158">
        <v>0.364794504</v>
      </c>
      <c r="T821" s="157" t="s">
        <v>114</v>
      </c>
      <c r="U821" s="46" t="s">
        <v>651</v>
      </c>
      <c r="V821" s="46" t="b">
        <v>1</v>
      </c>
      <c r="W821" s="46">
        <v>0.95</v>
      </c>
      <c r="X821" s="46">
        <v>0.0165342712</v>
      </c>
      <c r="Y821" s="46">
        <v>7.46726219310738</v>
      </c>
      <c r="Z821" s="46" t="b">
        <v>1</v>
      </c>
      <c r="AA821" s="46" t="b">
        <v>1</v>
      </c>
    </row>
    <row r="822">
      <c r="A822" s="157" t="s">
        <v>569</v>
      </c>
      <c r="B822" s="158">
        <v>1.0</v>
      </c>
      <c r="C822" s="157" t="s">
        <v>642</v>
      </c>
      <c r="D822" s="157" t="s">
        <v>643</v>
      </c>
      <c r="E822" s="157" t="s">
        <v>644</v>
      </c>
      <c r="F822" s="157" t="s">
        <v>2715</v>
      </c>
      <c r="G822" s="157" t="s">
        <v>2716</v>
      </c>
      <c r="H822" s="157"/>
      <c r="I822" s="158">
        <v>21.02302</v>
      </c>
      <c r="J822" s="158">
        <v>47.91439</v>
      </c>
      <c r="K822" s="157" t="s">
        <v>2717</v>
      </c>
      <c r="L822" s="157" t="s">
        <v>648</v>
      </c>
      <c r="M822" s="158">
        <v>2022.0</v>
      </c>
      <c r="N822" s="157" t="s">
        <v>649</v>
      </c>
      <c r="O822" s="157" t="s">
        <v>650</v>
      </c>
      <c r="P822" s="161" t="b">
        <v>0</v>
      </c>
      <c r="Q822" s="158">
        <v>0.239806</v>
      </c>
      <c r="R822" s="158">
        <v>0.017392265</v>
      </c>
      <c r="S822" s="158">
        <v>0.222413735</v>
      </c>
      <c r="T822" s="157" t="s">
        <v>594</v>
      </c>
      <c r="U822" s="46" t="s">
        <v>651</v>
      </c>
      <c r="V822" s="46" t="b">
        <v>1</v>
      </c>
      <c r="W822" s="46">
        <v>0.95</v>
      </c>
      <c r="X822" s="46">
        <v>0.01652265175</v>
      </c>
      <c r="Y822" s="46" t="s">
        <v>640</v>
      </c>
      <c r="Z822" s="46" t="b">
        <v>0</v>
      </c>
      <c r="AA822" s="46" t="b">
        <v>0</v>
      </c>
    </row>
    <row r="823">
      <c r="A823" s="157" t="s">
        <v>571</v>
      </c>
      <c r="B823" s="158">
        <v>8.0</v>
      </c>
      <c r="C823" s="157" t="s">
        <v>1175</v>
      </c>
      <c r="D823" s="157" t="s">
        <v>1176</v>
      </c>
      <c r="E823" s="157" t="s">
        <v>1177</v>
      </c>
      <c r="F823" s="157" t="s">
        <v>2718</v>
      </c>
      <c r="G823" s="157" t="s">
        <v>2719</v>
      </c>
      <c r="H823" s="157"/>
      <c r="I823" s="158">
        <v>24.324309</v>
      </c>
      <c r="J823" s="158">
        <v>55.742176</v>
      </c>
      <c r="K823" s="157" t="s">
        <v>2720</v>
      </c>
      <c r="L823" s="157" t="s">
        <v>648</v>
      </c>
      <c r="M823" s="158">
        <v>2022.0</v>
      </c>
      <c r="N823" s="157" t="s">
        <v>552</v>
      </c>
      <c r="O823" s="157" t="s">
        <v>1181</v>
      </c>
      <c r="P823" s="161" t="b">
        <v>1</v>
      </c>
      <c r="Q823" s="158">
        <v>0.132</v>
      </c>
      <c r="R823" s="158">
        <v>0.017357045</v>
      </c>
      <c r="S823" s="158">
        <v>0.114642955</v>
      </c>
      <c r="T823" s="157" t="s">
        <v>552</v>
      </c>
      <c r="U823" s="46" t="s">
        <v>651</v>
      </c>
      <c r="V823" s="46" t="b">
        <v>1</v>
      </c>
      <c r="W823" s="46">
        <v>0.95</v>
      </c>
      <c r="X823" s="46">
        <v>0.01648919275</v>
      </c>
      <c r="Y823" s="46">
        <v>149.474297824995</v>
      </c>
      <c r="Z823" s="46" t="b">
        <v>0</v>
      </c>
      <c r="AA823" s="46" t="b">
        <v>0</v>
      </c>
    </row>
    <row r="824">
      <c r="A824" s="157" t="s">
        <v>556</v>
      </c>
      <c r="B824" s="158">
        <v>5.0</v>
      </c>
      <c r="C824" s="157" t="s">
        <v>652</v>
      </c>
      <c r="D824" s="157" t="s">
        <v>895</v>
      </c>
      <c r="E824" s="157" t="s">
        <v>896</v>
      </c>
      <c r="F824" s="157" t="s">
        <v>2721</v>
      </c>
      <c r="G824" s="157" t="s">
        <v>2722</v>
      </c>
      <c r="H824" s="157"/>
      <c r="I824" s="158">
        <v>1.75043</v>
      </c>
      <c r="J824" s="158">
        <v>48.97513</v>
      </c>
      <c r="K824" s="157" t="s">
        <v>2723</v>
      </c>
      <c r="L824" s="157" t="s">
        <v>648</v>
      </c>
      <c r="M824" s="158">
        <v>2022.0</v>
      </c>
      <c r="N824" s="157" t="s">
        <v>116</v>
      </c>
      <c r="O824" s="157" t="s">
        <v>900</v>
      </c>
      <c r="P824" s="161" t="b">
        <v>1</v>
      </c>
      <c r="Q824" s="158">
        <v>0.105</v>
      </c>
      <c r="R824" s="158">
        <v>0.017335979</v>
      </c>
      <c r="S824" s="158">
        <v>0.087664021</v>
      </c>
      <c r="T824" s="157" t="s">
        <v>116</v>
      </c>
      <c r="U824" s="46" t="s">
        <v>651</v>
      </c>
      <c r="V824" s="46" t="b">
        <v>1</v>
      </c>
      <c r="W824" s="46">
        <v>0.95</v>
      </c>
      <c r="X824" s="46">
        <v>0.01646918005</v>
      </c>
      <c r="Y824" s="46">
        <v>18.0055657650268</v>
      </c>
      <c r="Z824" s="46" t="b">
        <v>1</v>
      </c>
      <c r="AA824" s="46" t="b">
        <v>1</v>
      </c>
    </row>
    <row r="825">
      <c r="A825" s="157" t="s">
        <v>558</v>
      </c>
      <c r="B825" s="158">
        <v>1.0</v>
      </c>
      <c r="C825" s="157" t="s">
        <v>642</v>
      </c>
      <c r="D825" s="157" t="s">
        <v>643</v>
      </c>
      <c r="E825" s="157" t="s">
        <v>644</v>
      </c>
      <c r="F825" s="157" t="s">
        <v>2724</v>
      </c>
      <c r="G825" s="157" t="s">
        <v>2725</v>
      </c>
      <c r="H825" s="157"/>
      <c r="I825" s="158">
        <v>-16.946105</v>
      </c>
      <c r="J825" s="158">
        <v>32.644905</v>
      </c>
      <c r="K825" s="157" t="s">
        <v>2726</v>
      </c>
      <c r="L825" s="157" t="s">
        <v>648</v>
      </c>
      <c r="M825" s="158">
        <v>2022.0</v>
      </c>
      <c r="N825" s="157" t="s">
        <v>649</v>
      </c>
      <c r="O825" s="157" t="s">
        <v>650</v>
      </c>
      <c r="P825" s="161" t="b">
        <v>0</v>
      </c>
      <c r="Q825" s="158">
        <v>0.237</v>
      </c>
      <c r="R825" s="158">
        <v>0.017188756</v>
      </c>
      <c r="S825" s="158">
        <v>0.219811244</v>
      </c>
      <c r="T825" s="157" t="s">
        <v>594</v>
      </c>
      <c r="U825" s="46" t="s">
        <v>651</v>
      </c>
      <c r="V825" s="46" t="b">
        <v>1</v>
      </c>
      <c r="W825" s="46">
        <v>0.95</v>
      </c>
      <c r="X825" s="46">
        <v>0.0163293181999999</v>
      </c>
      <c r="Y825" s="46" t="s">
        <v>640</v>
      </c>
      <c r="Z825" s="46" t="b">
        <v>0</v>
      </c>
      <c r="AA825" s="46" t="b">
        <v>0</v>
      </c>
    </row>
    <row r="826">
      <c r="A826" s="157" t="s">
        <v>574</v>
      </c>
      <c r="B826" s="158">
        <v>1.0</v>
      </c>
      <c r="C826" s="157" t="s">
        <v>642</v>
      </c>
      <c r="D826" s="157" t="s">
        <v>643</v>
      </c>
      <c r="E826" s="157" t="s">
        <v>644</v>
      </c>
      <c r="F826" s="162" t="s">
        <v>2727</v>
      </c>
      <c r="G826" s="157" t="s">
        <v>2728</v>
      </c>
      <c r="H826" s="157"/>
      <c r="I826" s="158">
        <v>18.761255</v>
      </c>
      <c r="J826" s="158">
        <v>49.220128</v>
      </c>
      <c r="K826" s="157" t="s">
        <v>2729</v>
      </c>
      <c r="L826" s="157" t="s">
        <v>648</v>
      </c>
      <c r="M826" s="158">
        <v>2017.0</v>
      </c>
      <c r="N826" s="157" t="s">
        <v>649</v>
      </c>
      <c r="O826" s="157" t="s">
        <v>650</v>
      </c>
      <c r="P826" s="161" t="b">
        <v>0</v>
      </c>
      <c r="Q826" s="158">
        <v>0.237</v>
      </c>
      <c r="R826" s="158">
        <v>0.017188756</v>
      </c>
      <c r="S826" s="158">
        <v>0.219811244</v>
      </c>
      <c r="T826" s="157" t="s">
        <v>594</v>
      </c>
      <c r="U826" s="46" t="s">
        <v>651</v>
      </c>
      <c r="V826" s="46" t="b">
        <v>1</v>
      </c>
      <c r="W826" s="46">
        <v>0.95</v>
      </c>
      <c r="X826" s="46">
        <v>0.0163293181999999</v>
      </c>
      <c r="Y826" s="46" t="s">
        <v>640</v>
      </c>
      <c r="Z826" s="46" t="b">
        <v>0</v>
      </c>
      <c r="AA826" s="46" t="b">
        <v>0</v>
      </c>
    </row>
    <row r="827">
      <c r="A827" s="157" t="s">
        <v>561</v>
      </c>
      <c r="B827" s="158">
        <v>1.0</v>
      </c>
      <c r="C827" s="157" t="s">
        <v>642</v>
      </c>
      <c r="D827" s="157" t="s">
        <v>643</v>
      </c>
      <c r="E827" s="157" t="s">
        <v>644</v>
      </c>
      <c r="F827" s="157" t="s">
        <v>2730</v>
      </c>
      <c r="G827" s="157" t="s">
        <v>2731</v>
      </c>
      <c r="H827" s="157"/>
      <c r="I827" s="158">
        <v>-5.391025</v>
      </c>
      <c r="J827" s="158">
        <v>36.185373</v>
      </c>
      <c r="K827" s="157" t="s">
        <v>1564</v>
      </c>
      <c r="L827" s="157" t="s">
        <v>648</v>
      </c>
      <c r="M827" s="158">
        <v>2022.0</v>
      </c>
      <c r="N827" s="157" t="s">
        <v>649</v>
      </c>
      <c r="O827" s="157" t="s">
        <v>650</v>
      </c>
      <c r="P827" s="161" t="b">
        <v>0</v>
      </c>
      <c r="Q827" s="158">
        <v>0.237</v>
      </c>
      <c r="R827" s="158">
        <v>0.017188756</v>
      </c>
      <c r="S827" s="158">
        <v>0.219811244</v>
      </c>
      <c r="T827" s="157" t="s">
        <v>594</v>
      </c>
      <c r="U827" s="46" t="s">
        <v>651</v>
      </c>
      <c r="V827" s="46" t="b">
        <v>1</v>
      </c>
      <c r="W827" s="46">
        <v>0.95</v>
      </c>
      <c r="X827" s="46">
        <v>0.0163293181999999</v>
      </c>
      <c r="Y827" s="46" t="s">
        <v>640</v>
      </c>
      <c r="Z827" s="46" t="b">
        <v>0</v>
      </c>
      <c r="AA827" s="46" t="b">
        <v>0</v>
      </c>
    </row>
    <row r="828">
      <c r="A828" s="157" t="s">
        <v>573</v>
      </c>
      <c r="B828" s="158">
        <v>3.0</v>
      </c>
      <c r="C828" s="157" t="s">
        <v>1215</v>
      </c>
      <c r="D828" s="157" t="s">
        <v>1371</v>
      </c>
      <c r="E828" s="157" t="s">
        <v>1372</v>
      </c>
      <c r="F828" s="157" t="s">
        <v>2732</v>
      </c>
      <c r="G828" s="157" t="s">
        <v>2733</v>
      </c>
      <c r="H828" s="157"/>
      <c r="I828" s="158">
        <v>26.5310908</v>
      </c>
      <c r="J828" s="158">
        <v>59.49644087</v>
      </c>
      <c r="K828" s="157" t="s">
        <v>2734</v>
      </c>
      <c r="L828" s="157" t="s">
        <v>648</v>
      </c>
      <c r="M828" s="158">
        <v>2019.0</v>
      </c>
      <c r="N828" s="157" t="s">
        <v>114</v>
      </c>
      <c r="O828" s="157" t="s">
        <v>1376</v>
      </c>
      <c r="P828" s="161" t="b">
        <v>1</v>
      </c>
      <c r="Q828" s="158">
        <v>0.564</v>
      </c>
      <c r="R828" s="158">
        <v>0.017</v>
      </c>
      <c r="S828" s="158">
        <v>0.547</v>
      </c>
      <c r="T828" s="157" t="s">
        <v>114</v>
      </c>
      <c r="U828" s="46" t="s">
        <v>651</v>
      </c>
      <c r="V828" s="46" t="b">
        <v>1</v>
      </c>
      <c r="W828" s="46">
        <v>0.95</v>
      </c>
      <c r="X828" s="46">
        <v>0.01615</v>
      </c>
      <c r="Y828" s="46" t="s">
        <v>640</v>
      </c>
      <c r="Z828" s="46" t="b">
        <v>0</v>
      </c>
      <c r="AA828" s="46" t="b">
        <v>0</v>
      </c>
    </row>
    <row r="829">
      <c r="A829" s="157" t="s">
        <v>557</v>
      </c>
      <c r="B829" s="158">
        <v>3.0</v>
      </c>
      <c r="C829" s="157" t="s">
        <v>1215</v>
      </c>
      <c r="D829" s="157" t="s">
        <v>1371</v>
      </c>
      <c r="E829" s="157" t="s">
        <v>1372</v>
      </c>
      <c r="F829" s="162" t="s">
        <v>2735</v>
      </c>
      <c r="G829" s="157" t="s">
        <v>2736</v>
      </c>
      <c r="H829" s="157"/>
      <c r="I829" s="158">
        <v>8.50439288084779</v>
      </c>
      <c r="J829" s="158">
        <v>51.6225605185145</v>
      </c>
      <c r="K829" s="157" t="s">
        <v>2737</v>
      </c>
      <c r="L829" s="157" t="s">
        <v>648</v>
      </c>
      <c r="M829" s="158">
        <v>2022.0</v>
      </c>
      <c r="N829" s="157" t="s">
        <v>114</v>
      </c>
      <c r="O829" s="157" t="s">
        <v>1376</v>
      </c>
      <c r="P829" s="161" t="b">
        <v>1</v>
      </c>
      <c r="Q829" s="158">
        <v>0.323</v>
      </c>
      <c r="R829" s="158">
        <v>0.017</v>
      </c>
      <c r="S829" s="158">
        <v>0.306</v>
      </c>
      <c r="T829" s="157" t="s">
        <v>114</v>
      </c>
      <c r="U829" s="46" t="s">
        <v>651</v>
      </c>
      <c r="V829" s="46" t="b">
        <v>1</v>
      </c>
      <c r="W829" s="46">
        <v>0.95</v>
      </c>
      <c r="X829" s="46">
        <v>0.01615</v>
      </c>
      <c r="Y829" s="46">
        <v>2.92350479839627</v>
      </c>
      <c r="Z829" s="46" t="b">
        <v>1</v>
      </c>
      <c r="AA829" s="46" t="b">
        <v>1</v>
      </c>
    </row>
    <row r="830">
      <c r="A830" s="157" t="s">
        <v>567</v>
      </c>
      <c r="B830" s="158">
        <v>2.0</v>
      </c>
      <c r="C830" s="157" t="s">
        <v>916</v>
      </c>
      <c r="D830" s="157" t="s">
        <v>1203</v>
      </c>
      <c r="E830" s="157" t="s">
        <v>1204</v>
      </c>
      <c r="F830" s="157" t="s">
        <v>2738</v>
      </c>
      <c r="G830" s="157" t="s">
        <v>2739</v>
      </c>
      <c r="H830" s="157"/>
      <c r="I830" s="158">
        <v>14.16755</v>
      </c>
      <c r="J830" s="158">
        <v>66.31336</v>
      </c>
      <c r="K830" s="157" t="s">
        <v>2740</v>
      </c>
      <c r="L830" s="157" t="s">
        <v>648</v>
      </c>
      <c r="M830" s="158">
        <v>2017.0</v>
      </c>
      <c r="N830" s="157" t="s">
        <v>549</v>
      </c>
      <c r="O830" s="157" t="s">
        <v>1208</v>
      </c>
      <c r="P830" s="161" t="b">
        <v>1</v>
      </c>
      <c r="Q830" s="158">
        <v>0.298</v>
      </c>
      <c r="R830" s="158">
        <v>0.017</v>
      </c>
      <c r="S830" s="158">
        <v>0.281</v>
      </c>
      <c r="T830" s="157" t="s">
        <v>549</v>
      </c>
      <c r="U830" s="46" t="s">
        <v>651</v>
      </c>
      <c r="V830" s="46" t="b">
        <v>1</v>
      </c>
      <c r="W830" s="46">
        <v>0.95</v>
      </c>
      <c r="X830" s="46">
        <v>0.01615</v>
      </c>
      <c r="Y830" s="46" t="s">
        <v>640</v>
      </c>
      <c r="Z830" s="46" t="b">
        <v>0</v>
      </c>
      <c r="AA830" s="46" t="b">
        <v>0</v>
      </c>
    </row>
    <row r="831">
      <c r="A831" s="157" t="s">
        <v>556</v>
      </c>
      <c r="B831" s="158">
        <v>8.0</v>
      </c>
      <c r="C831" s="157" t="s">
        <v>1175</v>
      </c>
      <c r="D831" s="157" t="s">
        <v>1176</v>
      </c>
      <c r="E831" s="157" t="s">
        <v>1177</v>
      </c>
      <c r="F831" s="157" t="s">
        <v>2741</v>
      </c>
      <c r="G831" s="157" t="s">
        <v>2313</v>
      </c>
      <c r="H831" s="157"/>
      <c r="I831" s="158">
        <v>4.11336</v>
      </c>
      <c r="J831" s="158">
        <v>48.53215</v>
      </c>
      <c r="K831" s="157" t="s">
        <v>2742</v>
      </c>
      <c r="L831" s="157" t="s">
        <v>648</v>
      </c>
      <c r="M831" s="158">
        <v>2022.0</v>
      </c>
      <c r="N831" s="157" t="s">
        <v>552</v>
      </c>
      <c r="O831" s="157" t="s">
        <v>1181</v>
      </c>
      <c r="P831" s="161" t="b">
        <v>1</v>
      </c>
      <c r="Q831" s="158">
        <v>0.129</v>
      </c>
      <c r="R831" s="158">
        <v>0.016962567</v>
      </c>
      <c r="S831" s="158">
        <v>0.112037433</v>
      </c>
      <c r="T831" s="157" t="s">
        <v>552</v>
      </c>
      <c r="U831" s="46" t="s">
        <v>651</v>
      </c>
      <c r="V831" s="46" t="b">
        <v>1</v>
      </c>
      <c r="W831" s="46">
        <v>0.95</v>
      </c>
      <c r="X831" s="46">
        <v>0.01611443865</v>
      </c>
      <c r="Y831" s="46">
        <v>90.4163076891905</v>
      </c>
      <c r="Z831" s="46" t="b">
        <v>0</v>
      </c>
      <c r="AA831" s="46" t="b">
        <v>1</v>
      </c>
    </row>
    <row r="832">
      <c r="A832" s="157" t="s">
        <v>572</v>
      </c>
      <c r="B832" s="158">
        <v>1.0</v>
      </c>
      <c r="C832" s="157" t="s">
        <v>642</v>
      </c>
      <c r="D832" s="157" t="s">
        <v>643</v>
      </c>
      <c r="E832" s="157" t="s">
        <v>644</v>
      </c>
      <c r="F832" s="157" t="s">
        <v>2743</v>
      </c>
      <c r="G832" s="157" t="s">
        <v>2744</v>
      </c>
      <c r="H832" s="157"/>
      <c r="I832" s="158">
        <v>27.77893</v>
      </c>
      <c r="J832" s="158">
        <v>35.91697</v>
      </c>
      <c r="K832" s="157" t="s">
        <v>2745</v>
      </c>
      <c r="L832" s="157" t="s">
        <v>648</v>
      </c>
      <c r="M832" s="158">
        <v>2022.0</v>
      </c>
      <c r="N832" s="157" t="s">
        <v>649</v>
      </c>
      <c r="O832" s="157" t="s">
        <v>650</v>
      </c>
      <c r="P832" s="161" t="b">
        <v>0</v>
      </c>
      <c r="Q832" s="158">
        <v>0.233</v>
      </c>
      <c r="R832" s="158">
        <v>0.016898651</v>
      </c>
      <c r="S832" s="158">
        <v>0.216101349</v>
      </c>
      <c r="T832" s="157" t="s">
        <v>594</v>
      </c>
      <c r="U832" s="46" t="s">
        <v>651</v>
      </c>
      <c r="V832" s="46" t="b">
        <v>1</v>
      </c>
      <c r="W832" s="46">
        <v>0.95</v>
      </c>
      <c r="X832" s="46">
        <v>0.01605371845</v>
      </c>
      <c r="Y832" s="46" t="s">
        <v>640</v>
      </c>
      <c r="Z832" s="46" t="b">
        <v>0</v>
      </c>
      <c r="AA832" s="46" t="b">
        <v>0</v>
      </c>
    </row>
    <row r="833">
      <c r="A833" s="157" t="s">
        <v>564</v>
      </c>
      <c r="B833" s="158">
        <v>5.0</v>
      </c>
      <c r="C833" s="157" t="s">
        <v>652</v>
      </c>
      <c r="D833" s="157" t="s">
        <v>653</v>
      </c>
      <c r="E833" s="157" t="s">
        <v>654</v>
      </c>
      <c r="F833" s="157" t="s">
        <v>2746</v>
      </c>
      <c r="G833" s="157" t="s">
        <v>2747</v>
      </c>
      <c r="H833" s="157"/>
      <c r="I833" s="158">
        <v>8.5222</v>
      </c>
      <c r="J833" s="158">
        <v>47.3867</v>
      </c>
      <c r="K833" s="157" t="s">
        <v>1214</v>
      </c>
      <c r="L833" s="157" t="s">
        <v>648</v>
      </c>
      <c r="M833" s="158">
        <v>2021.0</v>
      </c>
      <c r="N833" s="157" t="s">
        <v>116</v>
      </c>
      <c r="O833" s="157" t="s">
        <v>658</v>
      </c>
      <c r="P833" s="161" t="b">
        <v>1</v>
      </c>
      <c r="Q833" s="158">
        <v>0.0306</v>
      </c>
      <c r="R833" s="158">
        <v>0.01683</v>
      </c>
      <c r="S833" s="158">
        <v>0.01377</v>
      </c>
      <c r="T833" s="157" t="s">
        <v>116</v>
      </c>
      <c r="U833" s="46" t="s">
        <v>651</v>
      </c>
      <c r="V833" s="46" t="b">
        <v>0</v>
      </c>
      <c r="W833" s="46">
        <v>0.95</v>
      </c>
      <c r="X833" s="46">
        <v>0.0</v>
      </c>
      <c r="Y833" s="46">
        <v>35.1559266902359</v>
      </c>
      <c r="Z833" s="46" t="b">
        <v>1</v>
      </c>
      <c r="AA833" s="46" t="b">
        <v>1</v>
      </c>
    </row>
    <row r="834">
      <c r="A834" s="157" t="s">
        <v>564</v>
      </c>
      <c r="B834" s="158">
        <v>3.0</v>
      </c>
      <c r="C834" s="157" t="s">
        <v>1215</v>
      </c>
      <c r="D834" s="157" t="s">
        <v>1371</v>
      </c>
      <c r="E834" s="157" t="s">
        <v>1372</v>
      </c>
      <c r="F834" s="157" t="s">
        <v>2748</v>
      </c>
      <c r="G834" s="157" t="s">
        <v>2623</v>
      </c>
      <c r="H834" s="157"/>
      <c r="I834" s="158">
        <v>9.5529</v>
      </c>
      <c r="J834" s="158">
        <v>46.9155</v>
      </c>
      <c r="K834" s="157" t="s">
        <v>2749</v>
      </c>
      <c r="L834" s="157" t="s">
        <v>648</v>
      </c>
      <c r="M834" s="158">
        <v>2021.0</v>
      </c>
      <c r="N834" s="157" t="s">
        <v>114</v>
      </c>
      <c r="O834" s="157" t="s">
        <v>1376</v>
      </c>
      <c r="P834" s="161" t="b">
        <v>1</v>
      </c>
      <c r="Q834" s="158">
        <v>0.436</v>
      </c>
      <c r="R834" s="158">
        <v>0.016798068</v>
      </c>
      <c r="S834" s="158">
        <v>0.419201932</v>
      </c>
      <c r="T834" s="157" t="s">
        <v>114</v>
      </c>
      <c r="U834" s="46" t="s">
        <v>651</v>
      </c>
      <c r="V834" s="46" t="b">
        <v>1</v>
      </c>
      <c r="W834" s="46">
        <v>0.95</v>
      </c>
      <c r="X834" s="46">
        <v>0.0159581645999999</v>
      </c>
      <c r="Y834" s="46">
        <v>118.95047764337</v>
      </c>
      <c r="Z834" s="46" t="b">
        <v>0</v>
      </c>
      <c r="AA834" s="46" t="b">
        <v>0</v>
      </c>
    </row>
    <row r="835">
      <c r="A835" s="157" t="s">
        <v>562</v>
      </c>
      <c r="B835" s="158">
        <v>3.0</v>
      </c>
      <c r="C835" s="157" t="s">
        <v>1215</v>
      </c>
      <c r="D835" s="157" t="s">
        <v>2113</v>
      </c>
      <c r="E835" s="157" t="s">
        <v>2114</v>
      </c>
      <c r="F835" s="157" t="s">
        <v>2750</v>
      </c>
      <c r="G835" s="157" t="s">
        <v>2751</v>
      </c>
      <c r="H835" s="157"/>
      <c r="I835" s="158">
        <v>5.2680287</v>
      </c>
      <c r="J835" s="158">
        <v>50.164894</v>
      </c>
      <c r="K835" s="157" t="s">
        <v>2752</v>
      </c>
      <c r="L835" s="157" t="s">
        <v>648</v>
      </c>
      <c r="M835" s="158">
        <v>2022.0</v>
      </c>
      <c r="N835" s="157" t="s">
        <v>114</v>
      </c>
      <c r="O835" s="157" t="s">
        <v>2118</v>
      </c>
      <c r="P835" s="161" t="b">
        <v>1</v>
      </c>
      <c r="Q835" s="158">
        <v>0.373</v>
      </c>
      <c r="R835" s="158">
        <v>0.016788519</v>
      </c>
      <c r="S835" s="158">
        <v>0.356211481</v>
      </c>
      <c r="T835" s="157" t="s">
        <v>114</v>
      </c>
      <c r="U835" s="46" t="s">
        <v>651</v>
      </c>
      <c r="V835" s="46" t="b">
        <v>1</v>
      </c>
      <c r="W835" s="46">
        <v>0.95</v>
      </c>
      <c r="X835" s="46">
        <v>0.0159490930499999</v>
      </c>
      <c r="Y835" s="46">
        <v>36.0416081583356</v>
      </c>
      <c r="Z835" s="46" t="b">
        <v>1</v>
      </c>
      <c r="AA835" s="46" t="b">
        <v>1</v>
      </c>
    </row>
    <row r="836">
      <c r="A836" s="157" t="s">
        <v>556</v>
      </c>
      <c r="B836" s="158">
        <v>2.0</v>
      </c>
      <c r="C836" s="157" t="s">
        <v>916</v>
      </c>
      <c r="D836" s="157" t="s">
        <v>1203</v>
      </c>
      <c r="E836" s="157" t="s">
        <v>1204</v>
      </c>
      <c r="F836" s="157" t="s">
        <v>2753</v>
      </c>
      <c r="G836" s="157" t="s">
        <v>2754</v>
      </c>
      <c r="H836" s="157"/>
      <c r="I836" s="158">
        <v>6.35903</v>
      </c>
      <c r="J836" s="158">
        <v>45.2767</v>
      </c>
      <c r="K836" s="157" t="s">
        <v>2755</v>
      </c>
      <c r="L836" s="157" t="s">
        <v>648</v>
      </c>
      <c r="M836" s="158">
        <v>2022.0</v>
      </c>
      <c r="N836" s="157" t="s">
        <v>549</v>
      </c>
      <c r="O836" s="157" t="s">
        <v>1208</v>
      </c>
      <c r="P836" s="161" t="b">
        <v>1</v>
      </c>
      <c r="Q836" s="158">
        <v>0.248</v>
      </c>
      <c r="R836" s="158">
        <v>0.016655576</v>
      </c>
      <c r="S836" s="158">
        <v>0.231344424</v>
      </c>
      <c r="T836" s="157" t="s">
        <v>549</v>
      </c>
      <c r="U836" s="46" t="s">
        <v>651</v>
      </c>
      <c r="V836" s="46" t="b">
        <v>1</v>
      </c>
      <c r="W836" s="46">
        <v>0.95</v>
      </c>
      <c r="X836" s="46">
        <v>0.0158227972</v>
      </c>
      <c r="Y836" s="46">
        <v>122.286777840297</v>
      </c>
      <c r="Z836" s="46" t="b">
        <v>0</v>
      </c>
      <c r="AA836" s="46" t="b">
        <v>0</v>
      </c>
    </row>
    <row r="837">
      <c r="A837" s="157" t="s">
        <v>556</v>
      </c>
      <c r="B837" s="158">
        <v>8.0</v>
      </c>
      <c r="C837" s="157" t="s">
        <v>1175</v>
      </c>
      <c r="D837" s="157" t="s">
        <v>1176</v>
      </c>
      <c r="E837" s="157" t="s">
        <v>1177</v>
      </c>
      <c r="F837" s="157" t="s">
        <v>2756</v>
      </c>
      <c r="G837" s="157" t="s">
        <v>1944</v>
      </c>
      <c r="H837" s="157"/>
      <c r="I837" s="158">
        <v>1.88441</v>
      </c>
      <c r="J837" s="158">
        <v>48.09094</v>
      </c>
      <c r="K837" s="157" t="s">
        <v>2757</v>
      </c>
      <c r="L837" s="157" t="s">
        <v>648</v>
      </c>
      <c r="M837" s="158">
        <v>2022.0</v>
      </c>
      <c r="N837" s="157" t="s">
        <v>552</v>
      </c>
      <c r="O837" s="157" t="s">
        <v>1181</v>
      </c>
      <c r="P837" s="161" t="b">
        <v>1</v>
      </c>
      <c r="Q837" s="158">
        <v>0.126</v>
      </c>
      <c r="R837" s="158">
        <v>0.016568088</v>
      </c>
      <c r="S837" s="158">
        <v>0.109431912</v>
      </c>
      <c r="T837" s="157" t="s">
        <v>552</v>
      </c>
      <c r="U837" s="46" t="s">
        <v>651</v>
      </c>
      <c r="V837" s="46" t="b">
        <v>1</v>
      </c>
      <c r="W837" s="46">
        <v>0.95</v>
      </c>
      <c r="X837" s="46">
        <v>0.0157396836</v>
      </c>
      <c r="Y837" s="46">
        <v>93.1763957456523</v>
      </c>
      <c r="Z837" s="46" t="b">
        <v>0</v>
      </c>
      <c r="AA837" s="46" t="b">
        <v>1</v>
      </c>
    </row>
    <row r="838">
      <c r="A838" s="157" t="s">
        <v>562</v>
      </c>
      <c r="B838" s="158">
        <v>1.0</v>
      </c>
      <c r="C838" s="157" t="s">
        <v>642</v>
      </c>
      <c r="D838" s="157" t="s">
        <v>643</v>
      </c>
      <c r="E838" s="157" t="s">
        <v>644</v>
      </c>
      <c r="F838" s="162" t="s">
        <v>2758</v>
      </c>
      <c r="G838" s="157" t="s">
        <v>2759</v>
      </c>
      <c r="H838" s="157"/>
      <c r="I838" s="158">
        <v>3.22501</v>
      </c>
      <c r="J838" s="158">
        <v>51.34861</v>
      </c>
      <c r="K838" s="157" t="s">
        <v>2664</v>
      </c>
      <c r="L838" s="157" t="s">
        <v>648</v>
      </c>
      <c r="M838" s="158">
        <v>2022.0</v>
      </c>
      <c r="N838" s="157" t="s">
        <v>649</v>
      </c>
      <c r="O838" s="157" t="s">
        <v>650</v>
      </c>
      <c r="P838" s="161" t="b">
        <v>0</v>
      </c>
      <c r="Q838" s="158">
        <v>0.228</v>
      </c>
      <c r="R838" s="158">
        <v>0.016536019</v>
      </c>
      <c r="S838" s="158">
        <v>0.211463981</v>
      </c>
      <c r="T838" s="157" t="s">
        <v>594</v>
      </c>
      <c r="U838" s="46" t="s">
        <v>651</v>
      </c>
      <c r="V838" s="46" t="b">
        <v>1</v>
      </c>
      <c r="W838" s="46">
        <v>0.95</v>
      </c>
      <c r="X838" s="46">
        <v>0.0157092180499999</v>
      </c>
      <c r="Y838" s="46">
        <v>0.89005302741924</v>
      </c>
      <c r="Z838" s="46" t="b">
        <v>1</v>
      </c>
      <c r="AA838" s="46" t="b">
        <v>1</v>
      </c>
    </row>
    <row r="839">
      <c r="A839" s="157" t="s">
        <v>561</v>
      </c>
      <c r="B839" s="158">
        <v>3.0</v>
      </c>
      <c r="C839" s="157" t="s">
        <v>1215</v>
      </c>
      <c r="D839" s="157" t="s">
        <v>1371</v>
      </c>
      <c r="E839" s="157" t="s">
        <v>1372</v>
      </c>
      <c r="F839" s="157" t="s">
        <v>2760</v>
      </c>
      <c r="G839" s="157" t="s">
        <v>2761</v>
      </c>
      <c r="H839" s="157"/>
      <c r="I839" s="158">
        <v>2.186544</v>
      </c>
      <c r="J839" s="158">
        <v>41.477659</v>
      </c>
      <c r="K839" s="157" t="s">
        <v>2762</v>
      </c>
      <c r="L839" s="157" t="s">
        <v>648</v>
      </c>
      <c r="M839" s="158">
        <v>2022.0</v>
      </c>
      <c r="N839" s="157" t="s">
        <v>114</v>
      </c>
      <c r="O839" s="157" t="s">
        <v>1376</v>
      </c>
      <c r="P839" s="161" t="b">
        <v>1</v>
      </c>
      <c r="Q839" s="158">
        <v>0.426</v>
      </c>
      <c r="R839" s="158">
        <v>0.016412791</v>
      </c>
      <c r="S839" s="158">
        <v>0.409587209</v>
      </c>
      <c r="T839" s="157" t="s">
        <v>114</v>
      </c>
      <c r="U839" s="46" t="s">
        <v>651</v>
      </c>
      <c r="V839" s="46" t="b">
        <v>1</v>
      </c>
      <c r="W839" s="46">
        <v>0.95</v>
      </c>
      <c r="X839" s="46">
        <v>0.01559215145</v>
      </c>
      <c r="Y839" s="46" t="s">
        <v>640</v>
      </c>
      <c r="Z839" s="46" t="b">
        <v>0</v>
      </c>
      <c r="AA839" s="46" t="b">
        <v>0</v>
      </c>
    </row>
    <row r="840">
      <c r="A840" s="157" t="s">
        <v>566</v>
      </c>
      <c r="B840" s="158">
        <v>1.0</v>
      </c>
      <c r="C840" s="157" t="s">
        <v>642</v>
      </c>
      <c r="D840" s="157" t="s">
        <v>643</v>
      </c>
      <c r="E840" s="157" t="s">
        <v>644</v>
      </c>
      <c r="F840" s="157" t="s">
        <v>2763</v>
      </c>
      <c r="G840" s="157" t="s">
        <v>2764</v>
      </c>
      <c r="H840" s="157"/>
      <c r="I840" s="158">
        <v>18.6932888</v>
      </c>
      <c r="J840" s="158">
        <v>53.0479393</v>
      </c>
      <c r="K840" s="157" t="s">
        <v>2765</v>
      </c>
      <c r="L840" s="157" t="s">
        <v>648</v>
      </c>
      <c r="M840" s="158">
        <v>2022.0</v>
      </c>
      <c r="N840" s="157" t="s">
        <v>649</v>
      </c>
      <c r="O840" s="157" t="s">
        <v>650</v>
      </c>
      <c r="P840" s="161" t="b">
        <v>0</v>
      </c>
      <c r="Q840" s="158">
        <v>0.226</v>
      </c>
      <c r="R840" s="158">
        <v>0.016390966</v>
      </c>
      <c r="S840" s="158">
        <v>0.209609034</v>
      </c>
      <c r="T840" s="157" t="s">
        <v>594</v>
      </c>
      <c r="U840" s="46" t="s">
        <v>651</v>
      </c>
      <c r="V840" s="46" t="b">
        <v>1</v>
      </c>
      <c r="W840" s="46">
        <v>0.95</v>
      </c>
      <c r="X840" s="46">
        <v>0.0155714177</v>
      </c>
      <c r="Y840" s="46">
        <v>0.277297961381413</v>
      </c>
      <c r="Z840" s="46" t="b">
        <v>1</v>
      </c>
      <c r="AA840" s="46" t="b">
        <v>1</v>
      </c>
    </row>
    <row r="841">
      <c r="A841" s="157" t="s">
        <v>561</v>
      </c>
      <c r="B841" s="158">
        <v>1.0</v>
      </c>
      <c r="C841" s="157" t="s">
        <v>642</v>
      </c>
      <c r="D841" s="157" t="s">
        <v>643</v>
      </c>
      <c r="E841" s="157" t="s">
        <v>644</v>
      </c>
      <c r="F841" s="157" t="s">
        <v>2766</v>
      </c>
      <c r="G841" s="157" t="s">
        <v>2767</v>
      </c>
      <c r="H841" s="157"/>
      <c r="I841" s="158">
        <v>-5.809021</v>
      </c>
      <c r="J841" s="158">
        <v>43.272737</v>
      </c>
      <c r="K841" s="157" t="s">
        <v>2768</v>
      </c>
      <c r="L841" s="157" t="s">
        <v>648</v>
      </c>
      <c r="M841" s="158">
        <v>2022.0</v>
      </c>
      <c r="N841" s="157" t="s">
        <v>649</v>
      </c>
      <c r="O841" s="157" t="s">
        <v>650</v>
      </c>
      <c r="P841" s="161" t="b">
        <v>0</v>
      </c>
      <c r="Q841" s="158">
        <v>0.226</v>
      </c>
      <c r="R841" s="158">
        <v>0.016390966</v>
      </c>
      <c r="S841" s="158">
        <v>0.209609034</v>
      </c>
      <c r="T841" s="157" t="s">
        <v>594</v>
      </c>
      <c r="U841" s="46" t="s">
        <v>651</v>
      </c>
      <c r="V841" s="46" t="b">
        <v>1</v>
      </c>
      <c r="W841" s="46">
        <v>0.95</v>
      </c>
      <c r="X841" s="46">
        <v>0.0155714177</v>
      </c>
      <c r="Y841" s="46" t="s">
        <v>640</v>
      </c>
      <c r="Z841" s="46" t="b">
        <v>0</v>
      </c>
      <c r="AA841" s="46" t="b">
        <v>0</v>
      </c>
    </row>
    <row r="842">
      <c r="A842" s="157" t="s">
        <v>560</v>
      </c>
      <c r="B842" s="158">
        <v>3.0</v>
      </c>
      <c r="C842" s="157" t="s">
        <v>1215</v>
      </c>
      <c r="D842" s="157" t="s">
        <v>1216</v>
      </c>
      <c r="E842" s="157" t="s">
        <v>1217</v>
      </c>
      <c r="F842" s="157" t="s">
        <v>2769</v>
      </c>
      <c r="G842" s="157" t="s">
        <v>2385</v>
      </c>
      <c r="H842" s="157"/>
      <c r="I842" s="158">
        <v>15.58</v>
      </c>
      <c r="J842" s="158">
        <v>46.744722</v>
      </c>
      <c r="K842" s="157" t="s">
        <v>2770</v>
      </c>
      <c r="L842" s="157" t="s">
        <v>648</v>
      </c>
      <c r="M842" s="158">
        <v>2022.0</v>
      </c>
      <c r="N842" s="157" t="s">
        <v>114</v>
      </c>
      <c r="O842" s="157" t="s">
        <v>1221</v>
      </c>
      <c r="P842" s="161" t="b">
        <v>1</v>
      </c>
      <c r="Q842" s="158">
        <v>0.358</v>
      </c>
      <c r="R842" s="158">
        <v>0.016302527</v>
      </c>
      <c r="S842" s="158">
        <v>0.341697473</v>
      </c>
      <c r="T842" s="157" t="s">
        <v>114</v>
      </c>
      <c r="U842" s="46" t="s">
        <v>651</v>
      </c>
      <c r="V842" s="46" t="b">
        <v>1</v>
      </c>
      <c r="W842" s="46">
        <v>0.95</v>
      </c>
      <c r="X842" s="46">
        <v>0.01548740065</v>
      </c>
      <c r="Y842" s="46" t="s">
        <v>640</v>
      </c>
      <c r="Z842" s="46" t="b">
        <v>0</v>
      </c>
      <c r="AA842" s="46" t="b">
        <v>0</v>
      </c>
    </row>
    <row r="843">
      <c r="A843" s="157" t="s">
        <v>559</v>
      </c>
      <c r="B843" s="158">
        <v>4.0</v>
      </c>
      <c r="C843" s="157" t="s">
        <v>1092</v>
      </c>
      <c r="D843" s="157" t="s">
        <v>1093</v>
      </c>
      <c r="E843" s="157" t="s">
        <v>1094</v>
      </c>
      <c r="F843" s="157" t="s">
        <v>2771</v>
      </c>
      <c r="G843" s="157" t="s">
        <v>2772</v>
      </c>
      <c r="H843" s="157"/>
      <c r="I843" s="158">
        <v>10.4739</v>
      </c>
      <c r="J843" s="158">
        <v>43.4089</v>
      </c>
      <c r="K843" s="157" t="s">
        <v>1806</v>
      </c>
      <c r="L843" s="157" t="s">
        <v>648</v>
      </c>
      <c r="M843" s="158">
        <v>2022.0</v>
      </c>
      <c r="N843" s="157" t="s">
        <v>201</v>
      </c>
      <c r="O843" s="157" t="s">
        <v>1098</v>
      </c>
      <c r="P843" s="161" t="b">
        <v>1</v>
      </c>
      <c r="Q843" s="158">
        <v>0.291913</v>
      </c>
      <c r="R843" s="158">
        <v>0.016273895</v>
      </c>
      <c r="S843" s="158">
        <v>0.275639105</v>
      </c>
      <c r="T843" s="157" t="s">
        <v>201</v>
      </c>
      <c r="U843" s="46" t="s">
        <v>651</v>
      </c>
      <c r="V843" s="46" t="b">
        <v>1</v>
      </c>
      <c r="W843" s="46">
        <v>0.95</v>
      </c>
      <c r="X843" s="46">
        <v>0.0154602002499999</v>
      </c>
      <c r="Y843" s="46">
        <v>150.672057130152</v>
      </c>
      <c r="Z843" s="46" t="b">
        <v>0</v>
      </c>
      <c r="AA843" s="46" t="b">
        <v>0</v>
      </c>
    </row>
    <row r="844">
      <c r="A844" s="157" t="s">
        <v>556</v>
      </c>
      <c r="B844" s="158">
        <v>3.0</v>
      </c>
      <c r="C844" s="157" t="s">
        <v>1215</v>
      </c>
      <c r="D844" s="157" t="s">
        <v>2348</v>
      </c>
      <c r="E844" s="157" t="s">
        <v>2349</v>
      </c>
      <c r="F844" s="157" t="s">
        <v>2773</v>
      </c>
      <c r="G844" s="157" t="s">
        <v>2774</v>
      </c>
      <c r="H844" s="157"/>
      <c r="I844" s="158">
        <v>5.38547</v>
      </c>
      <c r="J844" s="158">
        <v>49.1132</v>
      </c>
      <c r="K844" s="157" t="s">
        <v>2775</v>
      </c>
      <c r="L844" s="157" t="s">
        <v>648</v>
      </c>
      <c r="M844" s="158">
        <v>2022.0</v>
      </c>
      <c r="N844" s="157" t="s">
        <v>114</v>
      </c>
      <c r="O844" s="157" t="s">
        <v>1221</v>
      </c>
      <c r="P844" s="161" t="b">
        <v>1</v>
      </c>
      <c r="Q844" s="158">
        <v>0.354</v>
      </c>
      <c r="R844" s="158">
        <v>0.016120376</v>
      </c>
      <c r="S844" s="158">
        <v>0.337879624</v>
      </c>
      <c r="T844" s="157" t="s">
        <v>114</v>
      </c>
      <c r="U844" s="46" t="s">
        <v>651</v>
      </c>
      <c r="V844" s="46" t="b">
        <v>1</v>
      </c>
      <c r="W844" s="46">
        <v>0.95</v>
      </c>
      <c r="X844" s="46">
        <v>0.0153143571999999</v>
      </c>
      <c r="Y844" s="46">
        <v>104.917004475098</v>
      </c>
      <c r="Z844" s="46" t="b">
        <v>0</v>
      </c>
      <c r="AA844" s="46" t="b">
        <v>0</v>
      </c>
    </row>
    <row r="845">
      <c r="A845" s="157" t="s">
        <v>566</v>
      </c>
      <c r="B845" s="158">
        <v>1.0</v>
      </c>
      <c r="C845" s="157" t="s">
        <v>642</v>
      </c>
      <c r="D845" s="157" t="s">
        <v>643</v>
      </c>
      <c r="E845" s="157" t="s">
        <v>644</v>
      </c>
      <c r="F845" s="157" t="s">
        <v>2776</v>
      </c>
      <c r="G845" s="157" t="s">
        <v>2777</v>
      </c>
      <c r="H845" s="157"/>
      <c r="I845" s="158">
        <v>22.60183907</v>
      </c>
      <c r="J845" s="158">
        <v>51.23994064</v>
      </c>
      <c r="K845" s="157" t="s">
        <v>2418</v>
      </c>
      <c r="L845" s="157" t="s">
        <v>648</v>
      </c>
      <c r="M845" s="158">
        <v>2022.0</v>
      </c>
      <c r="N845" s="157" t="s">
        <v>649</v>
      </c>
      <c r="O845" s="157" t="s">
        <v>650</v>
      </c>
      <c r="P845" s="161" t="b">
        <v>0</v>
      </c>
      <c r="Q845" s="158">
        <v>0.222</v>
      </c>
      <c r="R845" s="158">
        <v>0.01610086</v>
      </c>
      <c r="S845" s="158">
        <v>0.20589914</v>
      </c>
      <c r="T845" s="157" t="s">
        <v>594</v>
      </c>
      <c r="U845" s="46" t="s">
        <v>651</v>
      </c>
      <c r="V845" s="46" t="b">
        <v>1</v>
      </c>
      <c r="W845" s="46">
        <v>0.95</v>
      </c>
      <c r="X845" s="46">
        <v>0.015295817</v>
      </c>
      <c r="Y845" s="46" t="s">
        <v>640</v>
      </c>
      <c r="Z845" s="46" t="b">
        <v>0</v>
      </c>
      <c r="AA845" s="46" t="b">
        <v>0</v>
      </c>
    </row>
    <row r="846">
      <c r="A846" s="157" t="s">
        <v>561</v>
      </c>
      <c r="B846" s="158">
        <v>1.0</v>
      </c>
      <c r="C846" s="157" t="s">
        <v>642</v>
      </c>
      <c r="D846" s="157" t="s">
        <v>643</v>
      </c>
      <c r="E846" s="157" t="s">
        <v>644</v>
      </c>
      <c r="F846" s="157" t="s">
        <v>2778</v>
      </c>
      <c r="G846" s="157" t="s">
        <v>2779</v>
      </c>
      <c r="H846" s="157"/>
      <c r="I846" s="158">
        <v>1.4315</v>
      </c>
      <c r="J846" s="158">
        <v>38.919048</v>
      </c>
      <c r="K846" s="157" t="s">
        <v>2780</v>
      </c>
      <c r="L846" s="157" t="s">
        <v>648</v>
      </c>
      <c r="M846" s="158">
        <v>2022.0</v>
      </c>
      <c r="N846" s="157" t="s">
        <v>649</v>
      </c>
      <c r="O846" s="157" t="s">
        <v>650</v>
      </c>
      <c r="P846" s="161" t="b">
        <v>0</v>
      </c>
      <c r="Q846" s="158">
        <v>0.222</v>
      </c>
      <c r="R846" s="158">
        <v>0.01610086</v>
      </c>
      <c r="S846" s="158">
        <v>0.20589914</v>
      </c>
      <c r="T846" s="157" t="s">
        <v>594</v>
      </c>
      <c r="U846" s="46" t="s">
        <v>651</v>
      </c>
      <c r="V846" s="46" t="b">
        <v>1</v>
      </c>
      <c r="W846" s="46">
        <v>0.95</v>
      </c>
      <c r="X846" s="46">
        <v>0.015295817</v>
      </c>
      <c r="Y846" s="46" t="s">
        <v>640</v>
      </c>
      <c r="Z846" s="46" t="b">
        <v>0</v>
      </c>
      <c r="AA846" s="46" t="b">
        <v>0</v>
      </c>
    </row>
    <row r="847">
      <c r="A847" s="157" t="s">
        <v>567</v>
      </c>
      <c r="B847" s="158">
        <v>2.0</v>
      </c>
      <c r="C847" s="157" t="s">
        <v>916</v>
      </c>
      <c r="D847" s="157" t="s">
        <v>1203</v>
      </c>
      <c r="E847" s="157" t="s">
        <v>1204</v>
      </c>
      <c r="F847" s="157" t="s">
        <v>2781</v>
      </c>
      <c r="G847" s="157" t="s">
        <v>2782</v>
      </c>
      <c r="H847" s="157"/>
      <c r="I847" s="158">
        <v>18.0821819</v>
      </c>
      <c r="J847" s="158">
        <v>69.2225952</v>
      </c>
      <c r="K847" s="157" t="s">
        <v>2783</v>
      </c>
      <c r="L847" s="157" t="s">
        <v>648</v>
      </c>
      <c r="M847" s="158">
        <v>2017.0</v>
      </c>
      <c r="N847" s="157" t="s">
        <v>549</v>
      </c>
      <c r="O847" s="157" t="s">
        <v>1208</v>
      </c>
      <c r="P847" s="161" t="b">
        <v>1</v>
      </c>
      <c r="Q847" s="158">
        <v>0.284</v>
      </c>
      <c r="R847" s="158">
        <v>0.016</v>
      </c>
      <c r="S847" s="158">
        <v>0.268</v>
      </c>
      <c r="T847" s="157" t="s">
        <v>549</v>
      </c>
      <c r="U847" s="46" t="s">
        <v>651</v>
      </c>
      <c r="V847" s="46" t="b">
        <v>1</v>
      </c>
      <c r="W847" s="46">
        <v>0.95</v>
      </c>
      <c r="X847" s="46">
        <v>0.0152</v>
      </c>
      <c r="Y847" s="46" t="s">
        <v>640</v>
      </c>
      <c r="Z847" s="46" t="b">
        <v>0</v>
      </c>
      <c r="AA847" s="46" t="b">
        <v>0</v>
      </c>
    </row>
    <row r="848">
      <c r="A848" s="157" t="s">
        <v>559</v>
      </c>
      <c r="B848" s="158">
        <v>3.0</v>
      </c>
      <c r="C848" s="157" t="s">
        <v>1215</v>
      </c>
      <c r="D848" s="157" t="s">
        <v>1216</v>
      </c>
      <c r="E848" s="157" t="s">
        <v>1217</v>
      </c>
      <c r="F848" s="157" t="s">
        <v>2784</v>
      </c>
      <c r="G848" s="157" t="s">
        <v>2785</v>
      </c>
      <c r="H848" s="157"/>
      <c r="I848" s="158">
        <v>11.7517</v>
      </c>
      <c r="J848" s="158">
        <v>45.2542</v>
      </c>
      <c r="K848" s="157" t="s">
        <v>2786</v>
      </c>
      <c r="L848" s="157" t="s">
        <v>648</v>
      </c>
      <c r="M848" s="158">
        <v>2022.0</v>
      </c>
      <c r="N848" s="157" t="s">
        <v>114</v>
      </c>
      <c r="O848" s="157" t="s">
        <v>1221</v>
      </c>
      <c r="P848" s="161" t="b">
        <v>1</v>
      </c>
      <c r="Q848" s="158">
        <v>0.348628</v>
      </c>
      <c r="R848" s="158">
        <v>0.015875747</v>
      </c>
      <c r="S848" s="158">
        <v>0.332752253</v>
      </c>
      <c r="T848" s="157" t="s">
        <v>114</v>
      </c>
      <c r="U848" s="46" t="s">
        <v>651</v>
      </c>
      <c r="V848" s="46" t="b">
        <v>1</v>
      </c>
      <c r="W848" s="46">
        <v>0.95</v>
      </c>
      <c r="X848" s="46">
        <v>0.0150819596499999</v>
      </c>
      <c r="Y848" s="46">
        <v>3.56762051148995</v>
      </c>
      <c r="Z848" s="46" t="b">
        <v>1</v>
      </c>
      <c r="AA848" s="46" t="b">
        <v>1</v>
      </c>
    </row>
    <row r="849">
      <c r="A849" s="157" t="s">
        <v>559</v>
      </c>
      <c r="B849" s="158">
        <v>2.0</v>
      </c>
      <c r="C849" s="157" t="s">
        <v>916</v>
      </c>
      <c r="D849" s="157" t="s">
        <v>1585</v>
      </c>
      <c r="E849" s="157" t="s">
        <v>1586</v>
      </c>
      <c r="F849" s="157" t="s">
        <v>2787</v>
      </c>
      <c r="G849" s="157" t="s">
        <v>2788</v>
      </c>
      <c r="H849" s="157"/>
      <c r="I849" s="158">
        <v>8.4079</v>
      </c>
      <c r="J849" s="158">
        <v>39.2091</v>
      </c>
      <c r="K849" s="157" t="s">
        <v>1500</v>
      </c>
      <c r="L849" s="157" t="s">
        <v>648</v>
      </c>
      <c r="M849" s="158">
        <v>2022.0</v>
      </c>
      <c r="N849" s="157" t="s">
        <v>549</v>
      </c>
      <c r="O849" s="157" t="s">
        <v>1208</v>
      </c>
      <c r="P849" s="161" t="b">
        <v>1</v>
      </c>
      <c r="Q849" s="158">
        <v>0.235415</v>
      </c>
      <c r="R849" s="158">
        <v>0.015810373</v>
      </c>
      <c r="S849" s="158">
        <v>0.219604627</v>
      </c>
      <c r="T849" s="157" t="s">
        <v>549</v>
      </c>
      <c r="U849" s="46" t="s">
        <v>651</v>
      </c>
      <c r="V849" s="46" t="b">
        <v>1</v>
      </c>
      <c r="W849" s="46">
        <v>0.95</v>
      </c>
      <c r="X849" s="46">
        <v>0.0150198543499999</v>
      </c>
      <c r="Y849" s="46" t="s">
        <v>640</v>
      </c>
      <c r="Z849" s="46" t="b">
        <v>0</v>
      </c>
      <c r="AA849" s="46" t="b">
        <v>0</v>
      </c>
    </row>
    <row r="850">
      <c r="A850" s="157" t="s">
        <v>556</v>
      </c>
      <c r="B850" s="158">
        <v>3.0</v>
      </c>
      <c r="C850" s="157" t="s">
        <v>1215</v>
      </c>
      <c r="D850" s="157" t="s">
        <v>1371</v>
      </c>
      <c r="E850" s="157" t="s">
        <v>1372</v>
      </c>
      <c r="F850" s="157" t="s">
        <v>2789</v>
      </c>
      <c r="G850" s="157" t="s">
        <v>2790</v>
      </c>
      <c r="H850" s="157"/>
      <c r="I850" s="158">
        <v>6.10325</v>
      </c>
      <c r="J850" s="158">
        <v>48.5674</v>
      </c>
      <c r="K850" s="157" t="s">
        <v>2791</v>
      </c>
      <c r="L850" s="157" t="s">
        <v>648</v>
      </c>
      <c r="M850" s="158">
        <v>2022.0</v>
      </c>
      <c r="N850" s="157" t="s">
        <v>114</v>
      </c>
      <c r="O850" s="157" t="s">
        <v>1376</v>
      </c>
      <c r="P850" s="161" t="b">
        <v>1</v>
      </c>
      <c r="Q850" s="158">
        <v>0.409</v>
      </c>
      <c r="R850" s="158">
        <v>0.015757821</v>
      </c>
      <c r="S850" s="158">
        <v>0.393242179</v>
      </c>
      <c r="T850" s="157" t="s">
        <v>114</v>
      </c>
      <c r="U850" s="46" t="s">
        <v>651</v>
      </c>
      <c r="V850" s="46" t="b">
        <v>1</v>
      </c>
      <c r="W850" s="46">
        <v>0.95</v>
      </c>
      <c r="X850" s="46">
        <v>0.01496992995</v>
      </c>
      <c r="Y850" s="46">
        <v>83.3403294229332</v>
      </c>
      <c r="Z850" s="46" t="b">
        <v>0</v>
      </c>
      <c r="AA850" s="46" t="b">
        <v>1</v>
      </c>
    </row>
    <row r="851">
      <c r="A851" s="157" t="s">
        <v>556</v>
      </c>
      <c r="B851" s="158">
        <v>3.0</v>
      </c>
      <c r="C851" s="157" t="s">
        <v>1215</v>
      </c>
      <c r="D851" s="157" t="s">
        <v>2113</v>
      </c>
      <c r="E851" s="157" t="s">
        <v>2114</v>
      </c>
      <c r="F851" s="157" t="s">
        <v>2792</v>
      </c>
      <c r="G851" s="157" t="s">
        <v>2793</v>
      </c>
      <c r="H851" s="157"/>
      <c r="I851" s="158">
        <v>5.63152</v>
      </c>
      <c r="J851" s="158">
        <v>48.7112</v>
      </c>
      <c r="K851" s="157" t="s">
        <v>2794</v>
      </c>
      <c r="L851" s="157" t="s">
        <v>648</v>
      </c>
      <c r="M851" s="158">
        <v>2022.0</v>
      </c>
      <c r="N851" s="157" t="s">
        <v>114</v>
      </c>
      <c r="O851" s="157" t="s">
        <v>2118</v>
      </c>
      <c r="P851" s="161" t="b">
        <v>1</v>
      </c>
      <c r="Q851" s="158">
        <v>0.345</v>
      </c>
      <c r="R851" s="158">
        <v>0.015528255</v>
      </c>
      <c r="S851" s="158">
        <v>0.329471745</v>
      </c>
      <c r="T851" s="157" t="s">
        <v>114</v>
      </c>
      <c r="U851" s="46" t="s">
        <v>651</v>
      </c>
      <c r="V851" s="46" t="b">
        <v>1</v>
      </c>
      <c r="W851" s="46">
        <v>0.95</v>
      </c>
      <c r="X851" s="46">
        <v>0.01475184225</v>
      </c>
      <c r="Y851" s="46">
        <v>99.8456749886125</v>
      </c>
      <c r="Z851" s="46" t="b">
        <v>0</v>
      </c>
      <c r="AA851" s="46" t="b">
        <v>1</v>
      </c>
    </row>
    <row r="852">
      <c r="A852" s="157" t="s">
        <v>559</v>
      </c>
      <c r="B852" s="158">
        <v>1.0</v>
      </c>
      <c r="C852" s="157" t="s">
        <v>642</v>
      </c>
      <c r="D852" s="157" t="s">
        <v>643</v>
      </c>
      <c r="E852" s="157" t="s">
        <v>644</v>
      </c>
      <c r="F852" s="157" t="s">
        <v>2795</v>
      </c>
      <c r="G852" s="157" t="s">
        <v>2477</v>
      </c>
      <c r="H852" s="157" t="s">
        <v>2478</v>
      </c>
      <c r="I852" s="158">
        <v>0.0</v>
      </c>
      <c r="J852" s="158">
        <v>0.0</v>
      </c>
      <c r="K852" s="157" t="s">
        <v>2796</v>
      </c>
      <c r="L852" s="157" t="s">
        <v>648</v>
      </c>
      <c r="M852" s="158">
        <v>2022.0</v>
      </c>
      <c r="N852" s="157" t="s">
        <v>649</v>
      </c>
      <c r="O852" s="157" t="s">
        <v>650</v>
      </c>
      <c r="P852" s="161" t="b">
        <v>0</v>
      </c>
      <c r="Q852" s="158">
        <v>0.21305418</v>
      </c>
      <c r="R852" s="158">
        <v>0.015452052</v>
      </c>
      <c r="S852" s="158">
        <v>0.197602128</v>
      </c>
      <c r="T852" s="157" t="s">
        <v>594</v>
      </c>
      <c r="U852" s="46" t="s">
        <v>651</v>
      </c>
      <c r="V852" s="46" t="b">
        <v>1</v>
      </c>
      <c r="W852" s="46">
        <v>0.95</v>
      </c>
      <c r="X852" s="46">
        <v>0.0146794494</v>
      </c>
      <c r="Y852" s="46" t="s">
        <v>640</v>
      </c>
      <c r="Z852" s="46" t="b">
        <v>0</v>
      </c>
      <c r="AA852" s="46" t="b">
        <v>0</v>
      </c>
    </row>
    <row r="853">
      <c r="A853" s="157" t="s">
        <v>556</v>
      </c>
      <c r="B853" s="158">
        <v>1.0</v>
      </c>
      <c r="C853" s="157" t="s">
        <v>642</v>
      </c>
      <c r="D853" s="157" t="s">
        <v>643</v>
      </c>
      <c r="E853" s="157" t="s">
        <v>644</v>
      </c>
      <c r="F853" s="157" t="s">
        <v>2797</v>
      </c>
      <c r="G853" s="157" t="s">
        <v>2798</v>
      </c>
      <c r="H853" s="157"/>
      <c r="I853" s="158">
        <v>-61.05727</v>
      </c>
      <c r="J853" s="158">
        <v>14.5962</v>
      </c>
      <c r="K853" s="157" t="s">
        <v>2799</v>
      </c>
      <c r="L853" s="157" t="s">
        <v>648</v>
      </c>
      <c r="M853" s="158">
        <v>2022.0</v>
      </c>
      <c r="N853" s="157" t="s">
        <v>649</v>
      </c>
      <c r="O853" s="157" t="s">
        <v>650</v>
      </c>
      <c r="P853" s="161" t="b">
        <v>0</v>
      </c>
      <c r="Q853" s="158">
        <v>0.213</v>
      </c>
      <c r="R853" s="158">
        <v>0.015448123</v>
      </c>
      <c r="S853" s="158">
        <v>0.197551877</v>
      </c>
      <c r="T853" s="157" t="s">
        <v>594</v>
      </c>
      <c r="U853" s="46" t="s">
        <v>651</v>
      </c>
      <c r="V853" s="46" t="b">
        <v>1</v>
      </c>
      <c r="W853" s="46">
        <v>0.95</v>
      </c>
      <c r="X853" s="46">
        <v>0.01467571685</v>
      </c>
      <c r="Y853" s="46" t="s">
        <v>640</v>
      </c>
      <c r="Z853" s="46" t="b">
        <v>0</v>
      </c>
      <c r="AA853" s="46" t="b">
        <v>0</v>
      </c>
    </row>
    <row r="854">
      <c r="A854" s="157" t="s">
        <v>556</v>
      </c>
      <c r="B854" s="158">
        <v>1.0</v>
      </c>
      <c r="C854" s="157" t="s">
        <v>642</v>
      </c>
      <c r="D854" s="157" t="s">
        <v>643</v>
      </c>
      <c r="E854" s="157" t="s">
        <v>644</v>
      </c>
      <c r="F854" s="157" t="s">
        <v>2800</v>
      </c>
      <c r="G854" s="157" t="s">
        <v>2801</v>
      </c>
      <c r="H854" s="157"/>
      <c r="I854" s="158">
        <v>1.11025</v>
      </c>
      <c r="J854" s="158">
        <v>49.3701</v>
      </c>
      <c r="K854" s="157" t="s">
        <v>2802</v>
      </c>
      <c r="L854" s="157" t="s">
        <v>648</v>
      </c>
      <c r="M854" s="158">
        <v>2022.0</v>
      </c>
      <c r="N854" s="157" t="s">
        <v>649</v>
      </c>
      <c r="O854" s="157" t="s">
        <v>650</v>
      </c>
      <c r="P854" s="161" t="b">
        <v>0</v>
      </c>
      <c r="Q854" s="158">
        <v>0.213</v>
      </c>
      <c r="R854" s="158">
        <v>0.015448123</v>
      </c>
      <c r="S854" s="158">
        <v>0.197551877</v>
      </c>
      <c r="T854" s="157" t="s">
        <v>594</v>
      </c>
      <c r="U854" s="46" t="s">
        <v>651</v>
      </c>
      <c r="V854" s="46" t="b">
        <v>1</v>
      </c>
      <c r="W854" s="46">
        <v>0.95</v>
      </c>
      <c r="X854" s="46">
        <v>0.01467571685</v>
      </c>
      <c r="Y854" s="46">
        <v>8.14394264976205</v>
      </c>
      <c r="Z854" s="46" t="b">
        <v>1</v>
      </c>
      <c r="AA854" s="46" t="b">
        <v>1</v>
      </c>
    </row>
    <row r="855">
      <c r="A855" s="157" t="s">
        <v>580</v>
      </c>
      <c r="B855" s="158">
        <v>1.0</v>
      </c>
      <c r="C855" s="157" t="s">
        <v>642</v>
      </c>
      <c r="D855" s="157" t="s">
        <v>643</v>
      </c>
      <c r="E855" s="157" t="s">
        <v>644</v>
      </c>
      <c r="F855" s="157" t="s">
        <v>2803</v>
      </c>
      <c r="G855" s="157" t="s">
        <v>2804</v>
      </c>
      <c r="H855" s="157"/>
      <c r="I855" s="158">
        <v>23.71095372</v>
      </c>
      <c r="J855" s="158">
        <v>56.63512756</v>
      </c>
      <c r="K855" s="157" t="s">
        <v>2805</v>
      </c>
      <c r="L855" s="157" t="s">
        <v>648</v>
      </c>
      <c r="M855" s="158">
        <v>2022.0</v>
      </c>
      <c r="N855" s="157" t="s">
        <v>649</v>
      </c>
      <c r="O855" s="157" t="s">
        <v>650</v>
      </c>
      <c r="P855" s="161" t="b">
        <v>0</v>
      </c>
      <c r="Q855" s="158">
        <v>0.213</v>
      </c>
      <c r="R855" s="158">
        <v>0.015448123</v>
      </c>
      <c r="S855" s="158">
        <v>0.197551877</v>
      </c>
      <c r="T855" s="157" t="s">
        <v>594</v>
      </c>
      <c r="U855" s="46" t="s">
        <v>651</v>
      </c>
      <c r="V855" s="46" t="b">
        <v>1</v>
      </c>
      <c r="W855" s="46">
        <v>0.95</v>
      </c>
      <c r="X855" s="46">
        <v>0.01467571685</v>
      </c>
      <c r="Y855" s="46">
        <v>68.2741139905085</v>
      </c>
      <c r="Z855" s="46" t="b">
        <v>0</v>
      </c>
      <c r="AA855" s="46" t="b">
        <v>1</v>
      </c>
    </row>
    <row r="856">
      <c r="A856" s="157" t="s">
        <v>574</v>
      </c>
      <c r="B856" s="158">
        <v>1.0</v>
      </c>
      <c r="C856" s="157" t="s">
        <v>642</v>
      </c>
      <c r="D856" s="157" t="s">
        <v>643</v>
      </c>
      <c r="E856" s="157" t="s">
        <v>644</v>
      </c>
      <c r="F856" s="162" t="s">
        <v>2806</v>
      </c>
      <c r="G856" s="157" t="s">
        <v>2807</v>
      </c>
      <c r="H856" s="157"/>
      <c r="I856" s="158">
        <v>21.739013</v>
      </c>
      <c r="J856" s="158">
        <v>48.863295</v>
      </c>
      <c r="K856" s="157" t="s">
        <v>2808</v>
      </c>
      <c r="L856" s="157" t="s">
        <v>648</v>
      </c>
      <c r="M856" s="158">
        <v>2017.0</v>
      </c>
      <c r="N856" s="157" t="s">
        <v>649</v>
      </c>
      <c r="O856" s="157" t="s">
        <v>650</v>
      </c>
      <c r="P856" s="161" t="b">
        <v>0</v>
      </c>
      <c r="Q856" s="158">
        <v>0.213</v>
      </c>
      <c r="R856" s="158">
        <v>0.015448123</v>
      </c>
      <c r="S856" s="158">
        <v>0.197551877</v>
      </c>
      <c r="T856" s="157" t="s">
        <v>594</v>
      </c>
      <c r="U856" s="46" t="s">
        <v>651</v>
      </c>
      <c r="V856" s="46" t="b">
        <v>1</v>
      </c>
      <c r="W856" s="46">
        <v>0.95</v>
      </c>
      <c r="X856" s="46">
        <v>0.01467571685</v>
      </c>
      <c r="Y856" s="46" t="s">
        <v>640</v>
      </c>
      <c r="Z856" s="46" t="b">
        <v>0</v>
      </c>
      <c r="AA856" s="46" t="b">
        <v>0</v>
      </c>
    </row>
    <row r="857">
      <c r="A857" s="157" t="s">
        <v>566</v>
      </c>
      <c r="B857" s="158">
        <v>2.0</v>
      </c>
      <c r="C857" s="157" t="s">
        <v>916</v>
      </c>
      <c r="D857" s="157" t="s">
        <v>1585</v>
      </c>
      <c r="E857" s="157" t="s">
        <v>1586</v>
      </c>
      <c r="F857" s="157" t="s">
        <v>2809</v>
      </c>
      <c r="G857" s="157" t="s">
        <v>2810</v>
      </c>
      <c r="H857" s="157"/>
      <c r="I857" s="158">
        <v>16.11762047</v>
      </c>
      <c r="J857" s="158">
        <v>51.18238449</v>
      </c>
      <c r="K857" s="157" t="s">
        <v>2811</v>
      </c>
      <c r="L857" s="157" t="s">
        <v>648</v>
      </c>
      <c r="M857" s="158">
        <v>2022.0</v>
      </c>
      <c r="N857" s="157" t="s">
        <v>549</v>
      </c>
      <c r="O857" s="157" t="s">
        <v>1208</v>
      </c>
      <c r="P857" s="161" t="b">
        <v>1</v>
      </c>
      <c r="Q857" s="158">
        <v>0.23</v>
      </c>
      <c r="R857" s="158">
        <v>0.015446704</v>
      </c>
      <c r="S857" s="158">
        <v>0.214553296</v>
      </c>
      <c r="T857" s="157" t="s">
        <v>549</v>
      </c>
      <c r="U857" s="46" t="s">
        <v>651</v>
      </c>
      <c r="V857" s="46" t="b">
        <v>1</v>
      </c>
      <c r="W857" s="46">
        <v>0.95</v>
      </c>
      <c r="X857" s="46">
        <v>0.0146743688</v>
      </c>
      <c r="Y857" s="46">
        <v>128.948385906052</v>
      </c>
      <c r="Z857" s="46" t="b">
        <v>0</v>
      </c>
      <c r="AA857" s="46" t="b">
        <v>0</v>
      </c>
    </row>
    <row r="858">
      <c r="A858" s="157" t="s">
        <v>569</v>
      </c>
      <c r="B858" s="158">
        <v>1.0</v>
      </c>
      <c r="C858" s="157" t="s">
        <v>642</v>
      </c>
      <c r="D858" s="157" t="s">
        <v>643</v>
      </c>
      <c r="E858" s="157" t="s">
        <v>644</v>
      </c>
      <c r="F858" s="157" t="s">
        <v>2812</v>
      </c>
      <c r="G858" s="157" t="s">
        <v>2657</v>
      </c>
      <c r="H858" s="157"/>
      <c r="I858" s="158">
        <v>19.164244</v>
      </c>
      <c r="J858" s="158">
        <v>47.458005</v>
      </c>
      <c r="K858" s="157" t="s">
        <v>2813</v>
      </c>
      <c r="L858" s="157" t="s">
        <v>648</v>
      </c>
      <c r="M858" s="158">
        <v>2022.0</v>
      </c>
      <c r="N858" s="157" t="s">
        <v>649</v>
      </c>
      <c r="O858" s="157" t="s">
        <v>650</v>
      </c>
      <c r="P858" s="161" t="b">
        <v>0</v>
      </c>
      <c r="Q858" s="158">
        <v>0.211953</v>
      </c>
      <c r="R858" s="158">
        <v>0.015372187</v>
      </c>
      <c r="S858" s="158">
        <v>0.196580813</v>
      </c>
      <c r="T858" s="157" t="s">
        <v>594</v>
      </c>
      <c r="U858" s="46" t="s">
        <v>651</v>
      </c>
      <c r="V858" s="46" t="b">
        <v>1</v>
      </c>
      <c r="W858" s="46">
        <v>0.95</v>
      </c>
      <c r="X858" s="46">
        <v>0.01460357765</v>
      </c>
      <c r="Y858" s="46" t="s">
        <v>640</v>
      </c>
      <c r="Z858" s="46" t="b">
        <v>0</v>
      </c>
      <c r="AA858" s="46" t="b">
        <v>0</v>
      </c>
    </row>
    <row r="859">
      <c r="A859" s="157" t="s">
        <v>561</v>
      </c>
      <c r="B859" s="158">
        <v>3.0</v>
      </c>
      <c r="C859" s="157" t="s">
        <v>1215</v>
      </c>
      <c r="D859" s="157" t="s">
        <v>1371</v>
      </c>
      <c r="E859" s="157" t="s">
        <v>1372</v>
      </c>
      <c r="F859" s="157" t="s">
        <v>2814</v>
      </c>
      <c r="G859" s="157" t="s">
        <v>2815</v>
      </c>
      <c r="H859" s="157"/>
      <c r="I859" s="158">
        <v>-6.768889</v>
      </c>
      <c r="J859" s="158">
        <v>42.553611</v>
      </c>
      <c r="K859" s="157" t="s">
        <v>2816</v>
      </c>
      <c r="L859" s="157" t="s">
        <v>648</v>
      </c>
      <c r="M859" s="158">
        <v>2022.0</v>
      </c>
      <c r="N859" s="157" t="s">
        <v>114</v>
      </c>
      <c r="O859" s="157" t="s">
        <v>1376</v>
      </c>
      <c r="P859" s="161" t="b">
        <v>1</v>
      </c>
      <c r="Q859" s="158">
        <v>0.397</v>
      </c>
      <c r="R859" s="158">
        <v>0.015295488</v>
      </c>
      <c r="S859" s="158">
        <v>0.381704512</v>
      </c>
      <c r="T859" s="157" t="s">
        <v>114</v>
      </c>
      <c r="U859" s="46" t="s">
        <v>651</v>
      </c>
      <c r="V859" s="46" t="b">
        <v>1</v>
      </c>
      <c r="W859" s="46">
        <v>0.95</v>
      </c>
      <c r="X859" s="46">
        <v>0.0145307135999999</v>
      </c>
      <c r="Y859" s="46" t="s">
        <v>640</v>
      </c>
      <c r="Z859" s="46" t="b">
        <v>0</v>
      </c>
      <c r="AA859" s="46" t="b">
        <v>0</v>
      </c>
    </row>
    <row r="860">
      <c r="A860" s="157" t="s">
        <v>556</v>
      </c>
      <c r="B860" s="158">
        <v>8.0</v>
      </c>
      <c r="C860" s="157" t="s">
        <v>1175</v>
      </c>
      <c r="D860" s="157" t="s">
        <v>1176</v>
      </c>
      <c r="E860" s="157" t="s">
        <v>1177</v>
      </c>
      <c r="F860" s="157" t="s">
        <v>2817</v>
      </c>
      <c r="G860" s="157" t="s">
        <v>1944</v>
      </c>
      <c r="H860" s="157"/>
      <c r="I860" s="158">
        <v>2.49422</v>
      </c>
      <c r="J860" s="158">
        <v>50.56043</v>
      </c>
      <c r="K860" s="157" t="s">
        <v>2818</v>
      </c>
      <c r="L860" s="157" t="s">
        <v>648</v>
      </c>
      <c r="M860" s="158">
        <v>2022.0</v>
      </c>
      <c r="N860" s="157" t="s">
        <v>552</v>
      </c>
      <c r="O860" s="157" t="s">
        <v>1181</v>
      </c>
      <c r="P860" s="161" t="b">
        <v>1</v>
      </c>
      <c r="Q860" s="158">
        <v>0.116</v>
      </c>
      <c r="R860" s="158">
        <v>0.015253161</v>
      </c>
      <c r="S860" s="158">
        <v>0.100746839</v>
      </c>
      <c r="T860" s="157" t="s">
        <v>552</v>
      </c>
      <c r="U860" s="46" t="s">
        <v>651</v>
      </c>
      <c r="V860" s="46" t="b">
        <v>1</v>
      </c>
      <c r="W860" s="46">
        <v>0.95</v>
      </c>
      <c r="X860" s="46">
        <v>0.01449050295</v>
      </c>
      <c r="Y860" s="46">
        <v>9.07398118223044</v>
      </c>
      <c r="Z860" s="46" t="b">
        <v>1</v>
      </c>
      <c r="AA860" s="46" t="b">
        <v>1</v>
      </c>
    </row>
    <row r="861">
      <c r="A861" s="157" t="s">
        <v>579</v>
      </c>
      <c r="B861" s="158">
        <v>1.0</v>
      </c>
      <c r="C861" s="157" t="s">
        <v>642</v>
      </c>
      <c r="D861" s="157" t="s">
        <v>643</v>
      </c>
      <c r="E861" s="157" t="s">
        <v>644</v>
      </c>
      <c r="F861" s="157" t="s">
        <v>2819</v>
      </c>
      <c r="G861" s="157" t="s">
        <v>2820</v>
      </c>
      <c r="H861" s="157"/>
      <c r="I861" s="158">
        <v>15.94858</v>
      </c>
      <c r="J861" s="158">
        <v>45.80881</v>
      </c>
      <c r="K861" s="157" t="s">
        <v>1869</v>
      </c>
      <c r="L861" s="157" t="s">
        <v>648</v>
      </c>
      <c r="M861" s="158">
        <v>2022.0</v>
      </c>
      <c r="N861" s="157" t="s">
        <v>649</v>
      </c>
      <c r="O861" s="157" t="s">
        <v>650</v>
      </c>
      <c r="P861" s="161" t="b">
        <v>0</v>
      </c>
      <c r="Q861" s="158">
        <v>0.21</v>
      </c>
      <c r="R861" s="158">
        <v>0.015230543</v>
      </c>
      <c r="S861" s="158">
        <v>0.194769457</v>
      </c>
      <c r="T861" s="157" t="s">
        <v>594</v>
      </c>
      <c r="U861" s="46" t="s">
        <v>651</v>
      </c>
      <c r="V861" s="46" t="b">
        <v>1</v>
      </c>
      <c r="W861" s="46">
        <v>0.95</v>
      </c>
      <c r="X861" s="46">
        <v>0.01446901585</v>
      </c>
      <c r="Y861" s="46" t="s">
        <v>640</v>
      </c>
      <c r="Z861" s="46" t="b">
        <v>0</v>
      </c>
      <c r="AA861" s="46" t="b">
        <v>0</v>
      </c>
    </row>
    <row r="862">
      <c r="A862" s="157" t="s">
        <v>564</v>
      </c>
      <c r="B862" s="158">
        <v>1.0</v>
      </c>
      <c r="C862" s="157" t="s">
        <v>642</v>
      </c>
      <c r="D862" s="157" t="s">
        <v>643</v>
      </c>
      <c r="E862" s="157" t="s">
        <v>644</v>
      </c>
      <c r="F862" s="157" t="s">
        <v>2821</v>
      </c>
      <c r="G862" s="157" t="s">
        <v>2822</v>
      </c>
      <c r="H862" s="157"/>
      <c r="I862" s="158">
        <v>9.4246</v>
      </c>
      <c r="J862" s="158">
        <v>46.8263</v>
      </c>
      <c r="K862" s="157" t="s">
        <v>2823</v>
      </c>
      <c r="L862" s="157" t="s">
        <v>648</v>
      </c>
      <c r="M862" s="158">
        <v>2021.0</v>
      </c>
      <c r="N862" s="157" t="s">
        <v>649</v>
      </c>
      <c r="O862" s="157" t="s">
        <v>650</v>
      </c>
      <c r="P862" s="161" t="b">
        <v>0</v>
      </c>
      <c r="Q862" s="158">
        <v>0.21</v>
      </c>
      <c r="R862" s="158">
        <v>0.015230543</v>
      </c>
      <c r="S862" s="158">
        <v>0.194769457</v>
      </c>
      <c r="T862" s="157" t="s">
        <v>594</v>
      </c>
      <c r="U862" s="46" t="s">
        <v>651</v>
      </c>
      <c r="V862" s="46" t="b">
        <v>1</v>
      </c>
      <c r="W862" s="46">
        <v>0.95</v>
      </c>
      <c r="X862" s="46">
        <v>0.01446901585</v>
      </c>
      <c r="Y862" s="46">
        <v>113.500134361008</v>
      </c>
      <c r="Z862" s="46" t="b">
        <v>0</v>
      </c>
      <c r="AA862" s="46" t="b">
        <v>0</v>
      </c>
    </row>
    <row r="863">
      <c r="A863" s="157" t="s">
        <v>559</v>
      </c>
      <c r="B863" s="158">
        <v>3.0</v>
      </c>
      <c r="C863" s="157" t="s">
        <v>1215</v>
      </c>
      <c r="D863" s="157" t="s">
        <v>1216</v>
      </c>
      <c r="E863" s="157" t="s">
        <v>1217</v>
      </c>
      <c r="F863" s="157" t="s">
        <v>2824</v>
      </c>
      <c r="G863" s="157" t="s">
        <v>2825</v>
      </c>
      <c r="H863" s="157"/>
      <c r="I863" s="158">
        <v>11.966666</v>
      </c>
      <c r="J863" s="158">
        <v>45.877777</v>
      </c>
      <c r="K863" s="157" t="s">
        <v>2826</v>
      </c>
      <c r="L863" s="157" t="s">
        <v>648</v>
      </c>
      <c r="M863" s="158">
        <v>2022.0</v>
      </c>
      <c r="N863" s="157" t="s">
        <v>114</v>
      </c>
      <c r="O863" s="157" t="s">
        <v>1221</v>
      </c>
      <c r="P863" s="161" t="b">
        <v>1</v>
      </c>
      <c r="Q863" s="158">
        <v>0.333945</v>
      </c>
      <c r="R863" s="158">
        <v>0.015207116</v>
      </c>
      <c r="S863" s="158">
        <v>0.318737884</v>
      </c>
      <c r="T863" s="157" t="s">
        <v>114</v>
      </c>
      <c r="U863" s="46" t="s">
        <v>651</v>
      </c>
      <c r="V863" s="46" t="b">
        <v>1</v>
      </c>
      <c r="W863" s="46">
        <v>0.95</v>
      </c>
      <c r="X863" s="46">
        <v>0.0144467601999999</v>
      </c>
      <c r="Y863" s="46">
        <v>53.0534672597754</v>
      </c>
      <c r="Z863" s="46" t="b">
        <v>0</v>
      </c>
      <c r="AA863" s="46" t="b">
        <v>1</v>
      </c>
    </row>
    <row r="864">
      <c r="A864" s="157" t="s">
        <v>556</v>
      </c>
      <c r="B864" s="158">
        <v>8.0</v>
      </c>
      <c r="C864" s="157" t="s">
        <v>1175</v>
      </c>
      <c r="D864" s="157" t="s">
        <v>1176</v>
      </c>
      <c r="E864" s="157" t="s">
        <v>1177</v>
      </c>
      <c r="F864" s="157" t="s">
        <v>2827</v>
      </c>
      <c r="G864" s="157" t="s">
        <v>1944</v>
      </c>
      <c r="H864" s="157"/>
      <c r="I864" s="158">
        <v>3.92123</v>
      </c>
      <c r="J864" s="158">
        <v>48.7222</v>
      </c>
      <c r="K864" s="157" t="s">
        <v>2828</v>
      </c>
      <c r="L864" s="157" t="s">
        <v>648</v>
      </c>
      <c r="M864" s="158">
        <v>2022.0</v>
      </c>
      <c r="N864" s="157" t="s">
        <v>552</v>
      </c>
      <c r="O864" s="157" t="s">
        <v>1181</v>
      </c>
      <c r="P864" s="161" t="b">
        <v>1</v>
      </c>
      <c r="Q864" s="158">
        <v>0.115</v>
      </c>
      <c r="R864" s="158">
        <v>0.015121668</v>
      </c>
      <c r="S864" s="158">
        <v>0.099878332</v>
      </c>
      <c r="T864" s="157" t="s">
        <v>552</v>
      </c>
      <c r="U864" s="46" t="s">
        <v>651</v>
      </c>
      <c r="V864" s="46" t="b">
        <v>1</v>
      </c>
      <c r="W864" s="46">
        <v>0.95</v>
      </c>
      <c r="X864" s="46">
        <v>0.0143655845999999</v>
      </c>
      <c r="Y864" s="46">
        <v>75.8447879221444</v>
      </c>
      <c r="Z864" s="46" t="b">
        <v>0</v>
      </c>
      <c r="AA864" s="46" t="b">
        <v>1</v>
      </c>
    </row>
    <row r="865">
      <c r="A865" s="157" t="s">
        <v>561</v>
      </c>
      <c r="B865" s="158">
        <v>8.0</v>
      </c>
      <c r="C865" s="157" t="s">
        <v>1175</v>
      </c>
      <c r="D865" s="157" t="s">
        <v>1176</v>
      </c>
      <c r="E865" s="157" t="s">
        <v>1177</v>
      </c>
      <c r="F865" s="157" t="s">
        <v>2829</v>
      </c>
      <c r="G865" s="157" t="s">
        <v>2830</v>
      </c>
      <c r="H865" s="157"/>
      <c r="I865" s="158">
        <v>0.889134</v>
      </c>
      <c r="J865" s="158">
        <v>41.641266</v>
      </c>
      <c r="K865" s="157" t="s">
        <v>2831</v>
      </c>
      <c r="L865" s="157" t="s">
        <v>648</v>
      </c>
      <c r="M865" s="158">
        <v>2022.0</v>
      </c>
      <c r="N865" s="157" t="s">
        <v>552</v>
      </c>
      <c r="O865" s="157" t="s">
        <v>1181</v>
      </c>
      <c r="P865" s="161" t="b">
        <v>1</v>
      </c>
      <c r="Q865" s="158">
        <v>0.115</v>
      </c>
      <c r="R865" s="158">
        <v>0.015121668</v>
      </c>
      <c r="S865" s="158">
        <v>0.099878332</v>
      </c>
      <c r="T865" s="157" t="s">
        <v>552</v>
      </c>
      <c r="U865" s="46" t="s">
        <v>651</v>
      </c>
      <c r="V865" s="46" t="b">
        <v>1</v>
      </c>
      <c r="W865" s="46">
        <v>0.95</v>
      </c>
      <c r="X865" s="46">
        <v>0.0143655845999999</v>
      </c>
      <c r="Y865" s="46" t="s">
        <v>640</v>
      </c>
      <c r="Z865" s="46" t="b">
        <v>0</v>
      </c>
      <c r="AA865" s="46" t="b">
        <v>0</v>
      </c>
    </row>
    <row r="866">
      <c r="A866" s="157" t="s">
        <v>566</v>
      </c>
      <c r="B866" s="158">
        <v>1.0</v>
      </c>
      <c r="C866" s="157" t="s">
        <v>642</v>
      </c>
      <c r="D866" s="157" t="s">
        <v>643</v>
      </c>
      <c r="E866" s="157" t="s">
        <v>644</v>
      </c>
      <c r="F866" s="157" t="s">
        <v>2832</v>
      </c>
      <c r="G866" s="157" t="s">
        <v>2833</v>
      </c>
      <c r="H866" s="157"/>
      <c r="I866" s="158">
        <v>18.71085548</v>
      </c>
      <c r="J866" s="158">
        <v>50.29227829</v>
      </c>
      <c r="K866" s="157" t="s">
        <v>2834</v>
      </c>
      <c r="L866" s="157" t="s">
        <v>648</v>
      </c>
      <c r="M866" s="158">
        <v>2022.0</v>
      </c>
      <c r="N866" s="157" t="s">
        <v>649</v>
      </c>
      <c r="O866" s="157" t="s">
        <v>650</v>
      </c>
      <c r="P866" s="161" t="b">
        <v>0</v>
      </c>
      <c r="Q866" s="158">
        <v>0.208</v>
      </c>
      <c r="R866" s="158">
        <v>0.015085491</v>
      </c>
      <c r="S866" s="158">
        <v>0.192914509</v>
      </c>
      <c r="T866" s="157" t="s">
        <v>594</v>
      </c>
      <c r="U866" s="46" t="s">
        <v>651</v>
      </c>
      <c r="V866" s="46" t="b">
        <v>1</v>
      </c>
      <c r="W866" s="46">
        <v>0.95</v>
      </c>
      <c r="X866" s="46">
        <v>0.0143312164499999</v>
      </c>
      <c r="Y866" s="46" t="s">
        <v>640</v>
      </c>
      <c r="Z866" s="46" t="b">
        <v>0</v>
      </c>
      <c r="AA866" s="46" t="b">
        <v>0</v>
      </c>
    </row>
    <row r="867">
      <c r="A867" s="157" t="s">
        <v>560</v>
      </c>
      <c r="B867" s="158">
        <v>1.0</v>
      </c>
      <c r="C867" s="157" t="s">
        <v>642</v>
      </c>
      <c r="D867" s="157" t="s">
        <v>643</v>
      </c>
      <c r="E867" s="157" t="s">
        <v>644</v>
      </c>
      <c r="F867" s="157" t="s">
        <v>2835</v>
      </c>
      <c r="G867" s="157" t="s">
        <v>2836</v>
      </c>
      <c r="H867" s="157"/>
      <c r="I867" s="158">
        <v>15.708278</v>
      </c>
      <c r="J867" s="158">
        <v>48.394833</v>
      </c>
      <c r="K867" s="157" t="s">
        <v>2837</v>
      </c>
      <c r="L867" s="157" t="s">
        <v>648</v>
      </c>
      <c r="M867" s="158">
        <v>2022.0</v>
      </c>
      <c r="N867" s="157" t="s">
        <v>649</v>
      </c>
      <c r="O867" s="157" t="s">
        <v>650</v>
      </c>
      <c r="P867" s="161" t="b">
        <v>0</v>
      </c>
      <c r="Q867" s="158">
        <v>0.207</v>
      </c>
      <c r="R867" s="158">
        <v>0.015012964</v>
      </c>
      <c r="S867" s="158">
        <v>0.191987036</v>
      </c>
      <c r="T867" s="157" t="s">
        <v>594</v>
      </c>
      <c r="U867" s="46" t="s">
        <v>651</v>
      </c>
      <c r="V867" s="46" t="b">
        <v>1</v>
      </c>
      <c r="W867" s="46">
        <v>0.95</v>
      </c>
      <c r="X867" s="46">
        <v>0.0142623158</v>
      </c>
      <c r="Y867" s="46" t="s">
        <v>640</v>
      </c>
      <c r="Z867" s="46" t="b">
        <v>0</v>
      </c>
      <c r="AA867" s="46" t="b">
        <v>0</v>
      </c>
    </row>
    <row r="868">
      <c r="A868" s="157" t="s">
        <v>561</v>
      </c>
      <c r="B868" s="158">
        <v>3.0</v>
      </c>
      <c r="C868" s="157" t="s">
        <v>1215</v>
      </c>
      <c r="D868" s="157" t="s">
        <v>1371</v>
      </c>
      <c r="E868" s="157" t="s">
        <v>1372</v>
      </c>
      <c r="F868" s="157" t="s">
        <v>2838</v>
      </c>
      <c r="G868" s="157" t="s">
        <v>2839</v>
      </c>
      <c r="H868" s="157"/>
      <c r="I868" s="158">
        <v>-2.771422</v>
      </c>
      <c r="J868" s="158">
        <v>43.206875</v>
      </c>
      <c r="K868" s="157" t="s">
        <v>2840</v>
      </c>
      <c r="L868" s="157" t="s">
        <v>648</v>
      </c>
      <c r="M868" s="158">
        <v>2022.0</v>
      </c>
      <c r="N868" s="157" t="s">
        <v>114</v>
      </c>
      <c r="O868" s="157" t="s">
        <v>1376</v>
      </c>
      <c r="P868" s="161" t="b">
        <v>1</v>
      </c>
      <c r="Q868" s="158">
        <v>0.387</v>
      </c>
      <c r="R868" s="158">
        <v>0.014910212</v>
      </c>
      <c r="S868" s="158">
        <v>0.372089788</v>
      </c>
      <c r="T868" s="157" t="s">
        <v>114</v>
      </c>
      <c r="U868" s="46" t="s">
        <v>651</v>
      </c>
      <c r="V868" s="46" t="b">
        <v>1</v>
      </c>
      <c r="W868" s="46">
        <v>0.95</v>
      </c>
      <c r="X868" s="46">
        <v>0.0141647014</v>
      </c>
      <c r="Y868" s="46">
        <v>106.171730601558</v>
      </c>
      <c r="Z868" s="46" t="b">
        <v>0</v>
      </c>
      <c r="AA868" s="46" t="b">
        <v>0</v>
      </c>
    </row>
    <row r="869">
      <c r="A869" s="157" t="s">
        <v>559</v>
      </c>
      <c r="B869" s="158">
        <v>3.0</v>
      </c>
      <c r="C869" s="157" t="s">
        <v>1215</v>
      </c>
      <c r="D869" s="157" t="s">
        <v>1216</v>
      </c>
      <c r="E869" s="157" t="s">
        <v>1217</v>
      </c>
      <c r="F869" s="157" t="s">
        <v>2841</v>
      </c>
      <c r="G869" s="157" t="s">
        <v>2842</v>
      </c>
      <c r="H869" s="157"/>
      <c r="I869" s="158">
        <v>13.0042</v>
      </c>
      <c r="J869" s="158">
        <v>41.7367</v>
      </c>
      <c r="K869" s="157" t="s">
        <v>2843</v>
      </c>
      <c r="L869" s="157" t="s">
        <v>648</v>
      </c>
      <c r="M869" s="158">
        <v>2022.0</v>
      </c>
      <c r="N869" s="157" t="s">
        <v>114</v>
      </c>
      <c r="O869" s="157" t="s">
        <v>1221</v>
      </c>
      <c r="P869" s="161" t="b">
        <v>1</v>
      </c>
      <c r="Q869" s="158">
        <v>0.327223</v>
      </c>
      <c r="R869" s="158">
        <v>0.014901011</v>
      </c>
      <c r="S869" s="158">
        <v>0.312321989</v>
      </c>
      <c r="T869" s="157" t="s">
        <v>114</v>
      </c>
      <c r="U869" s="46" t="s">
        <v>651</v>
      </c>
      <c r="V869" s="46" t="b">
        <v>1</v>
      </c>
      <c r="W869" s="46">
        <v>0.95</v>
      </c>
      <c r="X869" s="46">
        <v>0.01415596045</v>
      </c>
      <c r="Y869" s="46" t="s">
        <v>640</v>
      </c>
      <c r="Z869" s="46" t="b">
        <v>0</v>
      </c>
      <c r="AA869" s="46" t="b">
        <v>0</v>
      </c>
    </row>
    <row r="870">
      <c r="A870" s="157" t="s">
        <v>556</v>
      </c>
      <c r="B870" s="158">
        <v>1.0</v>
      </c>
      <c r="C870" s="157" t="s">
        <v>642</v>
      </c>
      <c r="D870" s="157" t="s">
        <v>643</v>
      </c>
      <c r="E870" s="157" t="s">
        <v>644</v>
      </c>
      <c r="F870" s="157" t="s">
        <v>2844</v>
      </c>
      <c r="G870" s="157" t="s">
        <v>2426</v>
      </c>
      <c r="H870" s="157"/>
      <c r="I870" s="158">
        <v>2.32505</v>
      </c>
      <c r="J870" s="158">
        <v>48.91189</v>
      </c>
      <c r="K870" s="157" t="s">
        <v>966</v>
      </c>
      <c r="L870" s="157" t="s">
        <v>648</v>
      </c>
      <c r="M870" s="158">
        <v>2022.0</v>
      </c>
      <c r="N870" s="157" t="s">
        <v>649</v>
      </c>
      <c r="O870" s="157" t="s">
        <v>650</v>
      </c>
      <c r="P870" s="161" t="b">
        <v>0</v>
      </c>
      <c r="Q870" s="158">
        <v>0.204</v>
      </c>
      <c r="R870" s="158">
        <v>0.014795385</v>
      </c>
      <c r="S870" s="158">
        <v>0.189204615</v>
      </c>
      <c r="T870" s="157" t="s">
        <v>594</v>
      </c>
      <c r="U870" s="46" t="s">
        <v>651</v>
      </c>
      <c r="V870" s="46" t="b">
        <v>1</v>
      </c>
      <c r="W870" s="46">
        <v>0.95</v>
      </c>
      <c r="X870" s="46">
        <v>0.0140556157499999</v>
      </c>
      <c r="Y870" s="46">
        <v>0.282501252439669</v>
      </c>
      <c r="Z870" s="46" t="b">
        <v>1</v>
      </c>
      <c r="AA870" s="46" t="b">
        <v>1</v>
      </c>
    </row>
    <row r="871">
      <c r="A871" s="157" t="s">
        <v>561</v>
      </c>
      <c r="B871" s="158">
        <v>8.0</v>
      </c>
      <c r="C871" s="157" t="s">
        <v>1175</v>
      </c>
      <c r="D871" s="157" t="s">
        <v>1176</v>
      </c>
      <c r="E871" s="157" t="s">
        <v>1177</v>
      </c>
      <c r="F871" s="157" t="s">
        <v>2845</v>
      </c>
      <c r="G871" s="157" t="s">
        <v>2846</v>
      </c>
      <c r="H871" s="157"/>
      <c r="I871" s="158">
        <v>-6.12817</v>
      </c>
      <c r="J871" s="158">
        <v>36.658576</v>
      </c>
      <c r="K871" s="157" t="s">
        <v>2847</v>
      </c>
      <c r="L871" s="157" t="s">
        <v>648</v>
      </c>
      <c r="M871" s="158">
        <v>2022.0</v>
      </c>
      <c r="N871" s="157" t="s">
        <v>552</v>
      </c>
      <c r="O871" s="157" t="s">
        <v>1181</v>
      </c>
      <c r="P871" s="161" t="b">
        <v>1</v>
      </c>
      <c r="Q871" s="158">
        <v>0.112</v>
      </c>
      <c r="R871" s="158">
        <v>0.01472719</v>
      </c>
      <c r="S871" s="158">
        <v>0.09727281</v>
      </c>
      <c r="T871" s="157" t="s">
        <v>552</v>
      </c>
      <c r="U871" s="46" t="s">
        <v>651</v>
      </c>
      <c r="V871" s="46" t="b">
        <v>1</v>
      </c>
      <c r="W871" s="46">
        <v>0.95</v>
      </c>
      <c r="X871" s="46">
        <v>0.0139908304999999</v>
      </c>
      <c r="Y871" s="46" t="s">
        <v>640</v>
      </c>
      <c r="Z871" s="46" t="b">
        <v>0</v>
      </c>
      <c r="AA871" s="46" t="b">
        <v>0</v>
      </c>
    </row>
    <row r="872">
      <c r="A872" s="157" t="s">
        <v>559</v>
      </c>
      <c r="B872" s="158">
        <v>4.0</v>
      </c>
      <c r="C872" s="157" t="s">
        <v>1092</v>
      </c>
      <c r="D872" s="157" t="s">
        <v>1093</v>
      </c>
      <c r="E872" s="157" t="s">
        <v>1094</v>
      </c>
      <c r="F872" s="157" t="s">
        <v>2848</v>
      </c>
      <c r="G872" s="157" t="s">
        <v>2849</v>
      </c>
      <c r="H872" s="157"/>
      <c r="I872" s="158">
        <v>11.5921</v>
      </c>
      <c r="J872" s="158">
        <v>44.856</v>
      </c>
      <c r="K872" s="157" t="s">
        <v>1661</v>
      </c>
      <c r="L872" s="157" t="s">
        <v>648</v>
      </c>
      <c r="M872" s="158">
        <v>2022.0</v>
      </c>
      <c r="N872" s="157" t="s">
        <v>201</v>
      </c>
      <c r="O872" s="157" t="s">
        <v>1098</v>
      </c>
      <c r="P872" s="161" t="b">
        <v>1</v>
      </c>
      <c r="Q872" s="158">
        <v>0.264046</v>
      </c>
      <c r="R872" s="158">
        <v>0.014720334</v>
      </c>
      <c r="S872" s="158">
        <v>0.249325666</v>
      </c>
      <c r="T872" s="157" t="s">
        <v>201</v>
      </c>
      <c r="U872" s="46" t="s">
        <v>651</v>
      </c>
      <c r="V872" s="46" t="b">
        <v>1</v>
      </c>
      <c r="W872" s="46">
        <v>0.95</v>
      </c>
      <c r="X872" s="46">
        <v>0.0139843172999999</v>
      </c>
      <c r="Y872" s="46">
        <v>0.812099658490923</v>
      </c>
      <c r="Z872" s="46" t="b">
        <v>1</v>
      </c>
      <c r="AA872" s="46" t="b">
        <v>1</v>
      </c>
    </row>
    <row r="873">
      <c r="A873" s="157" t="s">
        <v>559</v>
      </c>
      <c r="B873" s="158">
        <v>3.0</v>
      </c>
      <c r="C873" s="157" t="s">
        <v>1215</v>
      </c>
      <c r="D873" s="157" t="s">
        <v>1216</v>
      </c>
      <c r="E873" s="157" t="s">
        <v>1217</v>
      </c>
      <c r="F873" s="157" t="s">
        <v>2850</v>
      </c>
      <c r="G873" s="157" t="s">
        <v>2851</v>
      </c>
      <c r="H873" s="157"/>
      <c r="I873" s="158">
        <v>14.725278</v>
      </c>
      <c r="J873" s="158">
        <v>36.903056</v>
      </c>
      <c r="K873" s="157" t="s">
        <v>2852</v>
      </c>
      <c r="L873" s="157" t="s">
        <v>648</v>
      </c>
      <c r="M873" s="158">
        <v>2022.0</v>
      </c>
      <c r="N873" s="157" t="s">
        <v>114</v>
      </c>
      <c r="O873" s="157" t="s">
        <v>1221</v>
      </c>
      <c r="P873" s="161" t="b">
        <v>1</v>
      </c>
      <c r="Q873" s="158">
        <v>0.322083</v>
      </c>
      <c r="R873" s="158">
        <v>0.014666947</v>
      </c>
      <c r="S873" s="158">
        <v>0.307416053</v>
      </c>
      <c r="T873" s="157" t="s">
        <v>114</v>
      </c>
      <c r="U873" s="46" t="s">
        <v>651</v>
      </c>
      <c r="V873" s="46" t="b">
        <v>1</v>
      </c>
      <c r="W873" s="46">
        <v>0.95</v>
      </c>
      <c r="X873" s="46">
        <v>0.01393359965</v>
      </c>
      <c r="Y873" s="46" t="s">
        <v>640</v>
      </c>
      <c r="Z873" s="46" t="b">
        <v>0</v>
      </c>
      <c r="AA873" s="46" t="b">
        <v>0</v>
      </c>
    </row>
    <row r="874">
      <c r="A874" s="157" t="s">
        <v>556</v>
      </c>
      <c r="B874" s="158">
        <v>8.0</v>
      </c>
      <c r="C874" s="157" t="s">
        <v>1175</v>
      </c>
      <c r="D874" s="157" t="s">
        <v>1176</v>
      </c>
      <c r="E874" s="157" t="s">
        <v>1177</v>
      </c>
      <c r="F874" s="157" t="s">
        <v>2853</v>
      </c>
      <c r="G874" s="157" t="s">
        <v>2854</v>
      </c>
      <c r="H874" s="157"/>
      <c r="I874" s="158">
        <v>4.16283</v>
      </c>
      <c r="J874" s="158">
        <v>49.35026</v>
      </c>
      <c r="K874" s="157" t="s">
        <v>2314</v>
      </c>
      <c r="L874" s="157" t="s">
        <v>648</v>
      </c>
      <c r="M874" s="158">
        <v>2022.0</v>
      </c>
      <c r="N874" s="157" t="s">
        <v>552</v>
      </c>
      <c r="O874" s="157" t="s">
        <v>1181</v>
      </c>
      <c r="P874" s="161" t="b">
        <v>1</v>
      </c>
      <c r="Q874" s="158">
        <v>0.111</v>
      </c>
      <c r="R874" s="158">
        <v>0.014595697</v>
      </c>
      <c r="S874" s="158">
        <v>0.096404303</v>
      </c>
      <c r="T874" s="157" t="s">
        <v>552</v>
      </c>
      <c r="U874" s="46" t="s">
        <v>651</v>
      </c>
      <c r="V874" s="46" t="b">
        <v>1</v>
      </c>
      <c r="W874" s="46">
        <v>0.95</v>
      </c>
      <c r="X874" s="46">
        <v>0.01386591215</v>
      </c>
      <c r="Y874" s="46">
        <v>105.204288519645</v>
      </c>
      <c r="Z874" s="46" t="b">
        <v>0</v>
      </c>
      <c r="AA874" s="46" t="b">
        <v>0</v>
      </c>
    </row>
    <row r="875">
      <c r="A875" s="157" t="s">
        <v>556</v>
      </c>
      <c r="B875" s="158">
        <v>2.0</v>
      </c>
      <c r="C875" s="157" t="s">
        <v>916</v>
      </c>
      <c r="D875" s="157" t="s">
        <v>1203</v>
      </c>
      <c r="E875" s="157" t="s">
        <v>1204</v>
      </c>
      <c r="F875" s="157" t="s">
        <v>2855</v>
      </c>
      <c r="G875" s="157" t="s">
        <v>2856</v>
      </c>
      <c r="H875" s="157"/>
      <c r="I875" s="158">
        <v>5.81144</v>
      </c>
      <c r="J875" s="158">
        <v>45.9061</v>
      </c>
      <c r="K875" s="157" t="s">
        <v>2857</v>
      </c>
      <c r="L875" s="157" t="s">
        <v>648</v>
      </c>
      <c r="M875" s="158">
        <v>2022.0</v>
      </c>
      <c r="N875" s="157" t="s">
        <v>549</v>
      </c>
      <c r="O875" s="157" t="s">
        <v>1208</v>
      </c>
      <c r="P875" s="161" t="b">
        <v>1</v>
      </c>
      <c r="Q875" s="158">
        <v>0.217</v>
      </c>
      <c r="R875" s="158">
        <v>0.014573629</v>
      </c>
      <c r="S875" s="158">
        <v>0.202426371</v>
      </c>
      <c r="T875" s="157" t="s">
        <v>549</v>
      </c>
      <c r="U875" s="46" t="s">
        <v>651</v>
      </c>
      <c r="V875" s="46" t="b">
        <v>1</v>
      </c>
      <c r="W875" s="46">
        <v>0.95</v>
      </c>
      <c r="X875" s="46">
        <v>0.0138449475499999</v>
      </c>
      <c r="Y875" s="46">
        <v>74.0549970844438</v>
      </c>
      <c r="Z875" s="46" t="b">
        <v>0</v>
      </c>
      <c r="AA875" s="46" t="b">
        <v>1</v>
      </c>
    </row>
    <row r="876">
      <c r="A876" s="157" t="s">
        <v>559</v>
      </c>
      <c r="B876" s="158">
        <v>1.0</v>
      </c>
      <c r="C876" s="157" t="s">
        <v>642</v>
      </c>
      <c r="D876" s="157" t="s">
        <v>643</v>
      </c>
      <c r="E876" s="157" t="s">
        <v>644</v>
      </c>
      <c r="F876" s="157" t="s">
        <v>2858</v>
      </c>
      <c r="G876" s="157" t="s">
        <v>2859</v>
      </c>
      <c r="H876" s="157"/>
      <c r="I876" s="158">
        <v>7.4847</v>
      </c>
      <c r="J876" s="158">
        <v>44.5942</v>
      </c>
      <c r="K876" s="157" t="s">
        <v>2860</v>
      </c>
      <c r="L876" s="157" t="s">
        <v>648</v>
      </c>
      <c r="M876" s="158">
        <v>2022.0</v>
      </c>
      <c r="N876" s="157" t="s">
        <v>649</v>
      </c>
      <c r="O876" s="157" t="s">
        <v>650</v>
      </c>
      <c r="P876" s="161" t="b">
        <v>0</v>
      </c>
      <c r="Q876" s="158">
        <v>0.200333</v>
      </c>
      <c r="R876" s="158">
        <v>0.014529431</v>
      </c>
      <c r="S876" s="158">
        <v>0.185803569</v>
      </c>
      <c r="T876" s="157" t="s">
        <v>594</v>
      </c>
      <c r="U876" s="46" t="s">
        <v>651</v>
      </c>
      <c r="V876" s="46" t="b">
        <v>1</v>
      </c>
      <c r="W876" s="46">
        <v>0.95</v>
      </c>
      <c r="X876" s="46">
        <v>0.0138029594499999</v>
      </c>
      <c r="Y876" s="46">
        <v>117.961857542642</v>
      </c>
      <c r="Z876" s="46" t="b">
        <v>0</v>
      </c>
      <c r="AA876" s="46" t="b">
        <v>0</v>
      </c>
    </row>
    <row r="877">
      <c r="A877" s="157" t="s">
        <v>564</v>
      </c>
      <c r="B877" s="158">
        <v>3.0</v>
      </c>
      <c r="C877" s="157" t="s">
        <v>1215</v>
      </c>
      <c r="D877" s="157" t="s">
        <v>1371</v>
      </c>
      <c r="E877" s="157" t="s">
        <v>1372</v>
      </c>
      <c r="F877" s="157" t="s">
        <v>2861</v>
      </c>
      <c r="G877" s="157" t="s">
        <v>2862</v>
      </c>
      <c r="H877" s="157"/>
      <c r="I877" s="158">
        <v>6.5464</v>
      </c>
      <c r="J877" s="158">
        <v>46.6557</v>
      </c>
      <c r="K877" s="157" t="s">
        <v>2863</v>
      </c>
      <c r="L877" s="157" t="s">
        <v>648</v>
      </c>
      <c r="M877" s="158">
        <v>2021.0</v>
      </c>
      <c r="N877" s="157" t="s">
        <v>114</v>
      </c>
      <c r="O877" s="157" t="s">
        <v>1376</v>
      </c>
      <c r="P877" s="161" t="b">
        <v>1</v>
      </c>
      <c r="Q877" s="158">
        <v>0.377</v>
      </c>
      <c r="R877" s="158">
        <v>0.014524935</v>
      </c>
      <c r="S877" s="158">
        <v>0.362475065</v>
      </c>
      <c r="T877" s="157" t="s">
        <v>114</v>
      </c>
      <c r="U877" s="46" t="s">
        <v>651</v>
      </c>
      <c r="V877" s="46" t="b">
        <v>1</v>
      </c>
      <c r="W877" s="46">
        <v>0.95</v>
      </c>
      <c r="X877" s="46">
        <v>0.0137986882499999</v>
      </c>
      <c r="Y877" s="46">
        <v>132.673603783619</v>
      </c>
      <c r="Z877" s="46" t="b">
        <v>0</v>
      </c>
      <c r="AA877" s="46" t="b">
        <v>0</v>
      </c>
    </row>
    <row r="878">
      <c r="A878" s="157" t="s">
        <v>561</v>
      </c>
      <c r="B878" s="158">
        <v>1.0</v>
      </c>
      <c r="C878" s="157" t="s">
        <v>642</v>
      </c>
      <c r="D878" s="157" t="s">
        <v>643</v>
      </c>
      <c r="E878" s="157" t="s">
        <v>644</v>
      </c>
      <c r="F878" s="157" t="s">
        <v>2864</v>
      </c>
      <c r="G878" s="157" t="s">
        <v>2865</v>
      </c>
      <c r="H878" s="157"/>
      <c r="I878" s="158">
        <v>-4.500743</v>
      </c>
      <c r="J878" s="158">
        <v>37.361209</v>
      </c>
      <c r="K878" s="157" t="s">
        <v>2866</v>
      </c>
      <c r="L878" s="157" t="s">
        <v>648</v>
      </c>
      <c r="M878" s="158">
        <v>2022.0</v>
      </c>
      <c r="N878" s="157" t="s">
        <v>649</v>
      </c>
      <c r="O878" s="157" t="s">
        <v>650</v>
      </c>
      <c r="P878" s="161" t="b">
        <v>0</v>
      </c>
      <c r="Q878" s="158">
        <v>0.199</v>
      </c>
      <c r="R878" s="158">
        <v>0.014432753</v>
      </c>
      <c r="S878" s="158">
        <v>0.184567247</v>
      </c>
      <c r="T878" s="157" t="s">
        <v>594</v>
      </c>
      <c r="U878" s="46" t="s">
        <v>651</v>
      </c>
      <c r="V878" s="46" t="b">
        <v>1</v>
      </c>
      <c r="W878" s="46">
        <v>0.95</v>
      </c>
      <c r="X878" s="46">
        <v>0.0137111153499999</v>
      </c>
      <c r="Y878" s="46" t="s">
        <v>640</v>
      </c>
      <c r="Z878" s="46" t="b">
        <v>0</v>
      </c>
      <c r="AA878" s="46" t="b">
        <v>0</v>
      </c>
    </row>
    <row r="879">
      <c r="A879" s="157" t="s">
        <v>561</v>
      </c>
      <c r="B879" s="158">
        <v>1.0</v>
      </c>
      <c r="C879" s="157" t="s">
        <v>642</v>
      </c>
      <c r="D879" s="157" t="s">
        <v>643</v>
      </c>
      <c r="E879" s="157" t="s">
        <v>644</v>
      </c>
      <c r="F879" s="157" t="s">
        <v>2867</v>
      </c>
      <c r="G879" s="157" t="s">
        <v>2868</v>
      </c>
      <c r="H879" s="157"/>
      <c r="I879" s="158">
        <v>-4.810097</v>
      </c>
      <c r="J879" s="158">
        <v>37.451988</v>
      </c>
      <c r="K879" s="157" t="s">
        <v>2869</v>
      </c>
      <c r="L879" s="157" t="s">
        <v>648</v>
      </c>
      <c r="M879" s="158">
        <v>2022.0</v>
      </c>
      <c r="N879" s="157" t="s">
        <v>649</v>
      </c>
      <c r="O879" s="157" t="s">
        <v>650</v>
      </c>
      <c r="P879" s="161" t="b">
        <v>0</v>
      </c>
      <c r="Q879" s="158">
        <v>0.198</v>
      </c>
      <c r="R879" s="158">
        <v>0.014360227</v>
      </c>
      <c r="S879" s="158">
        <v>0.183639773</v>
      </c>
      <c r="T879" s="157" t="s">
        <v>594</v>
      </c>
      <c r="U879" s="46" t="s">
        <v>651</v>
      </c>
      <c r="V879" s="46" t="b">
        <v>1</v>
      </c>
      <c r="W879" s="46">
        <v>0.95</v>
      </c>
      <c r="X879" s="46">
        <v>0.01364221565</v>
      </c>
      <c r="Y879" s="46" t="s">
        <v>640</v>
      </c>
      <c r="Z879" s="46" t="b">
        <v>0</v>
      </c>
      <c r="AA879" s="46" t="b">
        <v>0</v>
      </c>
    </row>
    <row r="880">
      <c r="A880" s="157" t="s">
        <v>559</v>
      </c>
      <c r="B880" s="158">
        <v>3.0</v>
      </c>
      <c r="C880" s="157" t="s">
        <v>1215</v>
      </c>
      <c r="D880" s="157" t="s">
        <v>1216</v>
      </c>
      <c r="E880" s="157" t="s">
        <v>1217</v>
      </c>
      <c r="F880" s="157" t="s">
        <v>2870</v>
      </c>
      <c r="G880" s="157" t="s">
        <v>2871</v>
      </c>
      <c r="H880" s="157"/>
      <c r="I880" s="158">
        <v>12.7394</v>
      </c>
      <c r="J880" s="158">
        <v>46.1778</v>
      </c>
      <c r="K880" s="157" t="s">
        <v>2872</v>
      </c>
      <c r="L880" s="157" t="s">
        <v>648</v>
      </c>
      <c r="M880" s="158">
        <v>2022.0</v>
      </c>
      <c r="N880" s="157" t="s">
        <v>114</v>
      </c>
      <c r="O880" s="157" t="s">
        <v>1221</v>
      </c>
      <c r="P880" s="161" t="b">
        <v>1</v>
      </c>
      <c r="Q880" s="158">
        <v>0.315027</v>
      </c>
      <c r="R880" s="158">
        <v>0.014345632</v>
      </c>
      <c r="S880" s="158">
        <v>0.300681368</v>
      </c>
      <c r="T880" s="157" t="s">
        <v>114</v>
      </c>
      <c r="U880" s="46" t="s">
        <v>651</v>
      </c>
      <c r="V880" s="46" t="b">
        <v>1</v>
      </c>
      <c r="W880" s="46">
        <v>0.95</v>
      </c>
      <c r="X880" s="46">
        <v>0.0136283504</v>
      </c>
      <c r="Y880" s="46">
        <v>87.6512615258167</v>
      </c>
      <c r="Z880" s="46" t="b">
        <v>0</v>
      </c>
      <c r="AA880" s="46" t="b">
        <v>1</v>
      </c>
    </row>
    <row r="881">
      <c r="A881" s="157" t="s">
        <v>558</v>
      </c>
      <c r="B881" s="158">
        <v>3.0</v>
      </c>
      <c r="C881" s="157" t="s">
        <v>1215</v>
      </c>
      <c r="D881" s="157" t="s">
        <v>2113</v>
      </c>
      <c r="E881" s="157" t="s">
        <v>2114</v>
      </c>
      <c r="F881" s="157" t="s">
        <v>2873</v>
      </c>
      <c r="G881" s="157" t="s">
        <v>2874</v>
      </c>
      <c r="H881" s="157"/>
      <c r="I881" s="158">
        <v>-8.84746</v>
      </c>
      <c r="J881" s="158">
        <v>39.44757</v>
      </c>
      <c r="K881" s="157" t="s">
        <v>2875</v>
      </c>
      <c r="L881" s="157" t="s">
        <v>648</v>
      </c>
      <c r="M881" s="158">
        <v>2022.0</v>
      </c>
      <c r="N881" s="157" t="s">
        <v>114</v>
      </c>
      <c r="O881" s="157" t="s">
        <v>2118</v>
      </c>
      <c r="P881" s="161" t="b">
        <v>1</v>
      </c>
      <c r="Q881" s="158">
        <v>0.316</v>
      </c>
      <c r="R881" s="158">
        <v>0.014222981</v>
      </c>
      <c r="S881" s="158">
        <v>0.301777019</v>
      </c>
      <c r="T881" s="157" t="s">
        <v>114</v>
      </c>
      <c r="U881" s="46" t="s">
        <v>651</v>
      </c>
      <c r="V881" s="46" t="b">
        <v>1</v>
      </c>
      <c r="W881" s="46">
        <v>0.95</v>
      </c>
      <c r="X881" s="46">
        <v>0.01351183195</v>
      </c>
      <c r="Y881" s="46" t="s">
        <v>640</v>
      </c>
      <c r="Z881" s="46" t="b">
        <v>0</v>
      </c>
      <c r="AA881" s="46" t="b">
        <v>0</v>
      </c>
    </row>
    <row r="882">
      <c r="A882" s="157" t="s">
        <v>572</v>
      </c>
      <c r="B882" s="158">
        <v>1.0</v>
      </c>
      <c r="C882" s="157" t="s">
        <v>642</v>
      </c>
      <c r="D882" s="157" t="s">
        <v>643</v>
      </c>
      <c r="E882" s="157" t="s">
        <v>644</v>
      </c>
      <c r="F882" s="157" t="s">
        <v>2876</v>
      </c>
      <c r="G882" s="157" t="s">
        <v>2877</v>
      </c>
      <c r="H882" s="157"/>
      <c r="I882" s="158">
        <v>27.04849</v>
      </c>
      <c r="J882" s="158">
        <v>36.82242</v>
      </c>
      <c r="K882" s="157" t="s">
        <v>2878</v>
      </c>
      <c r="L882" s="157" t="s">
        <v>648</v>
      </c>
      <c r="M882" s="158">
        <v>2022.0</v>
      </c>
      <c r="N882" s="157" t="s">
        <v>649</v>
      </c>
      <c r="O882" s="157" t="s">
        <v>650</v>
      </c>
      <c r="P882" s="161" t="b">
        <v>0</v>
      </c>
      <c r="Q882" s="158">
        <v>0.196</v>
      </c>
      <c r="R882" s="158">
        <v>0.014215174</v>
      </c>
      <c r="S882" s="158">
        <v>0.181784826</v>
      </c>
      <c r="T882" s="157" t="s">
        <v>594</v>
      </c>
      <c r="U882" s="46" t="s">
        <v>651</v>
      </c>
      <c r="V882" s="46" t="b">
        <v>1</v>
      </c>
      <c r="W882" s="46">
        <v>0.95</v>
      </c>
      <c r="X882" s="46">
        <v>0.0135044153</v>
      </c>
      <c r="Y882" s="46" t="s">
        <v>640</v>
      </c>
      <c r="Z882" s="46" t="b">
        <v>0</v>
      </c>
      <c r="AA882" s="46" t="b">
        <v>0</v>
      </c>
    </row>
    <row r="883">
      <c r="A883" s="157" t="s">
        <v>556</v>
      </c>
      <c r="B883" s="158">
        <v>3.0</v>
      </c>
      <c r="C883" s="157" t="s">
        <v>1215</v>
      </c>
      <c r="D883" s="157" t="s">
        <v>1371</v>
      </c>
      <c r="E883" s="157" t="s">
        <v>1372</v>
      </c>
      <c r="F883" s="157" t="s">
        <v>2879</v>
      </c>
      <c r="G883" s="157" t="s">
        <v>2215</v>
      </c>
      <c r="H883" s="157"/>
      <c r="I883" s="158">
        <v>5.39075</v>
      </c>
      <c r="J883" s="158">
        <v>43.42341</v>
      </c>
      <c r="K883" s="157" t="s">
        <v>2880</v>
      </c>
      <c r="L883" s="157" t="s">
        <v>648</v>
      </c>
      <c r="M883" s="158">
        <v>2022.0</v>
      </c>
      <c r="N883" s="157" t="s">
        <v>114</v>
      </c>
      <c r="O883" s="157" t="s">
        <v>1376</v>
      </c>
      <c r="P883" s="161" t="b">
        <v>1</v>
      </c>
      <c r="Q883" s="158">
        <v>0.368</v>
      </c>
      <c r="R883" s="158">
        <v>0.014178186</v>
      </c>
      <c r="S883" s="158">
        <v>0.353821814</v>
      </c>
      <c r="T883" s="157" t="s">
        <v>114</v>
      </c>
      <c r="U883" s="46" t="s">
        <v>651</v>
      </c>
      <c r="V883" s="46" t="b">
        <v>1</v>
      </c>
      <c r="W883" s="46">
        <v>0.95</v>
      </c>
      <c r="X883" s="46">
        <v>0.0134692767</v>
      </c>
      <c r="Y883" s="46">
        <v>54.8006728572838</v>
      </c>
      <c r="Z883" s="46" t="b">
        <v>0</v>
      </c>
      <c r="AA883" s="46" t="b">
        <v>1</v>
      </c>
    </row>
    <row r="884">
      <c r="A884" s="157" t="s">
        <v>574</v>
      </c>
      <c r="B884" s="158">
        <v>3.0</v>
      </c>
      <c r="C884" s="157" t="s">
        <v>1215</v>
      </c>
      <c r="D884" s="157" t="s">
        <v>1371</v>
      </c>
      <c r="E884" s="157" t="s">
        <v>1372</v>
      </c>
      <c r="F884" s="162" t="s">
        <v>2881</v>
      </c>
      <c r="G884" s="157" t="s">
        <v>2882</v>
      </c>
      <c r="H884" s="157"/>
      <c r="I884" s="158">
        <v>20.842372</v>
      </c>
      <c r="J884" s="158">
        <v>48.592156</v>
      </c>
      <c r="K884" s="157" t="s">
        <v>2883</v>
      </c>
      <c r="L884" s="157" t="s">
        <v>648</v>
      </c>
      <c r="M884" s="158">
        <v>2017.0</v>
      </c>
      <c r="N884" s="157" t="s">
        <v>114</v>
      </c>
      <c r="O884" s="157" t="s">
        <v>1376</v>
      </c>
      <c r="P884" s="161" t="b">
        <v>1</v>
      </c>
      <c r="Q884" s="158">
        <v>0.368</v>
      </c>
      <c r="R884" s="158">
        <v>0.014178186</v>
      </c>
      <c r="S884" s="158">
        <v>0.353821814</v>
      </c>
      <c r="T884" s="157" t="s">
        <v>114</v>
      </c>
      <c r="U884" s="46" t="s">
        <v>651</v>
      </c>
      <c r="V884" s="46" t="b">
        <v>1</v>
      </c>
      <c r="W884" s="46">
        <v>0.95</v>
      </c>
      <c r="X884" s="46">
        <v>0.0134692767</v>
      </c>
      <c r="Y884" s="46" t="s">
        <v>640</v>
      </c>
      <c r="Z884" s="46" t="b">
        <v>0</v>
      </c>
      <c r="AA884" s="46" t="b">
        <v>0</v>
      </c>
    </row>
    <row r="885">
      <c r="A885" s="157" t="s">
        <v>566</v>
      </c>
      <c r="B885" s="158">
        <v>3.0</v>
      </c>
      <c r="C885" s="157" t="s">
        <v>1215</v>
      </c>
      <c r="D885" s="157" t="s">
        <v>1216</v>
      </c>
      <c r="E885" s="157" t="s">
        <v>1217</v>
      </c>
      <c r="F885" s="157" t="s">
        <v>2884</v>
      </c>
      <c r="G885" s="157" t="s">
        <v>2885</v>
      </c>
      <c r="H885" s="157"/>
      <c r="I885" s="158">
        <v>20.2093277</v>
      </c>
      <c r="J885" s="158">
        <v>50.85796738</v>
      </c>
      <c r="K885" s="157" t="s">
        <v>2886</v>
      </c>
      <c r="L885" s="157" t="s">
        <v>648</v>
      </c>
      <c r="M885" s="158">
        <v>2022.0</v>
      </c>
      <c r="N885" s="157" t="s">
        <v>114</v>
      </c>
      <c r="O885" s="157" t="s">
        <v>1221</v>
      </c>
      <c r="P885" s="161" t="b">
        <v>1</v>
      </c>
      <c r="Q885" s="158">
        <v>0.311</v>
      </c>
      <c r="R885" s="158">
        <v>0.014162251</v>
      </c>
      <c r="S885" s="158">
        <v>0.296837749</v>
      </c>
      <c r="T885" s="157" t="s">
        <v>114</v>
      </c>
      <c r="U885" s="46" t="s">
        <v>651</v>
      </c>
      <c r="V885" s="46" t="b">
        <v>1</v>
      </c>
      <c r="W885" s="46">
        <v>0.95</v>
      </c>
      <c r="X885" s="46">
        <v>0.01345413845</v>
      </c>
      <c r="Y885" s="46" t="s">
        <v>640</v>
      </c>
      <c r="Z885" s="46" t="b">
        <v>0</v>
      </c>
      <c r="AA885" s="46" t="b">
        <v>0</v>
      </c>
    </row>
    <row r="886">
      <c r="A886" s="157" t="s">
        <v>569</v>
      </c>
      <c r="B886" s="158">
        <v>8.0</v>
      </c>
      <c r="C886" s="157" t="s">
        <v>1175</v>
      </c>
      <c r="D886" s="157" t="s">
        <v>1176</v>
      </c>
      <c r="E886" s="157" t="s">
        <v>1177</v>
      </c>
      <c r="F886" s="157" t="s">
        <v>2887</v>
      </c>
      <c r="G886" s="157" t="s">
        <v>2888</v>
      </c>
      <c r="H886" s="157"/>
      <c r="I886" s="158">
        <v>20.29166</v>
      </c>
      <c r="J886" s="158">
        <v>47.040111</v>
      </c>
      <c r="K886" s="157" t="s">
        <v>2889</v>
      </c>
      <c r="L886" s="157" t="s">
        <v>648</v>
      </c>
      <c r="M886" s="158">
        <v>2022.0</v>
      </c>
      <c r="N886" s="157" t="s">
        <v>552</v>
      </c>
      <c r="O886" s="157" t="s">
        <v>1181</v>
      </c>
      <c r="P886" s="161" t="b">
        <v>1</v>
      </c>
      <c r="Q886" s="158">
        <v>0.10728238</v>
      </c>
      <c r="R886" s="158">
        <v>0.014106857</v>
      </c>
      <c r="S886" s="158">
        <v>0.093175523</v>
      </c>
      <c r="T886" s="157" t="s">
        <v>552</v>
      </c>
      <c r="U886" s="46" t="s">
        <v>651</v>
      </c>
      <c r="V886" s="46" t="b">
        <v>1</v>
      </c>
      <c r="W886" s="46">
        <v>0.95</v>
      </c>
      <c r="X886" s="46">
        <v>0.01340151415</v>
      </c>
      <c r="Y886" s="46" t="s">
        <v>640</v>
      </c>
      <c r="Z886" s="46" t="b">
        <v>0</v>
      </c>
      <c r="AA886" s="46" t="b">
        <v>0</v>
      </c>
    </row>
    <row r="887">
      <c r="A887" s="157" t="s">
        <v>561</v>
      </c>
      <c r="B887" s="158">
        <v>3.0</v>
      </c>
      <c r="C887" s="157" t="s">
        <v>1215</v>
      </c>
      <c r="D887" s="157" t="s">
        <v>1371</v>
      </c>
      <c r="E887" s="157" t="s">
        <v>1372</v>
      </c>
      <c r="F887" s="157" t="s">
        <v>2890</v>
      </c>
      <c r="G887" s="157" t="s">
        <v>2891</v>
      </c>
      <c r="H887" s="157"/>
      <c r="I887" s="158">
        <v>-4.162595</v>
      </c>
      <c r="J887" s="158">
        <v>42.874835</v>
      </c>
      <c r="K887" s="157" t="s">
        <v>2892</v>
      </c>
      <c r="L887" s="157" t="s">
        <v>648</v>
      </c>
      <c r="M887" s="158">
        <v>2022.0</v>
      </c>
      <c r="N887" s="157" t="s">
        <v>114</v>
      </c>
      <c r="O887" s="157" t="s">
        <v>1376</v>
      </c>
      <c r="P887" s="161" t="b">
        <v>1</v>
      </c>
      <c r="Q887" s="158">
        <v>0.366</v>
      </c>
      <c r="R887" s="158">
        <v>0.01410113</v>
      </c>
      <c r="S887" s="158">
        <v>0.35189887</v>
      </c>
      <c r="T887" s="157" t="s">
        <v>114</v>
      </c>
      <c r="U887" s="46" t="s">
        <v>651</v>
      </c>
      <c r="V887" s="46" t="b">
        <v>1</v>
      </c>
      <c r="W887" s="46">
        <v>0.95</v>
      </c>
      <c r="X887" s="46">
        <v>0.0133960735</v>
      </c>
      <c r="Y887" s="46" t="s">
        <v>640</v>
      </c>
      <c r="Z887" s="46" t="b">
        <v>0</v>
      </c>
      <c r="AA887" s="46" t="b">
        <v>0</v>
      </c>
    </row>
    <row r="888">
      <c r="A888" s="157" t="s">
        <v>572</v>
      </c>
      <c r="B888" s="158">
        <v>1.0</v>
      </c>
      <c r="C888" s="157" t="s">
        <v>642</v>
      </c>
      <c r="D888" s="157" t="s">
        <v>643</v>
      </c>
      <c r="E888" s="157" t="s">
        <v>644</v>
      </c>
      <c r="F888" s="157" t="s">
        <v>2893</v>
      </c>
      <c r="G888" s="157" t="s">
        <v>2894</v>
      </c>
      <c r="H888" s="157"/>
      <c r="I888" s="158">
        <v>25.47789</v>
      </c>
      <c r="J888" s="158">
        <v>36.41309</v>
      </c>
      <c r="K888" s="157" t="s">
        <v>2895</v>
      </c>
      <c r="L888" s="157" t="s">
        <v>648</v>
      </c>
      <c r="M888" s="158">
        <v>2022.0</v>
      </c>
      <c r="N888" s="157" t="s">
        <v>649</v>
      </c>
      <c r="O888" s="157" t="s">
        <v>650</v>
      </c>
      <c r="P888" s="161" t="b">
        <v>0</v>
      </c>
      <c r="Q888" s="158">
        <v>0.194</v>
      </c>
      <c r="R888" s="158">
        <v>0.014070121</v>
      </c>
      <c r="S888" s="158">
        <v>0.179929879</v>
      </c>
      <c r="T888" s="157" t="s">
        <v>594</v>
      </c>
      <c r="U888" s="46" t="s">
        <v>651</v>
      </c>
      <c r="V888" s="46" t="b">
        <v>1</v>
      </c>
      <c r="W888" s="46">
        <v>0.95</v>
      </c>
      <c r="X888" s="46">
        <v>0.01336661495</v>
      </c>
      <c r="Y888" s="46" t="s">
        <v>640</v>
      </c>
      <c r="Z888" s="46" t="b">
        <v>0</v>
      </c>
      <c r="AA888" s="46" t="b">
        <v>0</v>
      </c>
    </row>
    <row r="889">
      <c r="A889" s="157" t="s">
        <v>566</v>
      </c>
      <c r="B889" s="158">
        <v>1.0</v>
      </c>
      <c r="C889" s="157" t="s">
        <v>642</v>
      </c>
      <c r="D889" s="157" t="s">
        <v>643</v>
      </c>
      <c r="E889" s="157" t="s">
        <v>644</v>
      </c>
      <c r="F889" s="157" t="s">
        <v>2896</v>
      </c>
      <c r="G889" s="157" t="s">
        <v>2897</v>
      </c>
      <c r="H889" s="157"/>
      <c r="I889" s="158">
        <v>19.05249977</v>
      </c>
      <c r="J889" s="158">
        <v>49.81194305</v>
      </c>
      <c r="K889" s="157" t="s">
        <v>2898</v>
      </c>
      <c r="L889" s="157" t="s">
        <v>648</v>
      </c>
      <c r="M889" s="158">
        <v>2022.0</v>
      </c>
      <c r="N889" s="157" t="s">
        <v>649</v>
      </c>
      <c r="O889" s="157" t="s">
        <v>650</v>
      </c>
      <c r="P889" s="161" t="b">
        <v>0</v>
      </c>
      <c r="Q889" s="158">
        <v>0.194</v>
      </c>
      <c r="R889" s="158">
        <v>0.014070121</v>
      </c>
      <c r="S889" s="158">
        <v>0.179929879</v>
      </c>
      <c r="T889" s="157" t="s">
        <v>594</v>
      </c>
      <c r="U889" s="46" t="s">
        <v>651</v>
      </c>
      <c r="V889" s="46" t="b">
        <v>1</v>
      </c>
      <c r="W889" s="46">
        <v>0.95</v>
      </c>
      <c r="X889" s="46">
        <v>0.01336661495</v>
      </c>
      <c r="Y889" s="46" t="s">
        <v>640</v>
      </c>
      <c r="Z889" s="46" t="b">
        <v>0</v>
      </c>
      <c r="AA889" s="46" t="b">
        <v>0</v>
      </c>
    </row>
    <row r="890">
      <c r="A890" s="157" t="s">
        <v>557</v>
      </c>
      <c r="B890" s="158">
        <v>6.0</v>
      </c>
      <c r="C890" s="157" t="s">
        <v>659</v>
      </c>
      <c r="D890" s="157" t="s">
        <v>717</v>
      </c>
      <c r="E890" s="157" t="s">
        <v>718</v>
      </c>
      <c r="F890" s="162" t="s">
        <v>2899</v>
      </c>
      <c r="G890" s="157" t="s">
        <v>2900</v>
      </c>
      <c r="H890" s="157"/>
      <c r="I890" s="158">
        <v>9.68161925929006</v>
      </c>
      <c r="J890" s="158">
        <v>50.5675105604299</v>
      </c>
      <c r="K890" s="157" t="s">
        <v>2901</v>
      </c>
      <c r="L890" s="157" t="s">
        <v>648</v>
      </c>
      <c r="M890" s="158">
        <v>2022.0</v>
      </c>
      <c r="N890" s="157" t="s">
        <v>123</v>
      </c>
      <c r="O890" s="157" t="s">
        <v>722</v>
      </c>
      <c r="P890" s="161" t="b">
        <v>1</v>
      </c>
      <c r="Q890" s="158">
        <v>0.174</v>
      </c>
      <c r="R890" s="158">
        <v>0.014</v>
      </c>
      <c r="S890" s="158">
        <v>0.16</v>
      </c>
      <c r="T890" s="157" t="s">
        <v>123</v>
      </c>
      <c r="U890" s="46" t="s">
        <v>651</v>
      </c>
      <c r="V890" s="46" t="b">
        <v>1</v>
      </c>
      <c r="W890" s="46">
        <v>0.95</v>
      </c>
      <c r="X890" s="46">
        <v>0.0133</v>
      </c>
      <c r="Y890" s="46">
        <v>74.3386431389514</v>
      </c>
      <c r="Z890" s="46" t="b">
        <v>0</v>
      </c>
      <c r="AA890" s="46" t="b">
        <v>1</v>
      </c>
    </row>
    <row r="891">
      <c r="A891" s="157" t="s">
        <v>556</v>
      </c>
      <c r="B891" s="158">
        <v>1.0</v>
      </c>
      <c r="C891" s="157" t="s">
        <v>642</v>
      </c>
      <c r="D891" s="157" t="s">
        <v>643</v>
      </c>
      <c r="E891" s="157" t="s">
        <v>644</v>
      </c>
      <c r="F891" s="157" t="s">
        <v>2902</v>
      </c>
      <c r="G891" s="157" t="s">
        <v>2903</v>
      </c>
      <c r="H891" s="157"/>
      <c r="I891" s="158">
        <v>5.1671</v>
      </c>
      <c r="J891" s="158">
        <v>43.51</v>
      </c>
      <c r="K891" s="157" t="s">
        <v>2294</v>
      </c>
      <c r="L891" s="157" t="s">
        <v>648</v>
      </c>
      <c r="M891" s="158">
        <v>2022.0</v>
      </c>
      <c r="N891" s="157" t="s">
        <v>649</v>
      </c>
      <c r="O891" s="157" t="s">
        <v>650</v>
      </c>
      <c r="P891" s="161" t="b">
        <v>0</v>
      </c>
      <c r="Q891" s="158">
        <v>0.193</v>
      </c>
      <c r="R891" s="158">
        <v>0.013997595</v>
      </c>
      <c r="S891" s="158">
        <v>0.179002405</v>
      </c>
      <c r="T891" s="157" t="s">
        <v>594</v>
      </c>
      <c r="U891" s="46" t="s">
        <v>651</v>
      </c>
      <c r="V891" s="46" t="b">
        <v>1</v>
      </c>
      <c r="W891" s="46">
        <v>0.95</v>
      </c>
      <c r="X891" s="46">
        <v>0.01329771525</v>
      </c>
      <c r="Y891" s="46">
        <v>35.4919358228913</v>
      </c>
      <c r="Z891" s="46" t="b">
        <v>1</v>
      </c>
      <c r="AA891" s="46" t="b">
        <v>1</v>
      </c>
    </row>
    <row r="892">
      <c r="A892" s="157" t="s">
        <v>569</v>
      </c>
      <c r="B892" s="158">
        <v>1.0</v>
      </c>
      <c r="C892" s="157" t="s">
        <v>642</v>
      </c>
      <c r="D892" s="157" t="s">
        <v>643</v>
      </c>
      <c r="E892" s="157" t="s">
        <v>644</v>
      </c>
      <c r="F892" s="157" t="s">
        <v>2904</v>
      </c>
      <c r="G892" s="157" t="s">
        <v>2905</v>
      </c>
      <c r="H892" s="157"/>
      <c r="I892" s="158">
        <v>21.630453</v>
      </c>
      <c r="J892" s="158">
        <v>47.518647</v>
      </c>
      <c r="K892" s="157" t="s">
        <v>2906</v>
      </c>
      <c r="L892" s="157" t="s">
        <v>648</v>
      </c>
      <c r="M892" s="158">
        <v>2022.0</v>
      </c>
      <c r="N892" s="157" t="s">
        <v>649</v>
      </c>
      <c r="O892" s="157" t="s">
        <v>650</v>
      </c>
      <c r="P892" s="161" t="b">
        <v>0</v>
      </c>
      <c r="Q892" s="158">
        <v>0.192857</v>
      </c>
      <c r="R892" s="158">
        <v>0.013987223</v>
      </c>
      <c r="S892" s="158">
        <v>0.178869777</v>
      </c>
      <c r="T892" s="157" t="s">
        <v>594</v>
      </c>
      <c r="U892" s="46" t="s">
        <v>651</v>
      </c>
      <c r="V892" s="46" t="b">
        <v>1</v>
      </c>
      <c r="W892" s="46">
        <v>0.95</v>
      </c>
      <c r="X892" s="46">
        <v>0.0132878618499999</v>
      </c>
      <c r="Y892" s="46" t="s">
        <v>640</v>
      </c>
      <c r="Z892" s="46" t="b">
        <v>0</v>
      </c>
      <c r="AA892" s="46" t="b">
        <v>0</v>
      </c>
    </row>
    <row r="893">
      <c r="A893" s="157" t="s">
        <v>562</v>
      </c>
      <c r="B893" s="158">
        <v>1.0</v>
      </c>
      <c r="C893" s="157" t="s">
        <v>642</v>
      </c>
      <c r="D893" s="157" t="s">
        <v>2370</v>
      </c>
      <c r="E893" s="157" t="s">
        <v>2371</v>
      </c>
      <c r="F893" s="162" t="s">
        <v>2907</v>
      </c>
      <c r="G893" s="157" t="s">
        <v>2908</v>
      </c>
      <c r="H893" s="157"/>
      <c r="I893" s="158">
        <v>4.32261</v>
      </c>
      <c r="J893" s="158">
        <v>51.27011</v>
      </c>
      <c r="K893" s="157" t="s">
        <v>2148</v>
      </c>
      <c r="L893" s="157" t="s">
        <v>648</v>
      </c>
      <c r="M893" s="158">
        <v>2022.0</v>
      </c>
      <c r="N893" s="157" t="s">
        <v>547</v>
      </c>
      <c r="O893" s="157" t="s">
        <v>2371</v>
      </c>
      <c r="P893" s="161" t="b">
        <v>1</v>
      </c>
      <c r="Q893" s="158">
        <v>3.71</v>
      </c>
      <c r="R893" s="158">
        <v>0.013957863</v>
      </c>
      <c r="S893" s="158">
        <v>3.696042137</v>
      </c>
      <c r="T893" s="157" t="s">
        <v>547</v>
      </c>
      <c r="U893" s="46" t="s">
        <v>651</v>
      </c>
      <c r="V893" s="46" t="b">
        <v>1</v>
      </c>
      <c r="W893" s="46">
        <v>0.95</v>
      </c>
      <c r="X893" s="46">
        <v>0.0132599698499999</v>
      </c>
      <c r="Y893" s="46">
        <v>4.12959571321656</v>
      </c>
      <c r="Z893" s="46" t="b">
        <v>1</v>
      </c>
      <c r="AA893" s="46" t="b">
        <v>1</v>
      </c>
    </row>
    <row r="894">
      <c r="A894" s="157" t="s">
        <v>564</v>
      </c>
      <c r="B894" s="158">
        <v>3.0</v>
      </c>
      <c r="C894" s="157" t="s">
        <v>1215</v>
      </c>
      <c r="D894" s="157" t="s">
        <v>1371</v>
      </c>
      <c r="E894" s="157" t="s">
        <v>1372</v>
      </c>
      <c r="F894" s="157" t="s">
        <v>2909</v>
      </c>
      <c r="G894" s="157" t="s">
        <v>2910</v>
      </c>
      <c r="H894" s="157"/>
      <c r="I894" s="158">
        <v>7.2493</v>
      </c>
      <c r="J894" s="158">
        <v>47.1848</v>
      </c>
      <c r="K894" s="157" t="s">
        <v>2911</v>
      </c>
      <c r="L894" s="157" t="s">
        <v>648</v>
      </c>
      <c r="M894" s="158">
        <v>2021.0</v>
      </c>
      <c r="N894" s="157" t="s">
        <v>114</v>
      </c>
      <c r="O894" s="157" t="s">
        <v>1376</v>
      </c>
      <c r="P894" s="161" t="b">
        <v>1</v>
      </c>
      <c r="Q894" s="158">
        <v>0.36</v>
      </c>
      <c r="R894" s="158">
        <v>0.013869964</v>
      </c>
      <c r="S894" s="158">
        <v>0.346130036</v>
      </c>
      <c r="T894" s="157" t="s">
        <v>114</v>
      </c>
      <c r="U894" s="46" t="s">
        <v>651</v>
      </c>
      <c r="V894" s="46" t="b">
        <v>1</v>
      </c>
      <c r="W894" s="46">
        <v>0.95</v>
      </c>
      <c r="X894" s="46">
        <v>0.0131764658</v>
      </c>
      <c r="Y894" s="46">
        <v>61.9211407431701</v>
      </c>
      <c r="Z894" s="46" t="b">
        <v>0</v>
      </c>
      <c r="AA894" s="46" t="b">
        <v>1</v>
      </c>
    </row>
    <row r="895">
      <c r="A895" s="157" t="s">
        <v>560</v>
      </c>
      <c r="B895" s="158">
        <v>1.0</v>
      </c>
      <c r="C895" s="157" t="s">
        <v>642</v>
      </c>
      <c r="D895" s="157" t="s">
        <v>643</v>
      </c>
      <c r="E895" s="157" t="s">
        <v>644</v>
      </c>
      <c r="F895" s="157" t="s">
        <v>2912</v>
      </c>
      <c r="G895" s="157" t="s">
        <v>2913</v>
      </c>
      <c r="H895" s="157"/>
      <c r="I895" s="158">
        <v>13.814333</v>
      </c>
      <c r="J895" s="158">
        <v>47.980611</v>
      </c>
      <c r="K895" s="157" t="s">
        <v>2914</v>
      </c>
      <c r="L895" s="157" t="s">
        <v>648</v>
      </c>
      <c r="M895" s="158">
        <v>2022.0</v>
      </c>
      <c r="N895" s="157" t="s">
        <v>649</v>
      </c>
      <c r="O895" s="157" t="s">
        <v>650</v>
      </c>
      <c r="P895" s="161" t="b">
        <v>0</v>
      </c>
      <c r="Q895" s="158">
        <v>0.191</v>
      </c>
      <c r="R895" s="158">
        <v>0.013852542</v>
      </c>
      <c r="S895" s="158">
        <v>0.177147458</v>
      </c>
      <c r="T895" s="157" t="s">
        <v>594</v>
      </c>
      <c r="U895" s="46" t="s">
        <v>651</v>
      </c>
      <c r="V895" s="46" t="b">
        <v>1</v>
      </c>
      <c r="W895" s="46">
        <v>0.95</v>
      </c>
      <c r="X895" s="46">
        <v>0.0131599149</v>
      </c>
      <c r="Y895" s="46">
        <v>16.1991313291258</v>
      </c>
      <c r="Z895" s="46" t="b">
        <v>1</v>
      </c>
      <c r="AA895" s="46" t="b">
        <v>1</v>
      </c>
    </row>
    <row r="896">
      <c r="A896" s="157" t="s">
        <v>561</v>
      </c>
      <c r="B896" s="158">
        <v>3.0</v>
      </c>
      <c r="C896" s="157" t="s">
        <v>1215</v>
      </c>
      <c r="D896" s="157" t="s">
        <v>1371</v>
      </c>
      <c r="E896" s="157" t="s">
        <v>1372</v>
      </c>
      <c r="F896" s="157" t="s">
        <v>2915</v>
      </c>
      <c r="G896" s="157" t="s">
        <v>2916</v>
      </c>
      <c r="H896" s="157"/>
      <c r="I896" s="158">
        <v>-0.776613</v>
      </c>
      <c r="J896" s="158">
        <v>39.437751</v>
      </c>
      <c r="K896" s="157" t="s">
        <v>2917</v>
      </c>
      <c r="L896" s="157" t="s">
        <v>648</v>
      </c>
      <c r="M896" s="158">
        <v>2022.0</v>
      </c>
      <c r="N896" s="157" t="s">
        <v>114</v>
      </c>
      <c r="O896" s="157" t="s">
        <v>1376</v>
      </c>
      <c r="P896" s="161" t="b">
        <v>1</v>
      </c>
      <c r="Q896" s="158">
        <v>0.359</v>
      </c>
      <c r="R896" s="158">
        <v>0.013831437</v>
      </c>
      <c r="S896" s="158">
        <v>0.345168563</v>
      </c>
      <c r="T896" s="157" t="s">
        <v>114</v>
      </c>
      <c r="U896" s="46" t="s">
        <v>651</v>
      </c>
      <c r="V896" s="46" t="b">
        <v>1</v>
      </c>
      <c r="W896" s="46">
        <v>0.95</v>
      </c>
      <c r="X896" s="46">
        <v>0.0131398651499999</v>
      </c>
      <c r="Y896" s="46" t="s">
        <v>640</v>
      </c>
      <c r="Z896" s="46" t="b">
        <v>0</v>
      </c>
      <c r="AA896" s="46" t="b">
        <v>0</v>
      </c>
    </row>
    <row r="897">
      <c r="A897" s="157" t="s">
        <v>556</v>
      </c>
      <c r="B897" s="158">
        <v>2.0</v>
      </c>
      <c r="C897" s="157" t="s">
        <v>916</v>
      </c>
      <c r="D897" s="157" t="s">
        <v>1203</v>
      </c>
      <c r="E897" s="157" t="s">
        <v>1204</v>
      </c>
      <c r="F897" s="157" t="s">
        <v>2918</v>
      </c>
      <c r="G897" s="157" t="s">
        <v>2919</v>
      </c>
      <c r="H897" s="157"/>
      <c r="I897" s="158">
        <v>2.27132</v>
      </c>
      <c r="J897" s="158">
        <v>51.0382</v>
      </c>
      <c r="K897" s="157" t="s">
        <v>2920</v>
      </c>
      <c r="L897" s="157" t="s">
        <v>648</v>
      </c>
      <c r="M897" s="158">
        <v>2022.0</v>
      </c>
      <c r="N897" s="157" t="s">
        <v>549</v>
      </c>
      <c r="O897" s="157" t="s">
        <v>1208</v>
      </c>
      <c r="P897" s="161" t="b">
        <v>1</v>
      </c>
      <c r="Q897" s="158">
        <v>0.205</v>
      </c>
      <c r="R897" s="158">
        <v>0.013767714</v>
      </c>
      <c r="S897" s="158">
        <v>0.191232286</v>
      </c>
      <c r="T897" s="157" t="s">
        <v>549</v>
      </c>
      <c r="U897" s="46" t="s">
        <v>651</v>
      </c>
      <c r="V897" s="46" t="b">
        <v>1</v>
      </c>
      <c r="W897" s="46">
        <v>0.95</v>
      </c>
      <c r="X897" s="46">
        <v>0.0130793283</v>
      </c>
      <c r="Y897" s="46">
        <v>2.44277422968921</v>
      </c>
      <c r="Z897" s="46" t="b">
        <v>1</v>
      </c>
      <c r="AA897" s="46" t="b">
        <v>1</v>
      </c>
    </row>
    <row r="898">
      <c r="A898" s="157" t="s">
        <v>569</v>
      </c>
      <c r="B898" s="158">
        <v>1.0</v>
      </c>
      <c r="C898" s="157" t="s">
        <v>642</v>
      </c>
      <c r="D898" s="157" t="s">
        <v>643</v>
      </c>
      <c r="E898" s="157" t="s">
        <v>644</v>
      </c>
      <c r="F898" s="157" t="s">
        <v>2921</v>
      </c>
      <c r="G898" s="157" t="s">
        <v>2922</v>
      </c>
      <c r="H898" s="157"/>
      <c r="I898" s="158">
        <v>18.426762</v>
      </c>
      <c r="J898" s="158">
        <v>47.560344</v>
      </c>
      <c r="K898" s="157" t="s">
        <v>2923</v>
      </c>
      <c r="L898" s="157" t="s">
        <v>648</v>
      </c>
      <c r="M898" s="158">
        <v>2022.0</v>
      </c>
      <c r="N898" s="157" t="s">
        <v>649</v>
      </c>
      <c r="O898" s="157" t="s">
        <v>650</v>
      </c>
      <c r="P898" s="161" t="b">
        <v>0</v>
      </c>
      <c r="Q898" s="158">
        <v>0.189653</v>
      </c>
      <c r="R898" s="158">
        <v>0.013754849</v>
      </c>
      <c r="S898" s="158">
        <v>0.175898151</v>
      </c>
      <c r="T898" s="157" t="s">
        <v>594</v>
      </c>
      <c r="U898" s="46" t="s">
        <v>651</v>
      </c>
      <c r="V898" s="46" t="b">
        <v>1</v>
      </c>
      <c r="W898" s="46">
        <v>0.95</v>
      </c>
      <c r="X898" s="46">
        <v>0.0130671065499999</v>
      </c>
      <c r="Y898" s="46" t="s">
        <v>640</v>
      </c>
      <c r="Z898" s="46" t="b">
        <v>0</v>
      </c>
      <c r="AA898" s="46" t="b">
        <v>0</v>
      </c>
    </row>
    <row r="899">
      <c r="A899" s="157" t="s">
        <v>559</v>
      </c>
      <c r="B899" s="158">
        <v>3.0</v>
      </c>
      <c r="C899" s="157" t="s">
        <v>1215</v>
      </c>
      <c r="D899" s="157" t="s">
        <v>1216</v>
      </c>
      <c r="E899" s="157" t="s">
        <v>1217</v>
      </c>
      <c r="F899" s="157" t="s">
        <v>2924</v>
      </c>
      <c r="G899" s="157" t="s">
        <v>2925</v>
      </c>
      <c r="H899" s="157"/>
      <c r="I899" s="158">
        <v>12.6178</v>
      </c>
      <c r="J899" s="158">
        <v>43.2844</v>
      </c>
      <c r="K899" s="157" t="s">
        <v>2524</v>
      </c>
      <c r="L899" s="157" t="s">
        <v>648</v>
      </c>
      <c r="M899" s="158">
        <v>2022.0</v>
      </c>
      <c r="N899" s="157" t="s">
        <v>114</v>
      </c>
      <c r="O899" s="157" t="s">
        <v>1221</v>
      </c>
      <c r="P899" s="161" t="b">
        <v>1</v>
      </c>
      <c r="Q899" s="158">
        <v>0.301883</v>
      </c>
      <c r="R899" s="158">
        <v>0.013747083</v>
      </c>
      <c r="S899" s="158">
        <v>0.288135917</v>
      </c>
      <c r="T899" s="157" t="s">
        <v>114</v>
      </c>
      <c r="U899" s="46" t="s">
        <v>651</v>
      </c>
      <c r="V899" s="46" t="b">
        <v>1</v>
      </c>
      <c r="W899" s="46">
        <v>0.95</v>
      </c>
      <c r="X899" s="46">
        <v>0.0130597288499999</v>
      </c>
      <c r="Y899" s="46" t="s">
        <v>640</v>
      </c>
      <c r="Z899" s="46" t="b">
        <v>0</v>
      </c>
      <c r="AA899" s="46" t="b">
        <v>0</v>
      </c>
    </row>
    <row r="900">
      <c r="A900" s="157" t="s">
        <v>566</v>
      </c>
      <c r="B900" s="158">
        <v>1.0</v>
      </c>
      <c r="C900" s="157" t="s">
        <v>642</v>
      </c>
      <c r="D900" s="157" t="s">
        <v>643</v>
      </c>
      <c r="E900" s="157" t="s">
        <v>644</v>
      </c>
      <c r="F900" s="157" t="s">
        <v>2926</v>
      </c>
      <c r="G900" s="157" t="s">
        <v>2927</v>
      </c>
      <c r="H900" s="157"/>
      <c r="I900" s="158">
        <v>18.29222107</v>
      </c>
      <c r="J900" s="158">
        <v>50.35719681</v>
      </c>
      <c r="K900" s="157" t="s">
        <v>2928</v>
      </c>
      <c r="L900" s="157" t="s">
        <v>648</v>
      </c>
      <c r="M900" s="158">
        <v>2022.0</v>
      </c>
      <c r="N900" s="157" t="s">
        <v>649</v>
      </c>
      <c r="O900" s="157" t="s">
        <v>650</v>
      </c>
      <c r="P900" s="161" t="b">
        <v>0</v>
      </c>
      <c r="Q900" s="158">
        <v>0.189</v>
      </c>
      <c r="R900" s="158">
        <v>0.013707489</v>
      </c>
      <c r="S900" s="158">
        <v>0.175292511</v>
      </c>
      <c r="T900" s="157" t="s">
        <v>594</v>
      </c>
      <c r="U900" s="46" t="s">
        <v>651</v>
      </c>
      <c r="V900" s="46" t="b">
        <v>1</v>
      </c>
      <c r="W900" s="46">
        <v>0.95</v>
      </c>
      <c r="X900" s="46">
        <v>0.01302211455</v>
      </c>
      <c r="Y900" s="46" t="s">
        <v>640</v>
      </c>
      <c r="Z900" s="46" t="b">
        <v>0</v>
      </c>
      <c r="AA900" s="46" t="b">
        <v>0</v>
      </c>
    </row>
    <row r="901">
      <c r="A901" s="157" t="s">
        <v>561</v>
      </c>
      <c r="B901" s="158">
        <v>1.0</v>
      </c>
      <c r="C901" s="157" t="s">
        <v>642</v>
      </c>
      <c r="D901" s="157" t="s">
        <v>643</v>
      </c>
      <c r="E901" s="157" t="s">
        <v>644</v>
      </c>
      <c r="F901" s="157" t="s">
        <v>2929</v>
      </c>
      <c r="G901" s="157" t="s">
        <v>2930</v>
      </c>
      <c r="H901" s="157"/>
      <c r="I901" s="158">
        <v>-5.412848</v>
      </c>
      <c r="J901" s="158">
        <v>36.199789</v>
      </c>
      <c r="K901" s="157" t="s">
        <v>2931</v>
      </c>
      <c r="L901" s="157" t="s">
        <v>648</v>
      </c>
      <c r="M901" s="158">
        <v>2022.0</v>
      </c>
      <c r="N901" s="157" t="s">
        <v>649</v>
      </c>
      <c r="O901" s="157" t="s">
        <v>650</v>
      </c>
      <c r="P901" s="161" t="b">
        <v>0</v>
      </c>
      <c r="Q901" s="158">
        <v>0.188</v>
      </c>
      <c r="R901" s="158">
        <v>0.013634963</v>
      </c>
      <c r="S901" s="158">
        <v>0.174365037</v>
      </c>
      <c r="T901" s="157" t="s">
        <v>594</v>
      </c>
      <c r="U901" s="46" t="s">
        <v>651</v>
      </c>
      <c r="V901" s="46" t="b">
        <v>1</v>
      </c>
      <c r="W901" s="46">
        <v>0.95</v>
      </c>
      <c r="X901" s="46">
        <v>0.0129532148499999</v>
      </c>
      <c r="Y901" s="46" t="s">
        <v>640</v>
      </c>
      <c r="Z901" s="46" t="b">
        <v>0</v>
      </c>
      <c r="AA901" s="46" t="b">
        <v>0</v>
      </c>
    </row>
    <row r="902">
      <c r="A902" s="157" t="s">
        <v>560</v>
      </c>
      <c r="B902" s="158">
        <v>1.0</v>
      </c>
      <c r="C902" s="157" t="s">
        <v>642</v>
      </c>
      <c r="D902" s="157" t="s">
        <v>643</v>
      </c>
      <c r="E902" s="157" t="s">
        <v>644</v>
      </c>
      <c r="F902" s="157" t="s">
        <v>2932</v>
      </c>
      <c r="G902" s="157" t="s">
        <v>2933</v>
      </c>
      <c r="H902" s="157"/>
      <c r="I902" s="158">
        <v>16.433333</v>
      </c>
      <c r="J902" s="158">
        <v>48.183333</v>
      </c>
      <c r="K902" s="157" t="s">
        <v>1278</v>
      </c>
      <c r="L902" s="157" t="s">
        <v>648</v>
      </c>
      <c r="M902" s="158">
        <v>2022.0</v>
      </c>
      <c r="N902" s="157" t="s">
        <v>649</v>
      </c>
      <c r="O902" s="157" t="s">
        <v>650</v>
      </c>
      <c r="P902" s="161" t="b">
        <v>0</v>
      </c>
      <c r="Q902" s="158">
        <v>0.186</v>
      </c>
      <c r="R902" s="158">
        <v>0.01348991</v>
      </c>
      <c r="S902" s="158">
        <v>0.17251009</v>
      </c>
      <c r="T902" s="157" t="s">
        <v>594</v>
      </c>
      <c r="U902" s="46" t="s">
        <v>651</v>
      </c>
      <c r="V902" s="46" t="b">
        <v>1</v>
      </c>
      <c r="W902" s="46">
        <v>0.95</v>
      </c>
      <c r="X902" s="46">
        <v>0.0128154145</v>
      </c>
      <c r="Y902" s="46" t="s">
        <v>640</v>
      </c>
      <c r="Z902" s="46" t="b">
        <v>0</v>
      </c>
      <c r="AA902" s="46" t="b">
        <v>0</v>
      </c>
    </row>
    <row r="903">
      <c r="A903" s="157" t="s">
        <v>566</v>
      </c>
      <c r="B903" s="158">
        <v>1.0</v>
      </c>
      <c r="C903" s="157" t="s">
        <v>642</v>
      </c>
      <c r="D903" s="157" t="s">
        <v>643</v>
      </c>
      <c r="E903" s="157" t="s">
        <v>644</v>
      </c>
      <c r="F903" s="157" t="s">
        <v>2934</v>
      </c>
      <c r="G903" s="157" t="s">
        <v>2935</v>
      </c>
      <c r="H903" s="157"/>
      <c r="I903" s="158">
        <v>20.51289177</v>
      </c>
      <c r="J903" s="158">
        <v>53.77098465</v>
      </c>
      <c r="K903" s="157" t="s">
        <v>2936</v>
      </c>
      <c r="L903" s="157" t="s">
        <v>648</v>
      </c>
      <c r="M903" s="158">
        <v>2022.0</v>
      </c>
      <c r="N903" s="157" t="s">
        <v>649</v>
      </c>
      <c r="O903" s="157" t="s">
        <v>650</v>
      </c>
      <c r="P903" s="161" t="b">
        <v>0</v>
      </c>
      <c r="Q903" s="158">
        <v>0.186</v>
      </c>
      <c r="R903" s="158">
        <v>0.01348991</v>
      </c>
      <c r="S903" s="158">
        <v>0.17251009</v>
      </c>
      <c r="T903" s="157" t="s">
        <v>594</v>
      </c>
      <c r="U903" s="46" t="s">
        <v>651</v>
      </c>
      <c r="V903" s="46" t="b">
        <v>1</v>
      </c>
      <c r="W903" s="46">
        <v>0.95</v>
      </c>
      <c r="X903" s="46">
        <v>0.0128154145</v>
      </c>
      <c r="Y903" s="46">
        <v>121.323901657502</v>
      </c>
      <c r="Z903" s="46" t="b">
        <v>0</v>
      </c>
      <c r="AA903" s="46" t="b">
        <v>0</v>
      </c>
    </row>
    <row r="904">
      <c r="A904" s="157" t="s">
        <v>574</v>
      </c>
      <c r="B904" s="158">
        <v>3.0</v>
      </c>
      <c r="C904" s="157" t="s">
        <v>1215</v>
      </c>
      <c r="D904" s="157" t="s">
        <v>1371</v>
      </c>
      <c r="E904" s="157" t="s">
        <v>1372</v>
      </c>
      <c r="F904" s="162" t="s">
        <v>2937</v>
      </c>
      <c r="G904" s="157" t="s">
        <v>2938</v>
      </c>
      <c r="H904" s="157"/>
      <c r="I904" s="158">
        <v>20.223414</v>
      </c>
      <c r="J904" s="158">
        <v>48.647483</v>
      </c>
      <c r="K904" s="157" t="s">
        <v>2939</v>
      </c>
      <c r="L904" s="157" t="s">
        <v>648</v>
      </c>
      <c r="M904" s="158">
        <v>2017.0</v>
      </c>
      <c r="N904" s="157" t="s">
        <v>114</v>
      </c>
      <c r="O904" s="157" t="s">
        <v>1376</v>
      </c>
      <c r="P904" s="161" t="b">
        <v>1</v>
      </c>
      <c r="Q904" s="158">
        <v>0.347</v>
      </c>
      <c r="R904" s="158">
        <v>0.013369104</v>
      </c>
      <c r="S904" s="158">
        <v>0.333630896</v>
      </c>
      <c r="T904" s="157" t="s">
        <v>114</v>
      </c>
      <c r="U904" s="46" t="s">
        <v>651</v>
      </c>
      <c r="V904" s="46" t="b">
        <v>1</v>
      </c>
      <c r="W904" s="46">
        <v>0.95</v>
      </c>
      <c r="X904" s="46">
        <v>0.0127006487999999</v>
      </c>
      <c r="Y904" s="46" t="s">
        <v>640</v>
      </c>
      <c r="Z904" s="46" t="b">
        <v>0</v>
      </c>
      <c r="AA904" s="46" t="b">
        <v>0</v>
      </c>
    </row>
    <row r="905">
      <c r="A905" s="157" t="s">
        <v>566</v>
      </c>
      <c r="B905" s="158">
        <v>1.0</v>
      </c>
      <c r="C905" s="157" t="s">
        <v>642</v>
      </c>
      <c r="D905" s="157" t="s">
        <v>643</v>
      </c>
      <c r="E905" s="157" t="s">
        <v>644</v>
      </c>
      <c r="F905" s="157" t="s">
        <v>2940</v>
      </c>
      <c r="G905" s="157" t="s">
        <v>2941</v>
      </c>
      <c r="H905" s="157"/>
      <c r="I905" s="158">
        <v>17.9201355</v>
      </c>
      <c r="J905" s="158">
        <v>50.68555069</v>
      </c>
      <c r="K905" s="157" t="s">
        <v>778</v>
      </c>
      <c r="L905" s="157" t="s">
        <v>648</v>
      </c>
      <c r="M905" s="158">
        <v>2022.0</v>
      </c>
      <c r="N905" s="157" t="s">
        <v>649</v>
      </c>
      <c r="O905" s="157" t="s">
        <v>650</v>
      </c>
      <c r="P905" s="161" t="b">
        <v>0</v>
      </c>
      <c r="Q905" s="158">
        <v>0.184</v>
      </c>
      <c r="R905" s="158">
        <v>0.013344857</v>
      </c>
      <c r="S905" s="158">
        <v>0.170655143</v>
      </c>
      <c r="T905" s="157" t="s">
        <v>594</v>
      </c>
      <c r="U905" s="46" t="s">
        <v>651</v>
      </c>
      <c r="V905" s="46" t="b">
        <v>1</v>
      </c>
      <c r="W905" s="46">
        <v>0.95</v>
      </c>
      <c r="X905" s="46">
        <v>0.0126776141499999</v>
      </c>
      <c r="Y905" s="46" t="s">
        <v>640</v>
      </c>
      <c r="Z905" s="46" t="b">
        <v>0</v>
      </c>
      <c r="AA905" s="46" t="b">
        <v>0</v>
      </c>
    </row>
    <row r="906">
      <c r="A906" s="157" t="s">
        <v>556</v>
      </c>
      <c r="B906" s="158">
        <v>1.0</v>
      </c>
      <c r="C906" s="157" t="s">
        <v>642</v>
      </c>
      <c r="D906" s="157" t="s">
        <v>643</v>
      </c>
      <c r="E906" s="157" t="s">
        <v>644</v>
      </c>
      <c r="F906" s="157" t="s">
        <v>2942</v>
      </c>
      <c r="G906" s="157" t="s">
        <v>2943</v>
      </c>
      <c r="H906" s="157"/>
      <c r="I906" s="158">
        <v>2.84918</v>
      </c>
      <c r="J906" s="158">
        <v>48.3857</v>
      </c>
      <c r="K906" s="157" t="s">
        <v>2944</v>
      </c>
      <c r="L906" s="157" t="s">
        <v>648</v>
      </c>
      <c r="M906" s="158">
        <v>2022.0</v>
      </c>
      <c r="N906" s="157" t="s">
        <v>649</v>
      </c>
      <c r="O906" s="157" t="s">
        <v>650</v>
      </c>
      <c r="P906" s="161" t="b">
        <v>0</v>
      </c>
      <c r="Q906" s="158">
        <v>0.182</v>
      </c>
      <c r="R906" s="158">
        <v>0.013199804</v>
      </c>
      <c r="S906" s="158">
        <v>0.168800196</v>
      </c>
      <c r="T906" s="157" t="s">
        <v>594</v>
      </c>
      <c r="U906" s="46" t="s">
        <v>651</v>
      </c>
      <c r="V906" s="46" t="b">
        <v>1</v>
      </c>
      <c r="W906" s="46">
        <v>0.95</v>
      </c>
      <c r="X906" s="46">
        <v>0.0125398138</v>
      </c>
      <c r="Y906" s="46">
        <v>28.5552595758315</v>
      </c>
      <c r="Z906" s="46" t="b">
        <v>1</v>
      </c>
      <c r="AA906" s="46" t="b">
        <v>1</v>
      </c>
    </row>
    <row r="907">
      <c r="A907" s="157" t="s">
        <v>556</v>
      </c>
      <c r="B907" s="158">
        <v>1.0</v>
      </c>
      <c r="C907" s="157" t="s">
        <v>642</v>
      </c>
      <c r="D907" s="157" t="s">
        <v>643</v>
      </c>
      <c r="E907" s="157" t="s">
        <v>644</v>
      </c>
      <c r="F907" s="157" t="s">
        <v>2945</v>
      </c>
      <c r="G907" s="157" t="s">
        <v>2946</v>
      </c>
      <c r="H907" s="157"/>
      <c r="I907" s="158">
        <v>45.16739</v>
      </c>
      <c r="J907" s="158">
        <v>-12.734</v>
      </c>
      <c r="K907" s="157" t="s">
        <v>2947</v>
      </c>
      <c r="L907" s="157" t="s">
        <v>648</v>
      </c>
      <c r="M907" s="158">
        <v>2022.0</v>
      </c>
      <c r="N907" s="157" t="s">
        <v>649</v>
      </c>
      <c r="O907" s="157" t="s">
        <v>650</v>
      </c>
      <c r="P907" s="161" t="b">
        <v>0</v>
      </c>
      <c r="Q907" s="158">
        <v>0.181</v>
      </c>
      <c r="R907" s="158">
        <v>0.013127278</v>
      </c>
      <c r="S907" s="158">
        <v>0.167872722</v>
      </c>
      <c r="T907" s="157" t="s">
        <v>594</v>
      </c>
      <c r="U907" s="46" t="s">
        <v>651</v>
      </c>
      <c r="V907" s="46" t="b">
        <v>1</v>
      </c>
      <c r="W907" s="46">
        <v>0.95</v>
      </c>
      <c r="X907" s="46">
        <v>0.0124709141</v>
      </c>
      <c r="Y907" s="46" t="s">
        <v>640</v>
      </c>
      <c r="Z907" s="46" t="b">
        <v>0</v>
      </c>
      <c r="AA907" s="46" t="b">
        <v>0</v>
      </c>
    </row>
    <row r="908">
      <c r="A908" s="157" t="s">
        <v>562</v>
      </c>
      <c r="B908" s="158">
        <v>2.0</v>
      </c>
      <c r="C908" s="157" t="s">
        <v>916</v>
      </c>
      <c r="D908" s="157" t="s">
        <v>1203</v>
      </c>
      <c r="E908" s="157" t="s">
        <v>1204</v>
      </c>
      <c r="F908" s="162" t="s">
        <v>2948</v>
      </c>
      <c r="G908" s="157" t="s">
        <v>2949</v>
      </c>
      <c r="H908" s="157"/>
      <c r="I908" s="158">
        <v>4.33484</v>
      </c>
      <c r="J908" s="158">
        <v>51.16771</v>
      </c>
      <c r="K908" s="157" t="s">
        <v>2148</v>
      </c>
      <c r="L908" s="157" t="s">
        <v>648</v>
      </c>
      <c r="M908" s="158">
        <v>2022.0</v>
      </c>
      <c r="N908" s="157" t="s">
        <v>549</v>
      </c>
      <c r="O908" s="157" t="s">
        <v>1208</v>
      </c>
      <c r="P908" s="161" t="b">
        <v>1</v>
      </c>
      <c r="Q908" s="158">
        <v>0.195</v>
      </c>
      <c r="R908" s="158">
        <v>0.013096118</v>
      </c>
      <c r="S908" s="158">
        <v>0.181903882</v>
      </c>
      <c r="T908" s="157" t="s">
        <v>549</v>
      </c>
      <c r="U908" s="46" t="s">
        <v>651</v>
      </c>
      <c r="V908" s="46" t="b">
        <v>1</v>
      </c>
      <c r="W908" s="46">
        <v>0.95</v>
      </c>
      <c r="X908" s="46">
        <v>0.0124413120999999</v>
      </c>
      <c r="Y908" s="46">
        <v>9.92221906052133</v>
      </c>
      <c r="Z908" s="46" t="b">
        <v>1</v>
      </c>
      <c r="AA908" s="46" t="b">
        <v>1</v>
      </c>
    </row>
    <row r="909">
      <c r="A909" s="157" t="s">
        <v>556</v>
      </c>
      <c r="B909" s="158">
        <v>2.0</v>
      </c>
      <c r="C909" s="157" t="s">
        <v>916</v>
      </c>
      <c r="D909" s="157" t="s">
        <v>1203</v>
      </c>
      <c r="E909" s="157" t="s">
        <v>1204</v>
      </c>
      <c r="F909" s="157" t="s">
        <v>2950</v>
      </c>
      <c r="G909" s="157" t="s">
        <v>2951</v>
      </c>
      <c r="H909" s="157"/>
      <c r="I909" s="158">
        <v>6.41779</v>
      </c>
      <c r="J909" s="158">
        <v>45.2343</v>
      </c>
      <c r="K909" s="157" t="s">
        <v>2952</v>
      </c>
      <c r="L909" s="157" t="s">
        <v>648</v>
      </c>
      <c r="M909" s="158">
        <v>2022.0</v>
      </c>
      <c r="N909" s="157" t="s">
        <v>549</v>
      </c>
      <c r="O909" s="157" t="s">
        <v>1208</v>
      </c>
      <c r="P909" s="161" t="b">
        <v>1</v>
      </c>
      <c r="Q909" s="158">
        <v>0.194</v>
      </c>
      <c r="R909" s="158">
        <v>0.013028959</v>
      </c>
      <c r="S909" s="158">
        <v>0.180971041</v>
      </c>
      <c r="T909" s="157" t="s">
        <v>549</v>
      </c>
      <c r="U909" s="46" t="s">
        <v>651</v>
      </c>
      <c r="V909" s="46" t="b">
        <v>1</v>
      </c>
      <c r="W909" s="46">
        <v>0.95</v>
      </c>
      <c r="X909" s="46">
        <v>0.01237751105</v>
      </c>
      <c r="Y909" s="46">
        <v>127.123403904477</v>
      </c>
      <c r="Z909" s="46" t="b">
        <v>0</v>
      </c>
      <c r="AA909" s="46" t="b">
        <v>0</v>
      </c>
    </row>
    <row r="910">
      <c r="A910" s="157" t="s">
        <v>567</v>
      </c>
      <c r="B910" s="158">
        <v>3.0</v>
      </c>
      <c r="C910" s="157" t="s">
        <v>1215</v>
      </c>
      <c r="D910" s="157" t="s">
        <v>1371</v>
      </c>
      <c r="E910" s="157" t="s">
        <v>1372</v>
      </c>
      <c r="F910" s="157" t="s">
        <v>2953</v>
      </c>
      <c r="G910" s="157" t="s">
        <v>2954</v>
      </c>
      <c r="H910" s="157"/>
      <c r="I910" s="158">
        <v>16.3739433</v>
      </c>
      <c r="J910" s="158">
        <v>68.09417</v>
      </c>
      <c r="K910" s="157" t="s">
        <v>2955</v>
      </c>
      <c r="L910" s="157" t="s">
        <v>648</v>
      </c>
      <c r="M910" s="158">
        <v>2017.0</v>
      </c>
      <c r="N910" s="157" t="s">
        <v>114</v>
      </c>
      <c r="O910" s="157" t="s">
        <v>1376</v>
      </c>
      <c r="P910" s="161" t="b">
        <v>1</v>
      </c>
      <c r="Q910" s="158">
        <v>0.401</v>
      </c>
      <c r="R910" s="158">
        <v>0.013</v>
      </c>
      <c r="S910" s="158">
        <v>0.388</v>
      </c>
      <c r="T910" s="157" t="s">
        <v>114</v>
      </c>
      <c r="U910" s="46" t="s">
        <v>651</v>
      </c>
      <c r="V910" s="46" t="b">
        <v>1</v>
      </c>
      <c r="W910" s="46">
        <v>0.95</v>
      </c>
      <c r="X910" s="46">
        <v>0.0123499999999999</v>
      </c>
      <c r="Y910" s="46" t="s">
        <v>640</v>
      </c>
      <c r="Z910" s="46" t="b">
        <v>0</v>
      </c>
      <c r="AA910" s="46" t="b">
        <v>0</v>
      </c>
    </row>
    <row r="911">
      <c r="A911" s="157" t="s">
        <v>559</v>
      </c>
      <c r="B911" s="158">
        <v>1.0</v>
      </c>
      <c r="C911" s="157" t="s">
        <v>642</v>
      </c>
      <c r="D911" s="157" t="s">
        <v>643</v>
      </c>
      <c r="E911" s="157" t="s">
        <v>644</v>
      </c>
      <c r="F911" s="157" t="s">
        <v>2956</v>
      </c>
      <c r="G911" s="157" t="s">
        <v>2957</v>
      </c>
      <c r="H911" s="157"/>
      <c r="I911" s="158">
        <v>14.441111</v>
      </c>
      <c r="J911" s="158">
        <v>37.5425</v>
      </c>
      <c r="K911" s="157" t="s">
        <v>2958</v>
      </c>
      <c r="L911" s="157" t="s">
        <v>648</v>
      </c>
      <c r="M911" s="158">
        <v>2022.0</v>
      </c>
      <c r="N911" s="157" t="s">
        <v>649</v>
      </c>
      <c r="O911" s="157" t="s">
        <v>650</v>
      </c>
      <c r="P911" s="161" t="b">
        <v>0</v>
      </c>
      <c r="Q911" s="158">
        <v>0.17795464</v>
      </c>
      <c r="R911" s="158">
        <v>0.012906409</v>
      </c>
      <c r="S911" s="158">
        <v>0.165048231</v>
      </c>
      <c r="T911" s="157" t="s">
        <v>594</v>
      </c>
      <c r="U911" s="46" t="s">
        <v>651</v>
      </c>
      <c r="V911" s="46" t="b">
        <v>1</v>
      </c>
      <c r="W911" s="46">
        <v>0.95</v>
      </c>
      <c r="X911" s="46">
        <v>0.01226108855</v>
      </c>
      <c r="Y911" s="46" t="s">
        <v>640</v>
      </c>
      <c r="Z911" s="46" t="b">
        <v>0</v>
      </c>
      <c r="AA911" s="46" t="b">
        <v>0</v>
      </c>
    </row>
    <row r="912">
      <c r="A912" s="157" t="s">
        <v>559</v>
      </c>
      <c r="B912" s="158">
        <v>3.0</v>
      </c>
      <c r="C912" s="157" t="s">
        <v>1215</v>
      </c>
      <c r="D912" s="157" t="s">
        <v>1216</v>
      </c>
      <c r="E912" s="157" t="s">
        <v>1217</v>
      </c>
      <c r="F912" s="157" t="s">
        <v>2959</v>
      </c>
      <c r="G912" s="157" t="s">
        <v>2960</v>
      </c>
      <c r="H912" s="157"/>
      <c r="I912" s="158">
        <v>13.2503</v>
      </c>
      <c r="J912" s="158">
        <v>38.190833</v>
      </c>
      <c r="K912" s="157" t="s">
        <v>2961</v>
      </c>
      <c r="L912" s="157" t="s">
        <v>648</v>
      </c>
      <c r="M912" s="158">
        <v>2022.0</v>
      </c>
      <c r="N912" s="157" t="s">
        <v>114</v>
      </c>
      <c r="O912" s="157" t="s">
        <v>1221</v>
      </c>
      <c r="P912" s="161" t="b">
        <v>1</v>
      </c>
      <c r="Q912" s="158">
        <v>0.283188</v>
      </c>
      <c r="R912" s="158">
        <v>0.012895754</v>
      </c>
      <c r="S912" s="158">
        <v>0.270292246</v>
      </c>
      <c r="T912" s="157" t="s">
        <v>114</v>
      </c>
      <c r="U912" s="46" t="s">
        <v>651</v>
      </c>
      <c r="V912" s="46" t="b">
        <v>1</v>
      </c>
      <c r="W912" s="46">
        <v>0.95</v>
      </c>
      <c r="X912" s="46">
        <v>0.0122509663</v>
      </c>
      <c r="Y912" s="46" t="s">
        <v>640</v>
      </c>
      <c r="Z912" s="46" t="b">
        <v>0</v>
      </c>
      <c r="AA912" s="46" t="b">
        <v>0</v>
      </c>
    </row>
    <row r="913">
      <c r="A913" s="157" t="s">
        <v>579</v>
      </c>
      <c r="B913" s="158">
        <v>3.0</v>
      </c>
      <c r="C913" s="157" t="s">
        <v>1215</v>
      </c>
      <c r="D913" s="157" t="s">
        <v>1371</v>
      </c>
      <c r="E913" s="157" t="s">
        <v>1372</v>
      </c>
      <c r="F913" s="157" t="s">
        <v>2962</v>
      </c>
      <c r="G913" s="157" t="s">
        <v>2963</v>
      </c>
      <c r="H913" s="157"/>
      <c r="I913" s="158">
        <v>14.12122</v>
      </c>
      <c r="J913" s="158">
        <v>44.96732</v>
      </c>
      <c r="K913" s="157" t="s">
        <v>2964</v>
      </c>
      <c r="L913" s="157" t="s">
        <v>648</v>
      </c>
      <c r="M913" s="158">
        <v>2022.0</v>
      </c>
      <c r="N913" s="157" t="s">
        <v>114</v>
      </c>
      <c r="O913" s="157" t="s">
        <v>1376</v>
      </c>
      <c r="P913" s="161" t="b">
        <v>1</v>
      </c>
      <c r="Q913" s="158">
        <v>0.332</v>
      </c>
      <c r="R913" s="158">
        <v>0.012791189</v>
      </c>
      <c r="S913" s="158">
        <v>0.319208811</v>
      </c>
      <c r="T913" s="157" t="s">
        <v>114</v>
      </c>
      <c r="U913" s="46" t="s">
        <v>651</v>
      </c>
      <c r="V913" s="46" t="b">
        <v>1</v>
      </c>
      <c r="W913" s="46">
        <v>0.95</v>
      </c>
      <c r="X913" s="46">
        <v>0.01215162955</v>
      </c>
      <c r="Y913" s="46" t="s">
        <v>640</v>
      </c>
      <c r="Z913" s="46" t="b">
        <v>0</v>
      </c>
      <c r="AA913" s="46" t="b">
        <v>0</v>
      </c>
    </row>
    <row r="914">
      <c r="A914" s="157" t="s">
        <v>556</v>
      </c>
      <c r="B914" s="158">
        <v>3.0</v>
      </c>
      <c r="C914" s="157" t="s">
        <v>1215</v>
      </c>
      <c r="D914" s="157" t="s">
        <v>1371</v>
      </c>
      <c r="E914" s="157" t="s">
        <v>1372</v>
      </c>
      <c r="F914" s="157" t="s">
        <v>2965</v>
      </c>
      <c r="G914" s="157" t="s">
        <v>2966</v>
      </c>
      <c r="H914" s="157"/>
      <c r="I914" s="158">
        <v>3.00292</v>
      </c>
      <c r="J914" s="158">
        <v>47.0902</v>
      </c>
      <c r="K914" s="157" t="s">
        <v>2967</v>
      </c>
      <c r="L914" s="157" t="s">
        <v>648</v>
      </c>
      <c r="M914" s="158">
        <v>2022.0</v>
      </c>
      <c r="N914" s="157" t="s">
        <v>114</v>
      </c>
      <c r="O914" s="157" t="s">
        <v>1376</v>
      </c>
      <c r="P914" s="161" t="b">
        <v>1</v>
      </c>
      <c r="Q914" s="158">
        <v>0.332</v>
      </c>
      <c r="R914" s="158">
        <v>0.012791189</v>
      </c>
      <c r="S914" s="158">
        <v>0.319208811</v>
      </c>
      <c r="T914" s="157" t="s">
        <v>114</v>
      </c>
      <c r="U914" s="46" t="s">
        <v>651</v>
      </c>
      <c r="V914" s="46" t="b">
        <v>1</v>
      </c>
      <c r="W914" s="46">
        <v>0.95</v>
      </c>
      <c r="X914" s="46">
        <v>0.01215162955</v>
      </c>
      <c r="Y914" s="46" t="s">
        <v>640</v>
      </c>
      <c r="Z914" s="46" t="b">
        <v>0</v>
      </c>
      <c r="AA914" s="46" t="b">
        <v>0</v>
      </c>
    </row>
    <row r="915">
      <c r="A915" s="157" t="s">
        <v>562</v>
      </c>
      <c r="B915" s="158">
        <v>1.0</v>
      </c>
      <c r="C915" s="157" t="s">
        <v>642</v>
      </c>
      <c r="D915" s="157" t="s">
        <v>643</v>
      </c>
      <c r="E915" s="157" t="s">
        <v>644</v>
      </c>
      <c r="F915" s="162" t="s">
        <v>2968</v>
      </c>
      <c r="G915" s="157" t="s">
        <v>2969</v>
      </c>
      <c r="H915" s="157"/>
      <c r="I915" s="158">
        <v>4.42339</v>
      </c>
      <c r="J915" s="158">
        <v>50.94085</v>
      </c>
      <c r="K915" s="157" t="s">
        <v>2970</v>
      </c>
      <c r="L915" s="157" t="s">
        <v>648</v>
      </c>
      <c r="M915" s="158">
        <v>2022.0</v>
      </c>
      <c r="N915" s="157" t="s">
        <v>649</v>
      </c>
      <c r="O915" s="157" t="s">
        <v>650</v>
      </c>
      <c r="P915" s="161" t="b">
        <v>0</v>
      </c>
      <c r="Q915" s="158">
        <v>0.175</v>
      </c>
      <c r="R915" s="158">
        <v>0.012692119</v>
      </c>
      <c r="S915" s="158">
        <v>0.162307881</v>
      </c>
      <c r="T915" s="157" t="s">
        <v>594</v>
      </c>
      <c r="U915" s="46" t="s">
        <v>651</v>
      </c>
      <c r="V915" s="46" t="b">
        <v>1</v>
      </c>
      <c r="W915" s="46">
        <v>0.95</v>
      </c>
      <c r="X915" s="46">
        <v>0.01205751305</v>
      </c>
      <c r="Y915" s="46">
        <v>10.1022873380021</v>
      </c>
      <c r="Z915" s="46" t="b">
        <v>1</v>
      </c>
      <c r="AA915" s="46" t="b">
        <v>1</v>
      </c>
    </row>
    <row r="916">
      <c r="A916" s="157" t="s">
        <v>556</v>
      </c>
      <c r="B916" s="158">
        <v>1.0</v>
      </c>
      <c r="C916" s="157" t="s">
        <v>642</v>
      </c>
      <c r="D916" s="157" t="s">
        <v>643</v>
      </c>
      <c r="E916" s="157" t="s">
        <v>644</v>
      </c>
      <c r="F916" s="157" t="s">
        <v>2971</v>
      </c>
      <c r="G916" s="157" t="s">
        <v>2972</v>
      </c>
      <c r="H916" s="157"/>
      <c r="I916" s="158">
        <v>-52.27228</v>
      </c>
      <c r="J916" s="158">
        <v>4.85751</v>
      </c>
      <c r="K916" s="157" t="s">
        <v>2973</v>
      </c>
      <c r="L916" s="157" t="s">
        <v>648</v>
      </c>
      <c r="M916" s="158">
        <v>2022.0</v>
      </c>
      <c r="N916" s="157" t="s">
        <v>649</v>
      </c>
      <c r="O916" s="157" t="s">
        <v>650</v>
      </c>
      <c r="P916" s="161" t="b">
        <v>0</v>
      </c>
      <c r="Q916" s="158">
        <v>0.175</v>
      </c>
      <c r="R916" s="158">
        <v>0.012692119</v>
      </c>
      <c r="S916" s="158">
        <v>0.162307881</v>
      </c>
      <c r="T916" s="157" t="s">
        <v>594</v>
      </c>
      <c r="U916" s="46" t="s">
        <v>651</v>
      </c>
      <c r="V916" s="46" t="b">
        <v>1</v>
      </c>
      <c r="W916" s="46">
        <v>0.95</v>
      </c>
      <c r="X916" s="46">
        <v>0.01205751305</v>
      </c>
      <c r="Y916" s="46" t="s">
        <v>640</v>
      </c>
      <c r="Z916" s="46" t="b">
        <v>0</v>
      </c>
      <c r="AA916" s="46" t="b">
        <v>0</v>
      </c>
    </row>
    <row r="917">
      <c r="A917" s="157" t="s">
        <v>574</v>
      </c>
      <c r="B917" s="158">
        <v>1.0</v>
      </c>
      <c r="C917" s="157" t="s">
        <v>642</v>
      </c>
      <c r="D917" s="157" t="s">
        <v>643</v>
      </c>
      <c r="E917" s="157" t="s">
        <v>644</v>
      </c>
      <c r="F917" s="162" t="s">
        <v>2974</v>
      </c>
      <c r="G917" s="157" t="s">
        <v>2975</v>
      </c>
      <c r="H917" s="157"/>
      <c r="I917" s="158">
        <v>17.153697</v>
      </c>
      <c r="J917" s="158">
        <v>48.178935</v>
      </c>
      <c r="K917" s="157" t="s">
        <v>2976</v>
      </c>
      <c r="L917" s="157" t="s">
        <v>648</v>
      </c>
      <c r="M917" s="158">
        <v>2017.0</v>
      </c>
      <c r="N917" s="157" t="s">
        <v>649</v>
      </c>
      <c r="O917" s="157" t="s">
        <v>650</v>
      </c>
      <c r="P917" s="161" t="b">
        <v>0</v>
      </c>
      <c r="Q917" s="158">
        <v>0.175</v>
      </c>
      <c r="R917" s="158">
        <v>0.012692119</v>
      </c>
      <c r="S917" s="158">
        <v>0.162307881</v>
      </c>
      <c r="T917" s="157" t="s">
        <v>594</v>
      </c>
      <c r="U917" s="46" t="s">
        <v>651</v>
      </c>
      <c r="V917" s="46" t="b">
        <v>1</v>
      </c>
      <c r="W917" s="46">
        <v>0.95</v>
      </c>
      <c r="X917" s="46">
        <v>0.01205751305</v>
      </c>
      <c r="Y917" s="46" t="s">
        <v>640</v>
      </c>
      <c r="Z917" s="46" t="b">
        <v>0</v>
      </c>
      <c r="AA917" s="46" t="b">
        <v>0</v>
      </c>
    </row>
    <row r="918">
      <c r="A918" s="157" t="s">
        <v>559</v>
      </c>
      <c r="B918" s="158">
        <v>3.0</v>
      </c>
      <c r="C918" s="157" t="s">
        <v>1215</v>
      </c>
      <c r="D918" s="157" t="s">
        <v>1216</v>
      </c>
      <c r="E918" s="157" t="s">
        <v>1217</v>
      </c>
      <c r="F918" s="157" t="s">
        <v>2977</v>
      </c>
      <c r="G918" s="157" t="s">
        <v>2978</v>
      </c>
      <c r="H918" s="157"/>
      <c r="I918" s="158">
        <v>16.2892</v>
      </c>
      <c r="J918" s="158">
        <v>41.3167</v>
      </c>
      <c r="K918" s="157" t="s">
        <v>2979</v>
      </c>
      <c r="L918" s="157" t="s">
        <v>648</v>
      </c>
      <c r="M918" s="158">
        <v>2022.0</v>
      </c>
      <c r="N918" s="157" t="s">
        <v>114</v>
      </c>
      <c r="O918" s="157" t="s">
        <v>1221</v>
      </c>
      <c r="P918" s="161" t="b">
        <v>1</v>
      </c>
      <c r="Q918" s="158">
        <v>0.275506</v>
      </c>
      <c r="R918" s="158">
        <v>0.012545933</v>
      </c>
      <c r="S918" s="158">
        <v>0.262960067</v>
      </c>
      <c r="T918" s="157" t="s">
        <v>114</v>
      </c>
      <c r="U918" s="46" t="s">
        <v>651</v>
      </c>
      <c r="V918" s="46" t="b">
        <v>1</v>
      </c>
      <c r="W918" s="46">
        <v>0.95</v>
      </c>
      <c r="X918" s="46">
        <v>0.01191863635</v>
      </c>
      <c r="Y918" s="46" t="s">
        <v>640</v>
      </c>
      <c r="Z918" s="46" t="b">
        <v>0</v>
      </c>
      <c r="AA918" s="46" t="b">
        <v>0</v>
      </c>
    </row>
    <row r="919">
      <c r="A919" s="157" t="s">
        <v>559</v>
      </c>
      <c r="B919" s="158">
        <v>1.0</v>
      </c>
      <c r="C919" s="157" t="s">
        <v>642</v>
      </c>
      <c r="D919" s="157" t="s">
        <v>643</v>
      </c>
      <c r="E919" s="157" t="s">
        <v>644</v>
      </c>
      <c r="F919" s="157" t="s">
        <v>2980</v>
      </c>
      <c r="G919" s="157" t="s">
        <v>2981</v>
      </c>
      <c r="H919" s="157"/>
      <c r="I919" s="158">
        <v>10.853472</v>
      </c>
      <c r="J919" s="158">
        <v>45.887</v>
      </c>
      <c r="K919" s="157" t="s">
        <v>2982</v>
      </c>
      <c r="L919" s="157" t="s">
        <v>648</v>
      </c>
      <c r="M919" s="158">
        <v>2022.0</v>
      </c>
      <c r="N919" s="157" t="s">
        <v>649</v>
      </c>
      <c r="O919" s="157" t="s">
        <v>650</v>
      </c>
      <c r="P919" s="161" t="b">
        <v>0</v>
      </c>
      <c r="Q919" s="158">
        <v>0.1721105</v>
      </c>
      <c r="R919" s="158">
        <v>0.012482554</v>
      </c>
      <c r="S919" s="158">
        <v>0.159627946</v>
      </c>
      <c r="T919" s="157" t="s">
        <v>594</v>
      </c>
      <c r="U919" s="46" t="s">
        <v>651</v>
      </c>
      <c r="V919" s="46" t="b">
        <v>1</v>
      </c>
      <c r="W919" s="46">
        <v>0.95</v>
      </c>
      <c r="X919" s="46">
        <v>0.0118584262999999</v>
      </c>
      <c r="Y919" s="46">
        <v>66.3916371075284</v>
      </c>
      <c r="Z919" s="46" t="b">
        <v>0</v>
      </c>
      <c r="AA919" s="46" t="b">
        <v>1</v>
      </c>
    </row>
    <row r="920">
      <c r="A920" s="157" t="s">
        <v>556</v>
      </c>
      <c r="B920" s="158">
        <v>1.0</v>
      </c>
      <c r="C920" s="157" t="s">
        <v>642</v>
      </c>
      <c r="D920" s="157" t="s">
        <v>643</v>
      </c>
      <c r="E920" s="157" t="s">
        <v>644</v>
      </c>
      <c r="F920" s="157" t="s">
        <v>2983</v>
      </c>
      <c r="G920" s="157" t="s">
        <v>2984</v>
      </c>
      <c r="H920" s="157"/>
      <c r="I920" s="158">
        <v>0.52159</v>
      </c>
      <c r="J920" s="158">
        <v>49.5344</v>
      </c>
      <c r="K920" s="157" t="s">
        <v>2985</v>
      </c>
      <c r="L920" s="157" t="s">
        <v>648</v>
      </c>
      <c r="M920" s="158">
        <v>2022.0</v>
      </c>
      <c r="N920" s="157" t="s">
        <v>649</v>
      </c>
      <c r="O920" s="157" t="s">
        <v>650</v>
      </c>
      <c r="P920" s="161" t="b">
        <v>0</v>
      </c>
      <c r="Q920" s="158">
        <v>0.171</v>
      </c>
      <c r="R920" s="158">
        <v>0.012402014</v>
      </c>
      <c r="S920" s="158">
        <v>0.158597986</v>
      </c>
      <c r="T920" s="157" t="s">
        <v>594</v>
      </c>
      <c r="U920" s="46" t="s">
        <v>651</v>
      </c>
      <c r="V920" s="46" t="b">
        <v>1</v>
      </c>
      <c r="W920" s="46">
        <v>0.95</v>
      </c>
      <c r="X920" s="46">
        <v>0.0117819132999999</v>
      </c>
      <c r="Y920" s="46">
        <v>6.6265690298941</v>
      </c>
      <c r="Z920" s="46" t="b">
        <v>1</v>
      </c>
      <c r="AA920" s="46" t="b">
        <v>1</v>
      </c>
    </row>
    <row r="921">
      <c r="A921" s="157" t="s">
        <v>558</v>
      </c>
      <c r="B921" s="158">
        <v>1.0</v>
      </c>
      <c r="C921" s="157" t="s">
        <v>642</v>
      </c>
      <c r="D921" s="157" t="s">
        <v>643</v>
      </c>
      <c r="E921" s="157" t="s">
        <v>644</v>
      </c>
      <c r="F921" s="157" t="s">
        <v>2986</v>
      </c>
      <c r="G921" s="157" t="s">
        <v>2987</v>
      </c>
      <c r="H921" s="157"/>
      <c r="I921" s="158">
        <v>-25.613451</v>
      </c>
      <c r="J921" s="158">
        <v>37.780619</v>
      </c>
      <c r="K921" s="157" t="s">
        <v>2988</v>
      </c>
      <c r="L921" s="157" t="s">
        <v>648</v>
      </c>
      <c r="M921" s="158">
        <v>2022.0</v>
      </c>
      <c r="N921" s="157" t="s">
        <v>649</v>
      </c>
      <c r="O921" s="157" t="s">
        <v>650</v>
      </c>
      <c r="P921" s="161" t="b">
        <v>0</v>
      </c>
      <c r="Q921" s="158">
        <v>0.171</v>
      </c>
      <c r="R921" s="158">
        <v>0.012402014</v>
      </c>
      <c r="S921" s="158">
        <v>0.158597986</v>
      </c>
      <c r="T921" s="157" t="s">
        <v>594</v>
      </c>
      <c r="U921" s="46" t="s">
        <v>651</v>
      </c>
      <c r="V921" s="46" t="b">
        <v>1</v>
      </c>
      <c r="W921" s="46">
        <v>0.95</v>
      </c>
      <c r="X921" s="46">
        <v>0.0117819132999999</v>
      </c>
      <c r="Y921" s="46" t="s">
        <v>640</v>
      </c>
      <c r="Z921" s="46" t="b">
        <v>0</v>
      </c>
      <c r="AA921" s="46" t="b">
        <v>0</v>
      </c>
    </row>
    <row r="922">
      <c r="A922" s="157" t="s">
        <v>559</v>
      </c>
      <c r="B922" s="158">
        <v>3.0</v>
      </c>
      <c r="C922" s="157" t="s">
        <v>1215</v>
      </c>
      <c r="D922" s="157" t="s">
        <v>1216</v>
      </c>
      <c r="E922" s="157" t="s">
        <v>1217</v>
      </c>
      <c r="F922" s="157" t="s">
        <v>2989</v>
      </c>
      <c r="G922" s="157" t="s">
        <v>2990</v>
      </c>
      <c r="H922" s="157"/>
      <c r="I922" s="158">
        <v>18.1997</v>
      </c>
      <c r="J922" s="158">
        <v>40.1678</v>
      </c>
      <c r="K922" s="157" t="s">
        <v>2991</v>
      </c>
      <c r="L922" s="157" t="s">
        <v>648</v>
      </c>
      <c r="M922" s="158">
        <v>2022.0</v>
      </c>
      <c r="N922" s="157" t="s">
        <v>114</v>
      </c>
      <c r="O922" s="157" t="s">
        <v>1221</v>
      </c>
      <c r="P922" s="161" t="b">
        <v>1</v>
      </c>
      <c r="Q922" s="158">
        <v>0.268253</v>
      </c>
      <c r="R922" s="158">
        <v>0.012215648</v>
      </c>
      <c r="S922" s="158">
        <v>0.256037352</v>
      </c>
      <c r="T922" s="157" t="s">
        <v>114</v>
      </c>
      <c r="U922" s="46" t="s">
        <v>651</v>
      </c>
      <c r="V922" s="46" t="b">
        <v>1</v>
      </c>
      <c r="W922" s="46">
        <v>0.95</v>
      </c>
      <c r="X922" s="46">
        <v>0.0116048656</v>
      </c>
      <c r="Y922" s="46" t="s">
        <v>640</v>
      </c>
      <c r="Z922" s="46" t="b">
        <v>0</v>
      </c>
      <c r="AA922" s="46" t="b">
        <v>0</v>
      </c>
    </row>
    <row r="923">
      <c r="A923" s="157" t="s">
        <v>561</v>
      </c>
      <c r="B923" s="158">
        <v>3.0</v>
      </c>
      <c r="C923" s="157" t="s">
        <v>1215</v>
      </c>
      <c r="D923" s="157" t="s">
        <v>1371</v>
      </c>
      <c r="E923" s="157" t="s">
        <v>1372</v>
      </c>
      <c r="F923" s="157" t="s">
        <v>2992</v>
      </c>
      <c r="G923" s="157" t="s">
        <v>2993</v>
      </c>
      <c r="H923" s="157"/>
      <c r="I923" s="158">
        <v>-6.670802</v>
      </c>
      <c r="J923" s="158">
        <v>37.363554</v>
      </c>
      <c r="K923" s="157" t="s">
        <v>2994</v>
      </c>
      <c r="L923" s="157" t="s">
        <v>648</v>
      </c>
      <c r="M923" s="158">
        <v>2022.0</v>
      </c>
      <c r="N923" s="157" t="s">
        <v>114</v>
      </c>
      <c r="O923" s="157" t="s">
        <v>1376</v>
      </c>
      <c r="P923" s="161" t="b">
        <v>1</v>
      </c>
      <c r="Q923" s="158">
        <v>0.317</v>
      </c>
      <c r="R923" s="158">
        <v>0.012213274</v>
      </c>
      <c r="S923" s="158">
        <v>0.304786726</v>
      </c>
      <c r="T923" s="157" t="s">
        <v>114</v>
      </c>
      <c r="U923" s="46" t="s">
        <v>651</v>
      </c>
      <c r="V923" s="46" t="b">
        <v>1</v>
      </c>
      <c r="W923" s="46">
        <v>0.95</v>
      </c>
      <c r="X923" s="46">
        <v>0.0116026103</v>
      </c>
      <c r="Y923" s="46" t="s">
        <v>640</v>
      </c>
      <c r="Z923" s="46" t="b">
        <v>0</v>
      </c>
      <c r="AA923" s="46" t="b">
        <v>0</v>
      </c>
    </row>
    <row r="924">
      <c r="A924" s="157" t="s">
        <v>561</v>
      </c>
      <c r="B924" s="158">
        <v>3.0</v>
      </c>
      <c r="C924" s="157" t="s">
        <v>1215</v>
      </c>
      <c r="D924" s="157" t="s">
        <v>1371</v>
      </c>
      <c r="E924" s="157" t="s">
        <v>1372</v>
      </c>
      <c r="F924" s="157" t="s">
        <v>2995</v>
      </c>
      <c r="G924" s="157" t="s">
        <v>2996</v>
      </c>
      <c r="H924" s="157"/>
      <c r="I924" s="158">
        <v>-2.189981</v>
      </c>
      <c r="J924" s="158">
        <v>42.882946</v>
      </c>
      <c r="K924" s="157" t="s">
        <v>2997</v>
      </c>
      <c r="L924" s="157" t="s">
        <v>648</v>
      </c>
      <c r="M924" s="158">
        <v>2022.0</v>
      </c>
      <c r="N924" s="157" t="s">
        <v>114</v>
      </c>
      <c r="O924" s="157" t="s">
        <v>1376</v>
      </c>
      <c r="P924" s="161" t="b">
        <v>1</v>
      </c>
      <c r="Q924" s="158">
        <v>0.317</v>
      </c>
      <c r="R924" s="158">
        <v>0.012213274</v>
      </c>
      <c r="S924" s="158">
        <v>0.304786726</v>
      </c>
      <c r="T924" s="157" t="s">
        <v>114</v>
      </c>
      <c r="U924" s="46" t="s">
        <v>651</v>
      </c>
      <c r="V924" s="46" t="b">
        <v>1</v>
      </c>
      <c r="W924" s="46">
        <v>0.95</v>
      </c>
      <c r="X924" s="46">
        <v>0.0116026103</v>
      </c>
      <c r="Y924" s="46">
        <v>88.1173027422572</v>
      </c>
      <c r="Z924" s="46" t="b">
        <v>0</v>
      </c>
      <c r="AA924" s="46" t="b">
        <v>1</v>
      </c>
    </row>
    <row r="925">
      <c r="A925" s="157" t="s">
        <v>580</v>
      </c>
      <c r="B925" s="158">
        <v>1.0</v>
      </c>
      <c r="C925" s="157" t="s">
        <v>642</v>
      </c>
      <c r="D925" s="157" t="s">
        <v>643</v>
      </c>
      <c r="E925" s="157" t="s">
        <v>644</v>
      </c>
      <c r="F925" s="157" t="s">
        <v>2998</v>
      </c>
      <c r="G925" s="157" t="s">
        <v>2999</v>
      </c>
      <c r="H925" s="157"/>
      <c r="I925" s="158">
        <v>24.183068</v>
      </c>
      <c r="J925" s="158">
        <v>56.989796</v>
      </c>
      <c r="K925" s="157" t="s">
        <v>3000</v>
      </c>
      <c r="L925" s="157" t="s">
        <v>648</v>
      </c>
      <c r="M925" s="158">
        <v>2022.0</v>
      </c>
      <c r="N925" s="157" t="s">
        <v>649</v>
      </c>
      <c r="O925" s="157" t="s">
        <v>650</v>
      </c>
      <c r="P925" s="161" t="b">
        <v>0</v>
      </c>
      <c r="Q925" s="158">
        <v>0.166</v>
      </c>
      <c r="R925" s="158">
        <v>0.012039382</v>
      </c>
      <c r="S925" s="158">
        <v>0.153960618</v>
      </c>
      <c r="T925" s="157" t="s">
        <v>594</v>
      </c>
      <c r="U925" s="46" t="s">
        <v>651</v>
      </c>
      <c r="V925" s="46" t="b">
        <v>1</v>
      </c>
      <c r="W925" s="46">
        <v>0.95</v>
      </c>
      <c r="X925" s="46">
        <v>0.0114374128999999</v>
      </c>
      <c r="Y925" s="46">
        <v>102.488550849511</v>
      </c>
      <c r="Z925" s="46" t="b">
        <v>0</v>
      </c>
      <c r="AA925" s="46" t="b">
        <v>0</v>
      </c>
    </row>
    <row r="926">
      <c r="A926" s="157" t="s">
        <v>563</v>
      </c>
      <c r="B926" s="158">
        <v>3.0</v>
      </c>
      <c r="C926" s="157" t="s">
        <v>1215</v>
      </c>
      <c r="D926" s="157" t="s">
        <v>1371</v>
      </c>
      <c r="E926" s="157" t="s">
        <v>1372</v>
      </c>
      <c r="F926" s="157" t="s">
        <v>3001</v>
      </c>
      <c r="G926" s="157" t="s">
        <v>3002</v>
      </c>
      <c r="H926" s="157"/>
      <c r="I926" s="158">
        <v>-3.06202</v>
      </c>
      <c r="J926" s="158">
        <v>53.15499</v>
      </c>
      <c r="K926" s="157" t="s">
        <v>3003</v>
      </c>
      <c r="L926" s="157" t="s">
        <v>648</v>
      </c>
      <c r="M926" s="158">
        <v>2019.0</v>
      </c>
      <c r="N926" s="157" t="s">
        <v>114</v>
      </c>
      <c r="O926" s="157" t="s">
        <v>1376</v>
      </c>
      <c r="P926" s="161" t="b">
        <v>1</v>
      </c>
      <c r="Q926" s="158">
        <v>0.49</v>
      </c>
      <c r="R926" s="158">
        <v>0.012</v>
      </c>
      <c r="S926" s="158">
        <v>0.478</v>
      </c>
      <c r="T926" s="157" t="s">
        <v>114</v>
      </c>
      <c r="U926" s="46" t="s">
        <v>651</v>
      </c>
      <c r="V926" s="46" t="b">
        <v>1</v>
      </c>
      <c r="W926" s="46">
        <v>0.95</v>
      </c>
      <c r="X926" s="46">
        <v>0.0114</v>
      </c>
      <c r="Y926" s="46">
        <v>19.0472764906485</v>
      </c>
      <c r="Z926" s="46" t="b">
        <v>1</v>
      </c>
      <c r="AA926" s="46" t="b">
        <v>1</v>
      </c>
    </row>
    <row r="927">
      <c r="A927" s="157" t="s">
        <v>556</v>
      </c>
      <c r="B927" s="158">
        <v>3.0</v>
      </c>
      <c r="C927" s="157" t="s">
        <v>1215</v>
      </c>
      <c r="D927" s="157" t="s">
        <v>1371</v>
      </c>
      <c r="E927" s="157" t="s">
        <v>1372</v>
      </c>
      <c r="F927" s="157" t="s">
        <v>3004</v>
      </c>
      <c r="G927" s="157" t="s">
        <v>2215</v>
      </c>
      <c r="H927" s="157"/>
      <c r="I927" s="158">
        <v>4.68449</v>
      </c>
      <c r="J927" s="158">
        <v>45.855</v>
      </c>
      <c r="K927" s="157" t="s">
        <v>3005</v>
      </c>
      <c r="L927" s="157" t="s">
        <v>648</v>
      </c>
      <c r="M927" s="158">
        <v>2022.0</v>
      </c>
      <c r="N927" s="157" t="s">
        <v>114</v>
      </c>
      <c r="O927" s="157" t="s">
        <v>1376</v>
      </c>
      <c r="P927" s="161" t="b">
        <v>1</v>
      </c>
      <c r="Q927" s="158">
        <v>0.308</v>
      </c>
      <c r="R927" s="158">
        <v>0.011866525</v>
      </c>
      <c r="S927" s="158">
        <v>0.296133475</v>
      </c>
      <c r="T927" s="157" t="s">
        <v>114</v>
      </c>
      <c r="U927" s="46" t="s">
        <v>651</v>
      </c>
      <c r="V927" s="46" t="b">
        <v>1</v>
      </c>
      <c r="W927" s="46">
        <v>0.95</v>
      </c>
      <c r="X927" s="46">
        <v>0.01127319875</v>
      </c>
      <c r="Y927" s="46">
        <v>11.6315155368525</v>
      </c>
      <c r="Z927" s="46" t="b">
        <v>1</v>
      </c>
      <c r="AA927" s="46" t="b">
        <v>1</v>
      </c>
    </row>
    <row r="928">
      <c r="A928" s="157" t="s">
        <v>565</v>
      </c>
      <c r="B928" s="158">
        <v>1.0</v>
      </c>
      <c r="C928" s="157" t="s">
        <v>642</v>
      </c>
      <c r="D928" s="157" t="s">
        <v>643</v>
      </c>
      <c r="E928" s="157" t="s">
        <v>644</v>
      </c>
      <c r="F928" s="157" t="s">
        <v>3006</v>
      </c>
      <c r="G928" s="157" t="s">
        <v>3007</v>
      </c>
      <c r="H928" s="157"/>
      <c r="I928" s="158">
        <v>13.57208569</v>
      </c>
      <c r="J928" s="158">
        <v>50.52233538</v>
      </c>
      <c r="K928" s="157" t="s">
        <v>3008</v>
      </c>
      <c r="L928" s="157" t="s">
        <v>648</v>
      </c>
      <c r="M928" s="158">
        <v>2020.0</v>
      </c>
      <c r="N928" s="157" t="s">
        <v>649</v>
      </c>
      <c r="O928" s="157" t="s">
        <v>650</v>
      </c>
      <c r="P928" s="161" t="b">
        <v>0</v>
      </c>
      <c r="Q928" s="158">
        <v>0.602731</v>
      </c>
      <c r="R928" s="158">
        <v>0.011835</v>
      </c>
      <c r="S928" s="158">
        <v>0.590896</v>
      </c>
      <c r="T928" s="157" t="s">
        <v>117</v>
      </c>
      <c r="U928" s="46" t="s">
        <v>651</v>
      </c>
      <c r="V928" s="46" t="b">
        <v>1</v>
      </c>
      <c r="W928" s="46">
        <v>0.95</v>
      </c>
      <c r="X928" s="46">
        <v>0.01124325</v>
      </c>
      <c r="Y928" s="46">
        <v>19.2760721880311</v>
      </c>
      <c r="Z928" s="46" t="b">
        <v>1</v>
      </c>
      <c r="AA928" s="46" t="b">
        <v>1</v>
      </c>
    </row>
    <row r="929">
      <c r="A929" s="157" t="s">
        <v>556</v>
      </c>
      <c r="B929" s="158">
        <v>1.0</v>
      </c>
      <c r="C929" s="157" t="s">
        <v>642</v>
      </c>
      <c r="D929" s="157" t="s">
        <v>643</v>
      </c>
      <c r="E929" s="157" t="s">
        <v>644</v>
      </c>
      <c r="F929" s="157" t="s">
        <v>3009</v>
      </c>
      <c r="G929" s="157" t="s">
        <v>3010</v>
      </c>
      <c r="H929" s="157"/>
      <c r="I929" s="158">
        <v>4.8602</v>
      </c>
      <c r="J929" s="158">
        <v>43.42011</v>
      </c>
      <c r="K929" s="157" t="s">
        <v>1000</v>
      </c>
      <c r="L929" s="157" t="s">
        <v>648</v>
      </c>
      <c r="M929" s="158">
        <v>2022.0</v>
      </c>
      <c r="N929" s="157" t="s">
        <v>649</v>
      </c>
      <c r="O929" s="157" t="s">
        <v>650</v>
      </c>
      <c r="P929" s="161" t="b">
        <v>0</v>
      </c>
      <c r="Q929" s="158">
        <v>0.163</v>
      </c>
      <c r="R929" s="158">
        <v>0.011821803</v>
      </c>
      <c r="S929" s="158">
        <v>0.151178197</v>
      </c>
      <c r="T929" s="157" t="s">
        <v>594</v>
      </c>
      <c r="U929" s="46" t="s">
        <v>651</v>
      </c>
      <c r="V929" s="46" t="b">
        <v>1</v>
      </c>
      <c r="W929" s="46">
        <v>0.95</v>
      </c>
      <c r="X929" s="46">
        <v>0.01123071285</v>
      </c>
      <c r="Y929" s="46">
        <v>16.0133726854595</v>
      </c>
      <c r="Z929" s="46" t="b">
        <v>1</v>
      </c>
      <c r="AA929" s="46" t="b">
        <v>1</v>
      </c>
    </row>
    <row r="930">
      <c r="A930" s="157" t="s">
        <v>559</v>
      </c>
      <c r="B930" s="158">
        <v>3.0</v>
      </c>
      <c r="C930" s="157" t="s">
        <v>1215</v>
      </c>
      <c r="D930" s="157" t="s">
        <v>1216</v>
      </c>
      <c r="E930" s="157" t="s">
        <v>1217</v>
      </c>
      <c r="F930" s="157" t="s">
        <v>3011</v>
      </c>
      <c r="G930" s="157" t="s">
        <v>3012</v>
      </c>
      <c r="H930" s="157"/>
      <c r="I930" s="158">
        <v>15.6736</v>
      </c>
      <c r="J930" s="158">
        <v>40.9497</v>
      </c>
      <c r="K930" s="157" t="s">
        <v>3013</v>
      </c>
      <c r="L930" s="157" t="s">
        <v>648</v>
      </c>
      <c r="M930" s="158">
        <v>2022.0</v>
      </c>
      <c r="N930" s="157" t="s">
        <v>114</v>
      </c>
      <c r="O930" s="157" t="s">
        <v>1221</v>
      </c>
      <c r="P930" s="161" t="b">
        <v>1</v>
      </c>
      <c r="Q930" s="158">
        <v>0.257538</v>
      </c>
      <c r="R930" s="158">
        <v>0.01172771</v>
      </c>
      <c r="S930" s="158">
        <v>0.24581029</v>
      </c>
      <c r="T930" s="157" t="s">
        <v>114</v>
      </c>
      <c r="U930" s="46" t="s">
        <v>651</v>
      </c>
      <c r="V930" s="46" t="b">
        <v>1</v>
      </c>
      <c r="W930" s="46">
        <v>0.95</v>
      </c>
      <c r="X930" s="46">
        <v>0.0111413245</v>
      </c>
      <c r="Y930" s="46" t="s">
        <v>640</v>
      </c>
      <c r="Z930" s="46" t="b">
        <v>0</v>
      </c>
      <c r="AA930" s="46" t="b">
        <v>0</v>
      </c>
    </row>
    <row r="931">
      <c r="A931" s="157" t="s">
        <v>561</v>
      </c>
      <c r="B931" s="158">
        <v>1.0</v>
      </c>
      <c r="C931" s="157" t="s">
        <v>642</v>
      </c>
      <c r="D931" s="157" t="s">
        <v>643</v>
      </c>
      <c r="E931" s="157" t="s">
        <v>644</v>
      </c>
      <c r="F931" s="157" t="s">
        <v>3014</v>
      </c>
      <c r="G931" s="157" t="s">
        <v>3015</v>
      </c>
      <c r="H931" s="157"/>
      <c r="I931" s="158">
        <v>-3.0</v>
      </c>
      <c r="J931" s="158">
        <v>38.167304</v>
      </c>
      <c r="K931" s="157" t="s">
        <v>3016</v>
      </c>
      <c r="L931" s="157" t="s">
        <v>648</v>
      </c>
      <c r="M931" s="158">
        <v>2022.0</v>
      </c>
      <c r="N931" s="157" t="s">
        <v>649</v>
      </c>
      <c r="O931" s="157" t="s">
        <v>650</v>
      </c>
      <c r="P931" s="161" t="b">
        <v>0</v>
      </c>
      <c r="Q931" s="158">
        <v>0.161</v>
      </c>
      <c r="R931" s="158">
        <v>0.01167675</v>
      </c>
      <c r="S931" s="158">
        <v>0.14932325</v>
      </c>
      <c r="T931" s="157" t="s">
        <v>594</v>
      </c>
      <c r="U931" s="46" t="s">
        <v>651</v>
      </c>
      <c r="V931" s="46" t="b">
        <v>1</v>
      </c>
      <c r="W931" s="46">
        <v>0.95</v>
      </c>
      <c r="X931" s="46">
        <v>0.0110929125</v>
      </c>
      <c r="Y931" s="46" t="s">
        <v>640</v>
      </c>
      <c r="Z931" s="46" t="b">
        <v>0</v>
      </c>
      <c r="AA931" s="46" t="b">
        <v>0</v>
      </c>
    </row>
    <row r="932">
      <c r="A932" s="157" t="s">
        <v>559</v>
      </c>
      <c r="B932" s="158">
        <v>1.0</v>
      </c>
      <c r="C932" s="157" t="s">
        <v>642</v>
      </c>
      <c r="D932" s="157" t="s">
        <v>643</v>
      </c>
      <c r="E932" s="157" t="s">
        <v>644</v>
      </c>
      <c r="F932" s="157" t="s">
        <v>3017</v>
      </c>
      <c r="G932" s="157" t="s">
        <v>3018</v>
      </c>
      <c r="H932" s="157"/>
      <c r="I932" s="158">
        <v>13.5906</v>
      </c>
      <c r="J932" s="158">
        <v>45.9153</v>
      </c>
      <c r="K932" s="157" t="s">
        <v>3019</v>
      </c>
      <c r="L932" s="157" t="s">
        <v>648</v>
      </c>
      <c r="M932" s="158">
        <v>2022.0</v>
      </c>
      <c r="N932" s="157" t="s">
        <v>649</v>
      </c>
      <c r="O932" s="157" t="s">
        <v>650</v>
      </c>
      <c r="P932" s="161" t="b">
        <v>0</v>
      </c>
      <c r="Q932" s="158">
        <v>0.16042988</v>
      </c>
      <c r="R932" s="158">
        <v>0.011635401</v>
      </c>
      <c r="S932" s="158">
        <v>0.148794479</v>
      </c>
      <c r="T932" s="157" t="s">
        <v>594</v>
      </c>
      <c r="U932" s="46" t="s">
        <v>651</v>
      </c>
      <c r="V932" s="46" t="b">
        <v>1</v>
      </c>
      <c r="W932" s="46">
        <v>0.95</v>
      </c>
      <c r="X932" s="46">
        <v>0.0110536309499999</v>
      </c>
      <c r="Y932" s="46">
        <v>112.452424687782</v>
      </c>
      <c r="Z932" s="46" t="b">
        <v>0</v>
      </c>
      <c r="AA932" s="46" t="b">
        <v>0</v>
      </c>
    </row>
    <row r="933">
      <c r="A933" s="157" t="s">
        <v>556</v>
      </c>
      <c r="B933" s="158">
        <v>3.0</v>
      </c>
      <c r="C933" s="157" t="s">
        <v>1215</v>
      </c>
      <c r="D933" s="157" t="s">
        <v>1371</v>
      </c>
      <c r="E933" s="157" t="s">
        <v>1372</v>
      </c>
      <c r="F933" s="157" t="s">
        <v>3020</v>
      </c>
      <c r="G933" s="157" t="s">
        <v>2603</v>
      </c>
      <c r="H933" s="157"/>
      <c r="I933" s="158">
        <v>3.42766</v>
      </c>
      <c r="J933" s="158">
        <v>46.25535</v>
      </c>
      <c r="K933" s="157" t="s">
        <v>3021</v>
      </c>
      <c r="L933" s="157" t="s">
        <v>648</v>
      </c>
      <c r="M933" s="158">
        <v>2022.0</v>
      </c>
      <c r="N933" s="157" t="s">
        <v>114</v>
      </c>
      <c r="O933" s="157" t="s">
        <v>1376</v>
      </c>
      <c r="P933" s="161" t="b">
        <v>1</v>
      </c>
      <c r="Q933" s="158">
        <v>0.3</v>
      </c>
      <c r="R933" s="158">
        <v>0.011558304</v>
      </c>
      <c r="S933" s="158">
        <v>0.288441696</v>
      </c>
      <c r="T933" s="157" t="s">
        <v>114</v>
      </c>
      <c r="U933" s="46" t="s">
        <v>651</v>
      </c>
      <c r="V933" s="46" t="b">
        <v>1</v>
      </c>
      <c r="W933" s="46">
        <v>0.95</v>
      </c>
      <c r="X933" s="46">
        <v>0.0109803888</v>
      </c>
      <c r="Y933" s="46">
        <v>113.908631786792</v>
      </c>
      <c r="Z933" s="46" t="b">
        <v>0</v>
      </c>
      <c r="AA933" s="46" t="b">
        <v>0</v>
      </c>
    </row>
    <row r="934">
      <c r="A934" s="157" t="s">
        <v>556</v>
      </c>
      <c r="B934" s="158">
        <v>2.0</v>
      </c>
      <c r="C934" s="157" t="s">
        <v>916</v>
      </c>
      <c r="D934" s="157" t="s">
        <v>1203</v>
      </c>
      <c r="E934" s="157" t="s">
        <v>1204</v>
      </c>
      <c r="F934" s="157" t="s">
        <v>3022</v>
      </c>
      <c r="G934" s="157" t="s">
        <v>2856</v>
      </c>
      <c r="H934" s="157"/>
      <c r="I934" s="158">
        <v>5.87595</v>
      </c>
      <c r="J934" s="158">
        <v>45.0727</v>
      </c>
      <c r="K934" s="157" t="s">
        <v>3023</v>
      </c>
      <c r="L934" s="157" t="s">
        <v>648</v>
      </c>
      <c r="M934" s="158">
        <v>2022.0</v>
      </c>
      <c r="N934" s="157" t="s">
        <v>549</v>
      </c>
      <c r="O934" s="157" t="s">
        <v>1208</v>
      </c>
      <c r="P934" s="161" t="b">
        <v>1</v>
      </c>
      <c r="Q934" s="158">
        <v>0.171</v>
      </c>
      <c r="R934" s="158">
        <v>0.011484288</v>
      </c>
      <c r="S934" s="158">
        <v>0.159515712</v>
      </c>
      <c r="T934" s="157" t="s">
        <v>549</v>
      </c>
      <c r="U934" s="46" t="s">
        <v>651</v>
      </c>
      <c r="V934" s="46" t="b">
        <v>1</v>
      </c>
      <c r="W934" s="46">
        <v>0.95</v>
      </c>
      <c r="X934" s="46">
        <v>0.0109100736</v>
      </c>
      <c r="Y934" s="46">
        <v>85.3965434566417</v>
      </c>
      <c r="Z934" s="46" t="b">
        <v>0</v>
      </c>
      <c r="AA934" s="46" t="b">
        <v>1</v>
      </c>
    </row>
    <row r="935">
      <c r="A935" s="157" t="s">
        <v>561</v>
      </c>
      <c r="B935" s="158">
        <v>1.0</v>
      </c>
      <c r="C935" s="157" t="s">
        <v>642</v>
      </c>
      <c r="D935" s="157" t="s">
        <v>643</v>
      </c>
      <c r="E935" s="157" t="s">
        <v>644</v>
      </c>
      <c r="F935" s="157" t="s">
        <v>3024</v>
      </c>
      <c r="G935" s="157" t="s">
        <v>3025</v>
      </c>
      <c r="H935" s="157"/>
      <c r="I935" s="158">
        <v>-17.791705</v>
      </c>
      <c r="J935" s="158">
        <v>28.662979</v>
      </c>
      <c r="K935" s="157" t="s">
        <v>3026</v>
      </c>
      <c r="L935" s="157" t="s">
        <v>648</v>
      </c>
      <c r="M935" s="158">
        <v>2022.0</v>
      </c>
      <c r="N935" s="157" t="s">
        <v>649</v>
      </c>
      <c r="O935" s="157" t="s">
        <v>650</v>
      </c>
      <c r="P935" s="161" t="b">
        <v>0</v>
      </c>
      <c r="Q935" s="158">
        <v>0.157</v>
      </c>
      <c r="R935" s="158">
        <v>0.011386644</v>
      </c>
      <c r="S935" s="158">
        <v>0.145613356</v>
      </c>
      <c r="T935" s="157" t="s">
        <v>594</v>
      </c>
      <c r="U935" s="46" t="s">
        <v>651</v>
      </c>
      <c r="V935" s="46" t="b">
        <v>1</v>
      </c>
      <c r="W935" s="46">
        <v>0.95</v>
      </c>
      <c r="X935" s="46">
        <v>0.0108173118</v>
      </c>
      <c r="Y935" s="46" t="s">
        <v>640</v>
      </c>
      <c r="Z935" s="46" t="b">
        <v>0</v>
      </c>
      <c r="AA935" s="46" t="b">
        <v>0</v>
      </c>
    </row>
    <row r="936">
      <c r="A936" s="157" t="s">
        <v>559</v>
      </c>
      <c r="B936" s="158">
        <v>4.0</v>
      </c>
      <c r="C936" s="157" t="s">
        <v>1092</v>
      </c>
      <c r="D936" s="157" t="s">
        <v>1093</v>
      </c>
      <c r="E936" s="157" t="s">
        <v>1094</v>
      </c>
      <c r="F936" s="157" t="s">
        <v>3027</v>
      </c>
      <c r="G936" s="157" t="s">
        <v>3028</v>
      </c>
      <c r="H936" s="157"/>
      <c r="I936" s="158">
        <v>12.25</v>
      </c>
      <c r="J936" s="158">
        <v>44.45</v>
      </c>
      <c r="K936" s="157" t="s">
        <v>1322</v>
      </c>
      <c r="L936" s="157" t="s">
        <v>648</v>
      </c>
      <c r="M936" s="158">
        <v>2022.0</v>
      </c>
      <c r="N936" s="157" t="s">
        <v>201</v>
      </c>
      <c r="O936" s="157" t="s">
        <v>1098</v>
      </c>
      <c r="P936" s="161" t="b">
        <v>1</v>
      </c>
      <c r="Q936" s="158">
        <v>0.204097</v>
      </c>
      <c r="R936" s="158">
        <v>0.01137823</v>
      </c>
      <c r="S936" s="158">
        <v>0.19271877</v>
      </c>
      <c r="T936" s="157" t="s">
        <v>201</v>
      </c>
      <c r="U936" s="46" t="s">
        <v>651</v>
      </c>
      <c r="V936" s="46" t="b">
        <v>1</v>
      </c>
      <c r="W936" s="46">
        <v>0.95</v>
      </c>
      <c r="X936" s="46">
        <v>0.0108093185</v>
      </c>
      <c r="Y936" s="46">
        <v>7.62399881397559</v>
      </c>
      <c r="Z936" s="46" t="b">
        <v>1</v>
      </c>
      <c r="AA936" s="46" t="b">
        <v>1</v>
      </c>
    </row>
    <row r="937">
      <c r="A937" s="157" t="s">
        <v>556</v>
      </c>
      <c r="B937" s="158">
        <v>1.0</v>
      </c>
      <c r="C937" s="157" t="s">
        <v>642</v>
      </c>
      <c r="D937" s="157" t="s">
        <v>643</v>
      </c>
      <c r="E937" s="157" t="s">
        <v>644</v>
      </c>
      <c r="F937" s="157" t="s">
        <v>3029</v>
      </c>
      <c r="G937" s="157" t="s">
        <v>3030</v>
      </c>
      <c r="H937" s="157"/>
      <c r="I937" s="158">
        <v>2.90492</v>
      </c>
      <c r="J937" s="158">
        <v>49.76085</v>
      </c>
      <c r="K937" s="157" t="s">
        <v>3031</v>
      </c>
      <c r="L937" s="157" t="s">
        <v>648</v>
      </c>
      <c r="M937" s="158">
        <v>2022.0</v>
      </c>
      <c r="N937" s="157" t="s">
        <v>649</v>
      </c>
      <c r="O937" s="157" t="s">
        <v>650</v>
      </c>
      <c r="P937" s="161" t="b">
        <v>0</v>
      </c>
      <c r="Q937" s="158">
        <v>0.155</v>
      </c>
      <c r="R937" s="158">
        <v>0.011241592</v>
      </c>
      <c r="S937" s="158">
        <v>0.143758408</v>
      </c>
      <c r="T937" s="157" t="s">
        <v>594</v>
      </c>
      <c r="U937" s="46" t="s">
        <v>651</v>
      </c>
      <c r="V937" s="46" t="b">
        <v>1</v>
      </c>
      <c r="W937" s="46">
        <v>0.95</v>
      </c>
      <c r="X937" s="46">
        <v>0.0106795123999999</v>
      </c>
      <c r="Y937" s="46">
        <v>45.7543441920282</v>
      </c>
      <c r="Z937" s="46" t="b">
        <v>1</v>
      </c>
      <c r="AA937" s="46" t="b">
        <v>1</v>
      </c>
    </row>
    <row r="938">
      <c r="A938" s="157" t="s">
        <v>574</v>
      </c>
      <c r="B938" s="158">
        <v>3.0</v>
      </c>
      <c r="C938" s="157" t="s">
        <v>1215</v>
      </c>
      <c r="D938" s="157" t="s">
        <v>1371</v>
      </c>
      <c r="E938" s="157" t="s">
        <v>1372</v>
      </c>
      <c r="F938" s="162" t="s">
        <v>3032</v>
      </c>
      <c r="G938" s="157" t="s">
        <v>3033</v>
      </c>
      <c r="H938" s="157"/>
      <c r="I938" s="158">
        <v>18.103758</v>
      </c>
      <c r="J938" s="158">
        <v>48.997314</v>
      </c>
      <c r="K938" s="157" t="s">
        <v>3034</v>
      </c>
      <c r="L938" s="157" t="s">
        <v>648</v>
      </c>
      <c r="M938" s="158">
        <v>2017.0</v>
      </c>
      <c r="N938" s="157" t="s">
        <v>114</v>
      </c>
      <c r="O938" s="157" t="s">
        <v>1376</v>
      </c>
      <c r="P938" s="161" t="b">
        <v>1</v>
      </c>
      <c r="Q938" s="158">
        <v>0.291</v>
      </c>
      <c r="R938" s="158">
        <v>0.011211554</v>
      </c>
      <c r="S938" s="158">
        <v>0.279788446</v>
      </c>
      <c r="T938" s="157" t="s">
        <v>114</v>
      </c>
      <c r="U938" s="46" t="s">
        <v>651</v>
      </c>
      <c r="V938" s="46" t="b">
        <v>1</v>
      </c>
      <c r="W938" s="46">
        <v>0.95</v>
      </c>
      <c r="X938" s="46">
        <v>0.0106509763</v>
      </c>
      <c r="Y938" s="46" t="s">
        <v>640</v>
      </c>
      <c r="Z938" s="46" t="b">
        <v>0</v>
      </c>
      <c r="AA938" s="46" t="b">
        <v>0</v>
      </c>
    </row>
    <row r="939">
      <c r="A939" s="157" t="s">
        <v>561</v>
      </c>
      <c r="B939" s="158">
        <v>1.0</v>
      </c>
      <c r="C939" s="157" t="s">
        <v>642</v>
      </c>
      <c r="D939" s="157" t="s">
        <v>643</v>
      </c>
      <c r="E939" s="157" t="s">
        <v>644</v>
      </c>
      <c r="F939" s="157" t="s">
        <v>3035</v>
      </c>
      <c r="G939" s="157" t="s">
        <v>3036</v>
      </c>
      <c r="H939" s="157"/>
      <c r="I939" s="158">
        <v>-2.668048</v>
      </c>
      <c r="J939" s="158">
        <v>42.869474</v>
      </c>
      <c r="K939" s="157" t="s">
        <v>3037</v>
      </c>
      <c r="L939" s="157" t="s">
        <v>648</v>
      </c>
      <c r="M939" s="158">
        <v>2022.0</v>
      </c>
      <c r="N939" s="157" t="s">
        <v>649</v>
      </c>
      <c r="O939" s="157" t="s">
        <v>650</v>
      </c>
      <c r="P939" s="161" t="b">
        <v>0</v>
      </c>
      <c r="Q939" s="158">
        <v>0.154</v>
      </c>
      <c r="R939" s="158">
        <v>0.011169065</v>
      </c>
      <c r="S939" s="158">
        <v>0.142830935</v>
      </c>
      <c r="T939" s="157" t="s">
        <v>594</v>
      </c>
      <c r="U939" s="46" t="s">
        <v>651</v>
      </c>
      <c r="V939" s="46" t="b">
        <v>1</v>
      </c>
      <c r="W939" s="46">
        <v>0.95</v>
      </c>
      <c r="X939" s="46">
        <v>0.01061061175</v>
      </c>
      <c r="Y939" s="46">
        <v>116.8419417406</v>
      </c>
      <c r="Z939" s="46" t="b">
        <v>0</v>
      </c>
      <c r="AA939" s="46" t="b">
        <v>0</v>
      </c>
    </row>
    <row r="940">
      <c r="A940" s="157" t="s">
        <v>560</v>
      </c>
      <c r="B940" s="158">
        <v>1.0</v>
      </c>
      <c r="C940" s="157" t="s">
        <v>642</v>
      </c>
      <c r="D940" s="157" t="s">
        <v>643</v>
      </c>
      <c r="E940" s="157" t="s">
        <v>644</v>
      </c>
      <c r="F940" s="157" t="s">
        <v>3038</v>
      </c>
      <c r="G940" s="157" t="s">
        <v>3039</v>
      </c>
      <c r="H940" s="157"/>
      <c r="I940" s="158">
        <v>15.435972</v>
      </c>
      <c r="J940" s="158">
        <v>47.048556</v>
      </c>
      <c r="K940" s="157" t="s">
        <v>3040</v>
      </c>
      <c r="L940" s="157" t="s">
        <v>648</v>
      </c>
      <c r="M940" s="158">
        <v>2022.0</v>
      </c>
      <c r="N940" s="157" t="s">
        <v>649</v>
      </c>
      <c r="O940" s="157" t="s">
        <v>650</v>
      </c>
      <c r="P940" s="161" t="b">
        <v>0</v>
      </c>
      <c r="Q940" s="158">
        <v>0.153</v>
      </c>
      <c r="R940" s="158">
        <v>0.011096539</v>
      </c>
      <c r="S940" s="158">
        <v>0.141903461</v>
      </c>
      <c r="T940" s="157" t="s">
        <v>594</v>
      </c>
      <c r="U940" s="46" t="s">
        <v>651</v>
      </c>
      <c r="V940" s="46" t="b">
        <v>1</v>
      </c>
      <c r="W940" s="46">
        <v>0.95</v>
      </c>
      <c r="X940" s="46">
        <v>0.01054171205</v>
      </c>
      <c r="Y940" s="46" t="s">
        <v>640</v>
      </c>
      <c r="Z940" s="46" t="b">
        <v>0</v>
      </c>
      <c r="AA940" s="46" t="b">
        <v>0</v>
      </c>
    </row>
    <row r="941">
      <c r="A941" s="157" t="s">
        <v>572</v>
      </c>
      <c r="B941" s="158">
        <v>1.0</v>
      </c>
      <c r="C941" s="157" t="s">
        <v>642</v>
      </c>
      <c r="D941" s="157" t="s">
        <v>643</v>
      </c>
      <c r="E941" s="157" t="s">
        <v>644</v>
      </c>
      <c r="F941" s="157" t="s">
        <v>3041</v>
      </c>
      <c r="G941" s="157" t="s">
        <v>3042</v>
      </c>
      <c r="H941" s="157"/>
      <c r="I941" s="158">
        <v>26.54913</v>
      </c>
      <c r="J941" s="158">
        <v>39.11857</v>
      </c>
      <c r="K941" s="157" t="s">
        <v>3043</v>
      </c>
      <c r="L941" s="157" t="s">
        <v>648</v>
      </c>
      <c r="M941" s="158">
        <v>2022.0</v>
      </c>
      <c r="N941" s="157" t="s">
        <v>649</v>
      </c>
      <c r="O941" s="157" t="s">
        <v>650</v>
      </c>
      <c r="P941" s="161" t="b">
        <v>0</v>
      </c>
      <c r="Q941" s="158">
        <v>0.153</v>
      </c>
      <c r="R941" s="158">
        <v>0.011096539</v>
      </c>
      <c r="S941" s="158">
        <v>0.141903461</v>
      </c>
      <c r="T941" s="157" t="s">
        <v>594</v>
      </c>
      <c r="U941" s="46" t="s">
        <v>651</v>
      </c>
      <c r="V941" s="46" t="b">
        <v>1</v>
      </c>
      <c r="W941" s="46">
        <v>0.95</v>
      </c>
      <c r="X941" s="46">
        <v>0.01054171205</v>
      </c>
      <c r="Y941" s="46" t="s">
        <v>640</v>
      </c>
      <c r="Z941" s="46" t="b">
        <v>0</v>
      </c>
      <c r="AA941" s="46" t="b">
        <v>0</v>
      </c>
    </row>
    <row r="942">
      <c r="A942" s="157" t="s">
        <v>566</v>
      </c>
      <c r="B942" s="158">
        <v>2.0</v>
      </c>
      <c r="C942" s="157" t="s">
        <v>916</v>
      </c>
      <c r="D942" s="157" t="s">
        <v>1585</v>
      </c>
      <c r="E942" s="157" t="s">
        <v>1586</v>
      </c>
      <c r="F942" s="157" t="s">
        <v>3044</v>
      </c>
      <c r="G942" s="157" t="s">
        <v>3045</v>
      </c>
      <c r="H942" s="157"/>
      <c r="I942" s="158">
        <v>19.47548866</v>
      </c>
      <c r="J942" s="158">
        <v>50.27668762</v>
      </c>
      <c r="K942" s="157" t="s">
        <v>3046</v>
      </c>
      <c r="L942" s="157" t="s">
        <v>648</v>
      </c>
      <c r="M942" s="158">
        <v>2022.0</v>
      </c>
      <c r="N942" s="157" t="s">
        <v>549</v>
      </c>
      <c r="O942" s="157" t="s">
        <v>1208</v>
      </c>
      <c r="P942" s="161" t="b">
        <v>1</v>
      </c>
      <c r="Q942" s="158">
        <v>0.165</v>
      </c>
      <c r="R942" s="158">
        <v>0.011081331</v>
      </c>
      <c r="S942" s="158">
        <v>0.153918669</v>
      </c>
      <c r="T942" s="157" t="s">
        <v>549</v>
      </c>
      <c r="U942" s="46" t="s">
        <v>651</v>
      </c>
      <c r="V942" s="46" t="b">
        <v>1</v>
      </c>
      <c r="W942" s="46">
        <v>0.95</v>
      </c>
      <c r="X942" s="46">
        <v>0.0105272644499999</v>
      </c>
      <c r="Y942" s="46" t="s">
        <v>640</v>
      </c>
      <c r="Z942" s="46" t="b">
        <v>0</v>
      </c>
      <c r="AA942" s="46" t="b">
        <v>0</v>
      </c>
    </row>
    <row r="943">
      <c r="A943" s="157" t="s">
        <v>556</v>
      </c>
      <c r="B943" s="158">
        <v>3.0</v>
      </c>
      <c r="C943" s="157" t="s">
        <v>1215</v>
      </c>
      <c r="D943" s="157" t="s">
        <v>1371</v>
      </c>
      <c r="E943" s="157" t="s">
        <v>1372</v>
      </c>
      <c r="F943" s="157" t="s">
        <v>3047</v>
      </c>
      <c r="G943" s="157" t="s">
        <v>2281</v>
      </c>
      <c r="H943" s="157"/>
      <c r="I943" s="158">
        <v>-0.27352</v>
      </c>
      <c r="J943" s="158">
        <v>49.22192</v>
      </c>
      <c r="K943" s="157" t="s">
        <v>3048</v>
      </c>
      <c r="L943" s="157" t="s">
        <v>648</v>
      </c>
      <c r="M943" s="158">
        <v>2022.0</v>
      </c>
      <c r="N943" s="157" t="s">
        <v>114</v>
      </c>
      <c r="O943" s="157" t="s">
        <v>1376</v>
      </c>
      <c r="P943" s="161" t="b">
        <v>1</v>
      </c>
      <c r="Q943" s="158">
        <v>0.287</v>
      </c>
      <c r="R943" s="158">
        <v>0.011057444</v>
      </c>
      <c r="S943" s="158">
        <v>0.275942556</v>
      </c>
      <c r="T943" s="157" t="s">
        <v>114</v>
      </c>
      <c r="U943" s="46" t="s">
        <v>651</v>
      </c>
      <c r="V943" s="46" t="b">
        <v>1</v>
      </c>
      <c r="W943" s="46">
        <v>0.95</v>
      </c>
      <c r="X943" s="46">
        <v>0.0105045718</v>
      </c>
      <c r="Y943" s="46">
        <v>40.8323427874092</v>
      </c>
      <c r="Z943" s="46" t="b">
        <v>1</v>
      </c>
      <c r="AA943" s="46" t="b">
        <v>1</v>
      </c>
    </row>
    <row r="944">
      <c r="A944" s="157" t="s">
        <v>556</v>
      </c>
      <c r="B944" s="158">
        <v>1.0</v>
      </c>
      <c r="C944" s="157" t="s">
        <v>642</v>
      </c>
      <c r="D944" s="157" t="s">
        <v>643</v>
      </c>
      <c r="E944" s="157" t="s">
        <v>644</v>
      </c>
      <c r="F944" s="157" t="s">
        <v>3049</v>
      </c>
      <c r="G944" s="157" t="s">
        <v>3050</v>
      </c>
      <c r="H944" s="157"/>
      <c r="I944" s="158">
        <v>-0.60949</v>
      </c>
      <c r="J944" s="158">
        <v>43.4312</v>
      </c>
      <c r="K944" s="157" t="s">
        <v>3051</v>
      </c>
      <c r="L944" s="157" t="s">
        <v>648</v>
      </c>
      <c r="M944" s="158">
        <v>2022.0</v>
      </c>
      <c r="N944" s="157" t="s">
        <v>649</v>
      </c>
      <c r="O944" s="157" t="s">
        <v>650</v>
      </c>
      <c r="P944" s="161" t="b">
        <v>0</v>
      </c>
      <c r="Q944" s="158">
        <v>0.152</v>
      </c>
      <c r="R944" s="158">
        <v>0.011024012</v>
      </c>
      <c r="S944" s="158">
        <v>0.140975988</v>
      </c>
      <c r="T944" s="157" t="s">
        <v>594</v>
      </c>
      <c r="U944" s="46" t="s">
        <v>651</v>
      </c>
      <c r="V944" s="46" t="b">
        <v>1</v>
      </c>
      <c r="W944" s="46">
        <v>0.95</v>
      </c>
      <c r="X944" s="46">
        <v>0.0104728113999999</v>
      </c>
      <c r="Y944" s="46">
        <v>1.16205346652897</v>
      </c>
      <c r="Z944" s="46" t="b">
        <v>1</v>
      </c>
      <c r="AA944" s="46" t="b">
        <v>1</v>
      </c>
    </row>
    <row r="945">
      <c r="A945" s="157" t="s">
        <v>561</v>
      </c>
      <c r="B945" s="158">
        <v>1.0</v>
      </c>
      <c r="C945" s="157" t="s">
        <v>642</v>
      </c>
      <c r="D945" s="157" t="s">
        <v>643</v>
      </c>
      <c r="E945" s="157" t="s">
        <v>644</v>
      </c>
      <c r="F945" s="157" t="s">
        <v>3052</v>
      </c>
      <c r="G945" s="157" t="s">
        <v>3053</v>
      </c>
      <c r="H945" s="157"/>
      <c r="I945" s="158">
        <v>-15.411372</v>
      </c>
      <c r="J945" s="158">
        <v>28.042431</v>
      </c>
      <c r="K945" s="157" t="s">
        <v>3054</v>
      </c>
      <c r="L945" s="157" t="s">
        <v>648</v>
      </c>
      <c r="M945" s="158">
        <v>2022.0</v>
      </c>
      <c r="N945" s="157" t="s">
        <v>649</v>
      </c>
      <c r="O945" s="157" t="s">
        <v>650</v>
      </c>
      <c r="P945" s="161" t="b">
        <v>0</v>
      </c>
      <c r="Q945" s="158">
        <v>0.151</v>
      </c>
      <c r="R945" s="158">
        <v>0.010951486</v>
      </c>
      <c r="S945" s="158">
        <v>0.140048514</v>
      </c>
      <c r="T945" s="157" t="s">
        <v>594</v>
      </c>
      <c r="U945" s="46" t="s">
        <v>651</v>
      </c>
      <c r="V945" s="46" t="b">
        <v>1</v>
      </c>
      <c r="W945" s="46">
        <v>0.95</v>
      </c>
      <c r="X945" s="46">
        <v>0.0104039116999999</v>
      </c>
      <c r="Y945" s="46" t="s">
        <v>640</v>
      </c>
      <c r="Z945" s="46" t="b">
        <v>0</v>
      </c>
      <c r="AA945" s="46" t="b">
        <v>0</v>
      </c>
    </row>
    <row r="946">
      <c r="A946" s="157" t="s">
        <v>561</v>
      </c>
      <c r="B946" s="158">
        <v>1.0</v>
      </c>
      <c r="C946" s="157" t="s">
        <v>642</v>
      </c>
      <c r="D946" s="157" t="s">
        <v>643</v>
      </c>
      <c r="E946" s="157" t="s">
        <v>644</v>
      </c>
      <c r="F946" s="157" t="s">
        <v>3055</v>
      </c>
      <c r="G946" s="157" t="s">
        <v>3056</v>
      </c>
      <c r="H946" s="157"/>
      <c r="I946" s="158">
        <v>-4.04713</v>
      </c>
      <c r="J946" s="158">
        <v>43.34901</v>
      </c>
      <c r="K946" s="157" t="s">
        <v>1916</v>
      </c>
      <c r="L946" s="157" t="s">
        <v>648</v>
      </c>
      <c r="M946" s="158">
        <v>2022.0</v>
      </c>
      <c r="N946" s="157" t="s">
        <v>649</v>
      </c>
      <c r="O946" s="157" t="s">
        <v>650</v>
      </c>
      <c r="P946" s="161" t="b">
        <v>0</v>
      </c>
      <c r="Q946" s="158">
        <v>0.151</v>
      </c>
      <c r="R946" s="158">
        <v>0.010951486</v>
      </c>
      <c r="S946" s="158">
        <v>0.140048514</v>
      </c>
      <c r="T946" s="157" t="s">
        <v>594</v>
      </c>
      <c r="U946" s="46" t="s">
        <v>651</v>
      </c>
      <c r="V946" s="46" t="b">
        <v>1</v>
      </c>
      <c r="W946" s="46">
        <v>0.95</v>
      </c>
      <c r="X946" s="46">
        <v>0.0104039116999999</v>
      </c>
      <c r="Y946" s="46" t="s">
        <v>640</v>
      </c>
      <c r="Z946" s="46" t="b">
        <v>0</v>
      </c>
      <c r="AA946" s="46" t="b">
        <v>0</v>
      </c>
    </row>
    <row r="947">
      <c r="A947" s="157" t="s">
        <v>561</v>
      </c>
      <c r="B947" s="158">
        <v>1.0</v>
      </c>
      <c r="C947" s="157" t="s">
        <v>642</v>
      </c>
      <c r="D947" s="157" t="s">
        <v>643</v>
      </c>
      <c r="E947" s="157" t="s">
        <v>644</v>
      </c>
      <c r="F947" s="157" t="s">
        <v>3057</v>
      </c>
      <c r="G947" s="157" t="s">
        <v>3058</v>
      </c>
      <c r="H947" s="157"/>
      <c r="I947" s="158">
        <v>-5.39</v>
      </c>
      <c r="J947" s="158">
        <v>36.19</v>
      </c>
      <c r="K947" s="157" t="s">
        <v>1564</v>
      </c>
      <c r="L947" s="157" t="s">
        <v>648</v>
      </c>
      <c r="M947" s="158">
        <v>2022.0</v>
      </c>
      <c r="N947" s="157" t="s">
        <v>649</v>
      </c>
      <c r="O947" s="157" t="s">
        <v>650</v>
      </c>
      <c r="P947" s="161" t="b">
        <v>0</v>
      </c>
      <c r="Q947" s="158">
        <v>0.151</v>
      </c>
      <c r="R947" s="158">
        <v>0.010951486</v>
      </c>
      <c r="S947" s="158">
        <v>0.140048514</v>
      </c>
      <c r="T947" s="157" t="s">
        <v>594</v>
      </c>
      <c r="U947" s="46" t="s">
        <v>651</v>
      </c>
      <c r="V947" s="46" t="b">
        <v>1</v>
      </c>
      <c r="W947" s="46">
        <v>0.95</v>
      </c>
      <c r="X947" s="46">
        <v>0.0104039116999999</v>
      </c>
      <c r="Y947" s="46" t="s">
        <v>640</v>
      </c>
      <c r="Z947" s="46" t="b">
        <v>0</v>
      </c>
      <c r="AA947" s="46" t="b">
        <v>0</v>
      </c>
    </row>
    <row r="948">
      <c r="A948" s="157" t="s">
        <v>559</v>
      </c>
      <c r="B948" s="158">
        <v>3.0</v>
      </c>
      <c r="C948" s="157" t="s">
        <v>1215</v>
      </c>
      <c r="D948" s="157" t="s">
        <v>1216</v>
      </c>
      <c r="E948" s="157" t="s">
        <v>1217</v>
      </c>
      <c r="F948" s="157" t="s">
        <v>3059</v>
      </c>
      <c r="G948" s="157" t="s">
        <v>3060</v>
      </c>
      <c r="H948" s="157"/>
      <c r="I948" s="158">
        <v>10.0333</v>
      </c>
      <c r="J948" s="158">
        <v>45.7167</v>
      </c>
      <c r="K948" s="157" t="s">
        <v>3061</v>
      </c>
      <c r="L948" s="157" t="s">
        <v>648</v>
      </c>
      <c r="M948" s="158">
        <v>2022.0</v>
      </c>
      <c r="N948" s="157" t="s">
        <v>114</v>
      </c>
      <c r="O948" s="157" t="s">
        <v>1221</v>
      </c>
      <c r="P948" s="161" t="b">
        <v>1</v>
      </c>
      <c r="Q948" s="158">
        <v>0.240347</v>
      </c>
      <c r="R948" s="158">
        <v>0.01094487</v>
      </c>
      <c r="S948" s="158">
        <v>0.22940213</v>
      </c>
      <c r="T948" s="157" t="s">
        <v>114</v>
      </c>
      <c r="U948" s="46" t="s">
        <v>651</v>
      </c>
      <c r="V948" s="46" t="b">
        <v>1</v>
      </c>
      <c r="W948" s="46">
        <v>0.95</v>
      </c>
      <c r="X948" s="46">
        <v>0.0103976265</v>
      </c>
      <c r="Y948" s="46">
        <v>13.4705825232405</v>
      </c>
      <c r="Z948" s="46" t="b">
        <v>1</v>
      </c>
      <c r="AA948" s="46" t="b">
        <v>1</v>
      </c>
    </row>
    <row r="949">
      <c r="A949" s="157" t="s">
        <v>569</v>
      </c>
      <c r="B949" s="158">
        <v>4.0</v>
      </c>
      <c r="C949" s="157" t="s">
        <v>1092</v>
      </c>
      <c r="D949" s="157" t="s">
        <v>1093</v>
      </c>
      <c r="E949" s="157" t="s">
        <v>1094</v>
      </c>
      <c r="F949" s="157" t="s">
        <v>3062</v>
      </c>
      <c r="G949" s="157" t="s">
        <v>3063</v>
      </c>
      <c r="H949" s="157"/>
      <c r="I949" s="158">
        <v>21.022157</v>
      </c>
      <c r="J949" s="158">
        <v>47.916708</v>
      </c>
      <c r="K949" s="157" t="s">
        <v>2717</v>
      </c>
      <c r="L949" s="157" t="s">
        <v>648</v>
      </c>
      <c r="M949" s="158">
        <v>2022.0</v>
      </c>
      <c r="N949" s="157" t="s">
        <v>201</v>
      </c>
      <c r="O949" s="157" t="s">
        <v>1098</v>
      </c>
      <c r="P949" s="161" t="b">
        <v>1</v>
      </c>
      <c r="Q949" s="158">
        <v>0.19537</v>
      </c>
      <c r="R949" s="158">
        <v>0.010891707</v>
      </c>
      <c r="S949" s="158">
        <v>0.184478293</v>
      </c>
      <c r="T949" s="157" t="s">
        <v>201</v>
      </c>
      <c r="U949" s="46" t="s">
        <v>651</v>
      </c>
      <c r="V949" s="46" t="b">
        <v>1</v>
      </c>
      <c r="W949" s="46">
        <v>0.95</v>
      </c>
      <c r="X949" s="46">
        <v>0.01034712165</v>
      </c>
      <c r="Y949" s="46" t="s">
        <v>640</v>
      </c>
      <c r="Z949" s="46" t="b">
        <v>0</v>
      </c>
      <c r="AA949" s="46" t="b">
        <v>0</v>
      </c>
    </row>
    <row r="950">
      <c r="A950" s="157" t="s">
        <v>559</v>
      </c>
      <c r="B950" s="158">
        <v>1.0</v>
      </c>
      <c r="C950" s="157" t="s">
        <v>642</v>
      </c>
      <c r="D950" s="157" t="s">
        <v>643</v>
      </c>
      <c r="E950" s="157" t="s">
        <v>644</v>
      </c>
      <c r="F950" s="157" t="s">
        <v>3064</v>
      </c>
      <c r="G950" s="157" t="s">
        <v>3065</v>
      </c>
      <c r="H950" s="157"/>
      <c r="I950" s="158">
        <v>7.5678</v>
      </c>
      <c r="J950" s="158">
        <v>44.4378</v>
      </c>
      <c r="K950" s="157" t="s">
        <v>3066</v>
      </c>
      <c r="L950" s="157" t="s">
        <v>648</v>
      </c>
      <c r="M950" s="158">
        <v>2022.0</v>
      </c>
      <c r="N950" s="157" t="s">
        <v>649</v>
      </c>
      <c r="O950" s="157" t="s">
        <v>650</v>
      </c>
      <c r="P950" s="161" t="b">
        <v>0</v>
      </c>
      <c r="Q950" s="158">
        <v>0.149318</v>
      </c>
      <c r="R950" s="158">
        <v>0.010829497</v>
      </c>
      <c r="S950" s="158">
        <v>0.138488503</v>
      </c>
      <c r="T950" s="157" t="s">
        <v>594</v>
      </c>
      <c r="U950" s="46" t="s">
        <v>651</v>
      </c>
      <c r="V950" s="46" t="b">
        <v>1</v>
      </c>
      <c r="W950" s="46">
        <v>0.95</v>
      </c>
      <c r="X950" s="46">
        <v>0.01028802215</v>
      </c>
      <c r="Y950" s="46">
        <v>119.700450764406</v>
      </c>
      <c r="Z950" s="46" t="b">
        <v>0</v>
      </c>
      <c r="AA950" s="46" t="b">
        <v>0</v>
      </c>
    </row>
    <row r="951">
      <c r="A951" s="157" t="s">
        <v>556</v>
      </c>
      <c r="B951" s="158">
        <v>1.0</v>
      </c>
      <c r="C951" s="157" t="s">
        <v>642</v>
      </c>
      <c r="D951" s="157" t="s">
        <v>643</v>
      </c>
      <c r="E951" s="157" t="s">
        <v>644</v>
      </c>
      <c r="F951" s="157" t="s">
        <v>3067</v>
      </c>
      <c r="G951" s="157" t="s">
        <v>3068</v>
      </c>
      <c r="H951" s="157"/>
      <c r="I951" s="158">
        <v>6.1816</v>
      </c>
      <c r="J951" s="158">
        <v>49.1258</v>
      </c>
      <c r="K951" s="157" t="s">
        <v>3069</v>
      </c>
      <c r="L951" s="157" t="s">
        <v>648</v>
      </c>
      <c r="M951" s="158">
        <v>2022.0</v>
      </c>
      <c r="N951" s="157" t="s">
        <v>649</v>
      </c>
      <c r="O951" s="157" t="s">
        <v>650</v>
      </c>
      <c r="P951" s="161" t="b">
        <v>0</v>
      </c>
      <c r="Q951" s="158">
        <v>0.149</v>
      </c>
      <c r="R951" s="158">
        <v>0.010806433</v>
      </c>
      <c r="S951" s="158">
        <v>0.138193567</v>
      </c>
      <c r="T951" s="157" t="s">
        <v>594</v>
      </c>
      <c r="U951" s="46" t="s">
        <v>651</v>
      </c>
      <c r="V951" s="46" t="b">
        <v>1</v>
      </c>
      <c r="W951" s="46">
        <v>0.95</v>
      </c>
      <c r="X951" s="46">
        <v>0.01026611135</v>
      </c>
      <c r="Y951" s="46">
        <v>46.7791387499338</v>
      </c>
      <c r="Z951" s="46" t="b">
        <v>1</v>
      </c>
      <c r="AA951" s="46" t="b">
        <v>1</v>
      </c>
    </row>
    <row r="952">
      <c r="A952" s="157" t="s">
        <v>556</v>
      </c>
      <c r="B952" s="158">
        <v>3.0</v>
      </c>
      <c r="C952" s="157" t="s">
        <v>1215</v>
      </c>
      <c r="D952" s="157" t="s">
        <v>1371</v>
      </c>
      <c r="E952" s="157" t="s">
        <v>1372</v>
      </c>
      <c r="F952" s="157" t="s">
        <v>3070</v>
      </c>
      <c r="G952" s="157" t="s">
        <v>3071</v>
      </c>
      <c r="H952" s="157"/>
      <c r="I952" s="158">
        <v>5.55078</v>
      </c>
      <c r="J952" s="158">
        <v>47.13506</v>
      </c>
      <c r="K952" s="157" t="s">
        <v>3072</v>
      </c>
      <c r="L952" s="157" t="s">
        <v>648</v>
      </c>
      <c r="M952" s="158">
        <v>2022.0</v>
      </c>
      <c r="N952" s="157" t="s">
        <v>114</v>
      </c>
      <c r="O952" s="157" t="s">
        <v>1376</v>
      </c>
      <c r="P952" s="161" t="b">
        <v>1</v>
      </c>
      <c r="Q952" s="158">
        <v>0.279</v>
      </c>
      <c r="R952" s="158">
        <v>0.010749222</v>
      </c>
      <c r="S952" s="158">
        <v>0.268250778</v>
      </c>
      <c r="T952" s="157" t="s">
        <v>114</v>
      </c>
      <c r="U952" s="46" t="s">
        <v>651</v>
      </c>
      <c r="V952" s="46" t="b">
        <v>1</v>
      </c>
      <c r="W952" s="46">
        <v>0.95</v>
      </c>
      <c r="X952" s="46">
        <v>0.0102117608999999</v>
      </c>
      <c r="Y952" s="46">
        <v>118.131412325079</v>
      </c>
      <c r="Z952" s="46" t="b">
        <v>0</v>
      </c>
      <c r="AA952" s="46" t="b">
        <v>0</v>
      </c>
    </row>
    <row r="953">
      <c r="A953" s="157" t="s">
        <v>561</v>
      </c>
      <c r="B953" s="158">
        <v>1.0</v>
      </c>
      <c r="C953" s="157" t="s">
        <v>642</v>
      </c>
      <c r="D953" s="157" t="s">
        <v>643</v>
      </c>
      <c r="E953" s="157" t="s">
        <v>644</v>
      </c>
      <c r="F953" s="157" t="s">
        <v>3073</v>
      </c>
      <c r="G953" s="157" t="s">
        <v>3074</v>
      </c>
      <c r="H953" s="157"/>
      <c r="I953" s="158">
        <v>-5.412848</v>
      </c>
      <c r="J953" s="158">
        <v>36.199789</v>
      </c>
      <c r="K953" s="157" t="s">
        <v>3075</v>
      </c>
      <c r="L953" s="157" t="s">
        <v>648</v>
      </c>
      <c r="M953" s="158">
        <v>2022.0</v>
      </c>
      <c r="N953" s="157" t="s">
        <v>649</v>
      </c>
      <c r="O953" s="157" t="s">
        <v>650</v>
      </c>
      <c r="P953" s="161" t="b">
        <v>0</v>
      </c>
      <c r="Q953" s="158">
        <v>0.148</v>
      </c>
      <c r="R953" s="158">
        <v>0.010733907</v>
      </c>
      <c r="S953" s="158">
        <v>0.137266093</v>
      </c>
      <c r="T953" s="157" t="s">
        <v>594</v>
      </c>
      <c r="U953" s="46" t="s">
        <v>651</v>
      </c>
      <c r="V953" s="46" t="b">
        <v>1</v>
      </c>
      <c r="W953" s="46">
        <v>0.95</v>
      </c>
      <c r="X953" s="46">
        <v>0.01019721165</v>
      </c>
      <c r="Y953" s="46" t="s">
        <v>640</v>
      </c>
      <c r="Z953" s="46" t="b">
        <v>0</v>
      </c>
      <c r="AA953" s="46" t="b">
        <v>0</v>
      </c>
    </row>
    <row r="954">
      <c r="A954" s="157" t="s">
        <v>561</v>
      </c>
      <c r="B954" s="158">
        <v>3.0</v>
      </c>
      <c r="C954" s="157" t="s">
        <v>1215</v>
      </c>
      <c r="D954" s="157" t="s">
        <v>1371</v>
      </c>
      <c r="E954" s="157" t="s">
        <v>1372</v>
      </c>
      <c r="F954" s="157" t="s">
        <v>3076</v>
      </c>
      <c r="G954" s="157" t="s">
        <v>3077</v>
      </c>
      <c r="H954" s="157"/>
      <c r="I954" s="158">
        <v>-1.488365</v>
      </c>
      <c r="J954" s="158">
        <v>41.475622</v>
      </c>
      <c r="K954" s="157" t="s">
        <v>3078</v>
      </c>
      <c r="L954" s="157" t="s">
        <v>648</v>
      </c>
      <c r="M954" s="158">
        <v>2022.0</v>
      </c>
      <c r="N954" s="157" t="s">
        <v>114</v>
      </c>
      <c r="O954" s="157" t="s">
        <v>1376</v>
      </c>
      <c r="P954" s="161" t="b">
        <v>1</v>
      </c>
      <c r="Q954" s="158">
        <v>0.276</v>
      </c>
      <c r="R954" s="158">
        <v>0.010633639</v>
      </c>
      <c r="S954" s="158">
        <v>0.265366361</v>
      </c>
      <c r="T954" s="157" t="s">
        <v>114</v>
      </c>
      <c r="U954" s="46" t="s">
        <v>651</v>
      </c>
      <c r="V954" s="46" t="b">
        <v>1</v>
      </c>
      <c r="W954" s="46">
        <v>0.95</v>
      </c>
      <c r="X954" s="46">
        <v>0.01010195705</v>
      </c>
      <c r="Y954" s="46" t="s">
        <v>640</v>
      </c>
      <c r="Z954" s="46" t="b">
        <v>0</v>
      </c>
      <c r="AA954" s="46" t="b">
        <v>0</v>
      </c>
    </row>
    <row r="955">
      <c r="A955" s="157" t="s">
        <v>561</v>
      </c>
      <c r="B955" s="158">
        <v>3.0</v>
      </c>
      <c r="C955" s="157" t="s">
        <v>1215</v>
      </c>
      <c r="D955" s="157" t="s">
        <v>1371</v>
      </c>
      <c r="E955" s="157" t="s">
        <v>1372</v>
      </c>
      <c r="F955" s="157" t="s">
        <v>3079</v>
      </c>
      <c r="G955" s="157" t="s">
        <v>3080</v>
      </c>
      <c r="H955" s="157"/>
      <c r="I955" s="158">
        <v>-3.7418</v>
      </c>
      <c r="J955" s="158">
        <v>39.9382</v>
      </c>
      <c r="K955" s="157" t="s">
        <v>3081</v>
      </c>
      <c r="L955" s="157" t="s">
        <v>648</v>
      </c>
      <c r="M955" s="158">
        <v>2022.0</v>
      </c>
      <c r="N955" s="157" t="s">
        <v>114</v>
      </c>
      <c r="O955" s="157" t="s">
        <v>1376</v>
      </c>
      <c r="P955" s="161" t="b">
        <v>1</v>
      </c>
      <c r="Q955" s="158">
        <v>0.275</v>
      </c>
      <c r="R955" s="158">
        <v>0.010595112</v>
      </c>
      <c r="S955" s="158">
        <v>0.264404888</v>
      </c>
      <c r="T955" s="157" t="s">
        <v>114</v>
      </c>
      <c r="U955" s="46" t="s">
        <v>651</v>
      </c>
      <c r="V955" s="46" t="b">
        <v>1</v>
      </c>
      <c r="W955" s="46">
        <v>0.95</v>
      </c>
      <c r="X955" s="46">
        <v>0.0100653564</v>
      </c>
      <c r="Y955" s="46" t="s">
        <v>640</v>
      </c>
      <c r="Z955" s="46" t="b">
        <v>0</v>
      </c>
      <c r="AA955" s="46" t="b">
        <v>0</v>
      </c>
    </row>
    <row r="956">
      <c r="A956" s="157" t="s">
        <v>559</v>
      </c>
      <c r="B956" s="158">
        <v>1.0</v>
      </c>
      <c r="C956" s="157" t="s">
        <v>642</v>
      </c>
      <c r="D956" s="157" t="s">
        <v>643</v>
      </c>
      <c r="E956" s="157" t="s">
        <v>644</v>
      </c>
      <c r="F956" s="157" t="s">
        <v>3082</v>
      </c>
      <c r="G956" s="157" t="s">
        <v>3083</v>
      </c>
      <c r="H956" s="157"/>
      <c r="I956" s="158">
        <v>15.423906</v>
      </c>
      <c r="J956" s="158">
        <v>41.197708</v>
      </c>
      <c r="K956" s="157" t="s">
        <v>3084</v>
      </c>
      <c r="L956" s="157" t="s">
        <v>648</v>
      </c>
      <c r="M956" s="158">
        <v>2022.0</v>
      </c>
      <c r="N956" s="157" t="s">
        <v>649</v>
      </c>
      <c r="O956" s="157" t="s">
        <v>650</v>
      </c>
      <c r="P956" s="161" t="b">
        <v>0</v>
      </c>
      <c r="Q956" s="158">
        <v>0.145981</v>
      </c>
      <c r="R956" s="158">
        <v>0.010587476</v>
      </c>
      <c r="S956" s="158">
        <v>0.135393524</v>
      </c>
      <c r="T956" s="157" t="s">
        <v>594</v>
      </c>
      <c r="U956" s="46" t="s">
        <v>651</v>
      </c>
      <c r="V956" s="46" t="b">
        <v>1</v>
      </c>
      <c r="W956" s="46">
        <v>0.95</v>
      </c>
      <c r="X956" s="46">
        <v>0.0100581022</v>
      </c>
      <c r="Y956" s="46" t="s">
        <v>640</v>
      </c>
      <c r="Z956" s="46" t="b">
        <v>0</v>
      </c>
      <c r="AA956" s="46" t="b">
        <v>0</v>
      </c>
    </row>
    <row r="957">
      <c r="A957" s="157" t="s">
        <v>562</v>
      </c>
      <c r="B957" s="158">
        <v>3.0</v>
      </c>
      <c r="C957" s="157" t="s">
        <v>1215</v>
      </c>
      <c r="D957" s="157" t="s">
        <v>2348</v>
      </c>
      <c r="E957" s="157" t="s">
        <v>2349</v>
      </c>
      <c r="F957" s="157" t="s">
        <v>3085</v>
      </c>
      <c r="G957" s="157" t="s">
        <v>3086</v>
      </c>
      <c r="H957" s="157"/>
      <c r="I957" s="158">
        <v>5.179099</v>
      </c>
      <c r="J957" s="158">
        <v>50.557106</v>
      </c>
      <c r="K957" s="157" t="s">
        <v>3087</v>
      </c>
      <c r="L957" s="157" t="s">
        <v>648</v>
      </c>
      <c r="M957" s="158">
        <v>2022.0</v>
      </c>
      <c r="N957" s="157" t="s">
        <v>114</v>
      </c>
      <c r="O957" s="157" t="s">
        <v>1221</v>
      </c>
      <c r="P957" s="161" t="b">
        <v>1</v>
      </c>
      <c r="Q957" s="158">
        <v>0.231</v>
      </c>
      <c r="R957" s="158">
        <v>0.010519228</v>
      </c>
      <c r="S957" s="158">
        <v>0.220480772</v>
      </c>
      <c r="T957" s="157" t="s">
        <v>114</v>
      </c>
      <c r="U957" s="46" t="s">
        <v>651</v>
      </c>
      <c r="V957" s="46" t="b">
        <v>1</v>
      </c>
      <c r="W957" s="46">
        <v>0.95</v>
      </c>
      <c r="X957" s="46">
        <v>0.0099932666</v>
      </c>
      <c r="Y957" s="46">
        <v>4.75372966126516</v>
      </c>
      <c r="Z957" s="46" t="b">
        <v>1</v>
      </c>
      <c r="AA957" s="46" t="b">
        <v>1</v>
      </c>
    </row>
    <row r="958">
      <c r="A958" s="157" t="s">
        <v>566</v>
      </c>
      <c r="B958" s="158">
        <v>1.0</v>
      </c>
      <c r="C958" s="157" t="s">
        <v>642</v>
      </c>
      <c r="D958" s="157" t="s">
        <v>643</v>
      </c>
      <c r="E958" s="157" t="s">
        <v>644</v>
      </c>
      <c r="F958" s="157" t="s">
        <v>3088</v>
      </c>
      <c r="G958" s="157" t="s">
        <v>3089</v>
      </c>
      <c r="H958" s="157"/>
      <c r="I958" s="158">
        <v>16.06588745</v>
      </c>
      <c r="J958" s="158">
        <v>51.48272324</v>
      </c>
      <c r="K958" s="157" t="s">
        <v>3090</v>
      </c>
      <c r="L958" s="157" t="s">
        <v>648</v>
      </c>
      <c r="M958" s="158">
        <v>2022.0</v>
      </c>
      <c r="N958" s="157" t="s">
        <v>649</v>
      </c>
      <c r="O958" s="157" t="s">
        <v>650</v>
      </c>
      <c r="P958" s="161" t="b">
        <v>0</v>
      </c>
      <c r="Q958" s="158">
        <v>0.145</v>
      </c>
      <c r="R958" s="158">
        <v>0.010516328</v>
      </c>
      <c r="S958" s="158">
        <v>0.134483672</v>
      </c>
      <c r="T958" s="157" t="s">
        <v>594</v>
      </c>
      <c r="U958" s="46" t="s">
        <v>651</v>
      </c>
      <c r="V958" s="46" t="b">
        <v>1</v>
      </c>
      <c r="W958" s="46">
        <v>0.95</v>
      </c>
      <c r="X958" s="46">
        <v>0.0099905116</v>
      </c>
      <c r="Y958" s="46">
        <v>118.976704286844</v>
      </c>
      <c r="Z958" s="46" t="b">
        <v>0</v>
      </c>
      <c r="AA958" s="46" t="b">
        <v>0</v>
      </c>
    </row>
    <row r="959">
      <c r="A959" s="157" t="s">
        <v>566</v>
      </c>
      <c r="B959" s="158">
        <v>1.0</v>
      </c>
      <c r="C959" s="157" t="s">
        <v>642</v>
      </c>
      <c r="D959" s="157" t="s">
        <v>643</v>
      </c>
      <c r="E959" s="157" t="s">
        <v>644</v>
      </c>
      <c r="F959" s="157" t="s">
        <v>3091</v>
      </c>
      <c r="G959" s="157" t="s">
        <v>3092</v>
      </c>
      <c r="H959" s="157"/>
      <c r="I959" s="158">
        <v>20.106335</v>
      </c>
      <c r="J959" s="158">
        <v>50.916948</v>
      </c>
      <c r="K959" s="157" t="s">
        <v>3093</v>
      </c>
      <c r="L959" s="157" t="s">
        <v>648</v>
      </c>
      <c r="M959" s="158">
        <v>2022.0</v>
      </c>
      <c r="N959" s="157" t="s">
        <v>649</v>
      </c>
      <c r="O959" s="157" t="s">
        <v>650</v>
      </c>
      <c r="P959" s="161" t="b">
        <v>0</v>
      </c>
      <c r="Q959" s="158">
        <v>0.145</v>
      </c>
      <c r="R959" s="158">
        <v>0.010516328</v>
      </c>
      <c r="S959" s="158">
        <v>0.134483672</v>
      </c>
      <c r="T959" s="157" t="s">
        <v>594</v>
      </c>
      <c r="U959" s="46" t="s">
        <v>651</v>
      </c>
      <c r="V959" s="46" t="b">
        <v>1</v>
      </c>
      <c r="W959" s="46">
        <v>0.95</v>
      </c>
      <c r="X959" s="46">
        <v>0.0099905116</v>
      </c>
      <c r="Y959" s="46" t="s">
        <v>640</v>
      </c>
      <c r="Z959" s="46" t="b">
        <v>0</v>
      </c>
      <c r="AA959" s="46" t="b">
        <v>0</v>
      </c>
    </row>
    <row r="960">
      <c r="A960" s="157" t="s">
        <v>559</v>
      </c>
      <c r="B960" s="158">
        <v>3.0</v>
      </c>
      <c r="C960" s="157" t="s">
        <v>1215</v>
      </c>
      <c r="D960" s="157" t="s">
        <v>1216</v>
      </c>
      <c r="E960" s="157" t="s">
        <v>1217</v>
      </c>
      <c r="F960" s="157" t="s">
        <v>3094</v>
      </c>
      <c r="G960" s="157" t="s">
        <v>3095</v>
      </c>
      <c r="H960" s="157"/>
      <c r="I960" s="158">
        <v>9.6261</v>
      </c>
      <c r="J960" s="158">
        <v>45.7886</v>
      </c>
      <c r="K960" s="157" t="s">
        <v>3096</v>
      </c>
      <c r="L960" s="157" t="s">
        <v>648</v>
      </c>
      <c r="M960" s="158">
        <v>2022.0</v>
      </c>
      <c r="N960" s="157" t="s">
        <v>114</v>
      </c>
      <c r="O960" s="157" t="s">
        <v>1221</v>
      </c>
      <c r="P960" s="161" t="b">
        <v>1</v>
      </c>
      <c r="Q960" s="158">
        <v>0.228594</v>
      </c>
      <c r="R960" s="158">
        <v>0.010409665</v>
      </c>
      <c r="S960" s="158">
        <v>0.218184335</v>
      </c>
      <c r="T960" s="157" t="s">
        <v>114</v>
      </c>
      <c r="U960" s="46" t="s">
        <v>651</v>
      </c>
      <c r="V960" s="46" t="b">
        <v>1</v>
      </c>
      <c r="W960" s="46">
        <v>0.95</v>
      </c>
      <c r="X960" s="46">
        <v>0.00988918175</v>
      </c>
      <c r="Y960" s="46">
        <v>22.3837583186172</v>
      </c>
      <c r="Z960" s="46" t="b">
        <v>1</v>
      </c>
      <c r="AA960" s="46" t="b">
        <v>1</v>
      </c>
    </row>
    <row r="961">
      <c r="A961" s="157" t="s">
        <v>561</v>
      </c>
      <c r="B961" s="158">
        <v>1.0</v>
      </c>
      <c r="C961" s="157" t="s">
        <v>642</v>
      </c>
      <c r="D961" s="157" t="s">
        <v>643</v>
      </c>
      <c r="E961" s="157" t="s">
        <v>644</v>
      </c>
      <c r="F961" s="157" t="s">
        <v>3097</v>
      </c>
      <c r="G961" s="157" t="s">
        <v>3098</v>
      </c>
      <c r="H961" s="157"/>
      <c r="I961" s="158">
        <v>-4.709634</v>
      </c>
      <c r="J961" s="158">
        <v>41.677037</v>
      </c>
      <c r="K961" s="157" t="s">
        <v>3099</v>
      </c>
      <c r="L961" s="157" t="s">
        <v>648</v>
      </c>
      <c r="M961" s="158">
        <v>2022.0</v>
      </c>
      <c r="N961" s="157" t="s">
        <v>649</v>
      </c>
      <c r="O961" s="157" t="s">
        <v>650</v>
      </c>
      <c r="P961" s="161" t="b">
        <v>0</v>
      </c>
      <c r="Q961" s="158">
        <v>0.143</v>
      </c>
      <c r="R961" s="158">
        <v>0.010371275</v>
      </c>
      <c r="S961" s="158">
        <v>0.132628725</v>
      </c>
      <c r="T961" s="157" t="s">
        <v>594</v>
      </c>
      <c r="U961" s="46" t="s">
        <v>651</v>
      </c>
      <c r="V961" s="46" t="b">
        <v>1</v>
      </c>
      <c r="W961" s="46">
        <v>0.95</v>
      </c>
      <c r="X961" s="46">
        <v>0.00985271124999999</v>
      </c>
      <c r="Y961" s="46" t="s">
        <v>640</v>
      </c>
      <c r="Z961" s="46" t="b">
        <v>0</v>
      </c>
      <c r="AA961" s="46" t="b">
        <v>0</v>
      </c>
    </row>
    <row r="962">
      <c r="A962" s="157" t="s">
        <v>561</v>
      </c>
      <c r="B962" s="158">
        <v>1.0</v>
      </c>
      <c r="C962" s="157" t="s">
        <v>642</v>
      </c>
      <c r="D962" s="157" t="s">
        <v>643</v>
      </c>
      <c r="E962" s="157" t="s">
        <v>644</v>
      </c>
      <c r="F962" s="157" t="s">
        <v>3100</v>
      </c>
      <c r="G962" s="157" t="s">
        <v>3101</v>
      </c>
      <c r="H962" s="157"/>
      <c r="I962" s="158">
        <v>-3.75087</v>
      </c>
      <c r="J962" s="158">
        <v>43.42204</v>
      </c>
      <c r="K962" s="157" t="s">
        <v>3102</v>
      </c>
      <c r="L962" s="157" t="s">
        <v>648</v>
      </c>
      <c r="M962" s="158">
        <v>2022.0</v>
      </c>
      <c r="N962" s="157" t="s">
        <v>649</v>
      </c>
      <c r="O962" s="157" t="s">
        <v>650</v>
      </c>
      <c r="P962" s="161" t="b">
        <v>0</v>
      </c>
      <c r="Q962" s="158">
        <v>0.142</v>
      </c>
      <c r="R962" s="158">
        <v>0.010298748</v>
      </c>
      <c r="S962" s="158">
        <v>0.131701252</v>
      </c>
      <c r="T962" s="157" t="s">
        <v>594</v>
      </c>
      <c r="U962" s="46" t="s">
        <v>651</v>
      </c>
      <c r="V962" s="46" t="b">
        <v>1</v>
      </c>
      <c r="W962" s="46">
        <v>0.95</v>
      </c>
      <c r="X962" s="46">
        <v>0.0097838106</v>
      </c>
      <c r="Y962" s="46" t="s">
        <v>640</v>
      </c>
      <c r="Z962" s="46" t="b">
        <v>0</v>
      </c>
      <c r="AA962" s="46" t="b">
        <v>0</v>
      </c>
    </row>
    <row r="963">
      <c r="A963" s="157" t="s">
        <v>561</v>
      </c>
      <c r="B963" s="158">
        <v>1.0</v>
      </c>
      <c r="C963" s="157" t="s">
        <v>642</v>
      </c>
      <c r="D963" s="157" t="s">
        <v>643</v>
      </c>
      <c r="E963" s="157" t="s">
        <v>644</v>
      </c>
      <c r="F963" s="157" t="s">
        <v>3103</v>
      </c>
      <c r="G963" s="157" t="s">
        <v>3104</v>
      </c>
      <c r="H963" s="157"/>
      <c r="I963" s="158">
        <v>-5.875078</v>
      </c>
      <c r="J963" s="158">
        <v>43.316076</v>
      </c>
      <c r="K963" s="157" t="s">
        <v>1392</v>
      </c>
      <c r="L963" s="157" t="s">
        <v>648</v>
      </c>
      <c r="M963" s="158">
        <v>2022.0</v>
      </c>
      <c r="N963" s="157" t="s">
        <v>649</v>
      </c>
      <c r="O963" s="157" t="s">
        <v>650</v>
      </c>
      <c r="P963" s="161" t="b">
        <v>0</v>
      </c>
      <c r="Q963" s="158">
        <v>0.142</v>
      </c>
      <c r="R963" s="158">
        <v>0.010298748</v>
      </c>
      <c r="S963" s="158">
        <v>0.131701252</v>
      </c>
      <c r="T963" s="157" t="s">
        <v>594</v>
      </c>
      <c r="U963" s="46" t="s">
        <v>651</v>
      </c>
      <c r="V963" s="46" t="b">
        <v>1</v>
      </c>
      <c r="W963" s="46">
        <v>0.95</v>
      </c>
      <c r="X963" s="46">
        <v>0.0097838106</v>
      </c>
      <c r="Y963" s="46" t="s">
        <v>640</v>
      </c>
      <c r="Z963" s="46" t="b">
        <v>0</v>
      </c>
      <c r="AA963" s="46" t="b">
        <v>0</v>
      </c>
    </row>
    <row r="964">
      <c r="A964" s="157" t="s">
        <v>559</v>
      </c>
      <c r="B964" s="158">
        <v>1.0</v>
      </c>
      <c r="C964" s="157" t="s">
        <v>642</v>
      </c>
      <c r="D964" s="157" t="s">
        <v>643</v>
      </c>
      <c r="E964" s="157" t="s">
        <v>644</v>
      </c>
      <c r="F964" s="157" t="s">
        <v>3105</v>
      </c>
      <c r="G964" s="157" t="s">
        <v>3106</v>
      </c>
      <c r="H964" s="157"/>
      <c r="I964" s="158">
        <v>10.6167</v>
      </c>
      <c r="J964" s="158">
        <v>44.7155</v>
      </c>
      <c r="K964" s="157" t="s">
        <v>3107</v>
      </c>
      <c r="L964" s="157" t="s">
        <v>648</v>
      </c>
      <c r="M964" s="158">
        <v>2022.0</v>
      </c>
      <c r="N964" s="157" t="s">
        <v>649</v>
      </c>
      <c r="O964" s="157" t="s">
        <v>650</v>
      </c>
      <c r="P964" s="161" t="b">
        <v>0</v>
      </c>
      <c r="Q964" s="158">
        <v>0.141959</v>
      </c>
      <c r="R964" s="158">
        <v>0.010295775</v>
      </c>
      <c r="S964" s="158">
        <v>0.131663225</v>
      </c>
      <c r="T964" s="157" t="s">
        <v>594</v>
      </c>
      <c r="U964" s="46" t="s">
        <v>651</v>
      </c>
      <c r="V964" s="46" t="b">
        <v>1</v>
      </c>
      <c r="W964" s="46">
        <v>0.95</v>
      </c>
      <c r="X964" s="46">
        <v>0.00978098625</v>
      </c>
      <c r="Y964" s="46">
        <v>50.5371729846328</v>
      </c>
      <c r="Z964" s="46" t="b">
        <v>0</v>
      </c>
      <c r="AA964" s="46" t="b">
        <v>1</v>
      </c>
    </row>
    <row r="965">
      <c r="A965" s="157" t="s">
        <v>556</v>
      </c>
      <c r="B965" s="158">
        <v>3.0</v>
      </c>
      <c r="C965" s="157" t="s">
        <v>1215</v>
      </c>
      <c r="D965" s="157" t="s">
        <v>1371</v>
      </c>
      <c r="E965" s="157" t="s">
        <v>1372</v>
      </c>
      <c r="F965" s="157" t="s">
        <v>3108</v>
      </c>
      <c r="G965" s="157" t="s">
        <v>3109</v>
      </c>
      <c r="H965" s="157"/>
      <c r="I965" s="158">
        <v>7.23784</v>
      </c>
      <c r="J965" s="158">
        <v>47.62907</v>
      </c>
      <c r="K965" s="157" t="s">
        <v>3110</v>
      </c>
      <c r="L965" s="157" t="s">
        <v>648</v>
      </c>
      <c r="M965" s="158">
        <v>2022.0</v>
      </c>
      <c r="N965" s="157" t="s">
        <v>114</v>
      </c>
      <c r="O965" s="157" t="s">
        <v>1376</v>
      </c>
      <c r="P965" s="161" t="b">
        <v>1</v>
      </c>
      <c r="Q965" s="158">
        <v>0.267</v>
      </c>
      <c r="R965" s="158">
        <v>0.01028689</v>
      </c>
      <c r="S965" s="158">
        <v>0.25671311</v>
      </c>
      <c r="T965" s="157" t="s">
        <v>114</v>
      </c>
      <c r="U965" s="46" t="s">
        <v>651</v>
      </c>
      <c r="V965" s="46" t="b">
        <v>1</v>
      </c>
      <c r="W965" s="46">
        <v>0.95</v>
      </c>
      <c r="X965" s="46">
        <v>0.0097725455</v>
      </c>
      <c r="Y965" s="46">
        <v>60.7003907903502</v>
      </c>
      <c r="Z965" s="46" t="b">
        <v>0</v>
      </c>
      <c r="AA965" s="46" t="b">
        <v>1</v>
      </c>
    </row>
    <row r="966">
      <c r="A966" s="157" t="s">
        <v>561</v>
      </c>
      <c r="B966" s="158">
        <v>1.0</v>
      </c>
      <c r="C966" s="157" t="s">
        <v>642</v>
      </c>
      <c r="D966" s="157" t="s">
        <v>2370</v>
      </c>
      <c r="E966" s="157" t="s">
        <v>2371</v>
      </c>
      <c r="F966" s="157" t="s">
        <v>3111</v>
      </c>
      <c r="G966" s="157" t="s">
        <v>3112</v>
      </c>
      <c r="H966" s="157"/>
      <c r="I966" s="158">
        <v>-0.982184</v>
      </c>
      <c r="J966" s="158">
        <v>37.622214</v>
      </c>
      <c r="K966" s="157" t="s">
        <v>3113</v>
      </c>
      <c r="L966" s="157" t="s">
        <v>648</v>
      </c>
      <c r="M966" s="158">
        <v>2022.0</v>
      </c>
      <c r="N966" s="157" t="s">
        <v>547</v>
      </c>
      <c r="O966" s="157" t="s">
        <v>2371</v>
      </c>
      <c r="P966" s="161" t="b">
        <v>1</v>
      </c>
      <c r="Q966" s="158">
        <v>2.71</v>
      </c>
      <c r="R966" s="158">
        <v>0.010195636</v>
      </c>
      <c r="S966" s="158">
        <v>2.699804364</v>
      </c>
      <c r="T966" s="157" t="s">
        <v>547</v>
      </c>
      <c r="U966" s="46" t="s">
        <v>651</v>
      </c>
      <c r="V966" s="46" t="b">
        <v>1</v>
      </c>
      <c r="W966" s="46">
        <v>0.95</v>
      </c>
      <c r="X966" s="46">
        <v>0.00968585419999999</v>
      </c>
      <c r="Y966" s="46" t="s">
        <v>640</v>
      </c>
      <c r="Z966" s="46" t="b">
        <v>0</v>
      </c>
      <c r="AA966" s="46" t="b">
        <v>0</v>
      </c>
    </row>
    <row r="967">
      <c r="A967" s="157" t="s">
        <v>566</v>
      </c>
      <c r="B967" s="158">
        <v>1.0</v>
      </c>
      <c r="C967" s="157" t="s">
        <v>642</v>
      </c>
      <c r="D967" s="157" t="s">
        <v>643</v>
      </c>
      <c r="E967" s="157" t="s">
        <v>644</v>
      </c>
      <c r="F967" s="157" t="s">
        <v>3114</v>
      </c>
      <c r="G967" s="157" t="s">
        <v>3115</v>
      </c>
      <c r="H967" s="157"/>
      <c r="I967" s="158">
        <v>18.77243805</v>
      </c>
      <c r="J967" s="158">
        <v>53.47906494</v>
      </c>
      <c r="K967" s="157" t="s">
        <v>3116</v>
      </c>
      <c r="L967" s="157" t="s">
        <v>648</v>
      </c>
      <c r="M967" s="158">
        <v>2022.0</v>
      </c>
      <c r="N967" s="157" t="s">
        <v>649</v>
      </c>
      <c r="O967" s="157" t="s">
        <v>650</v>
      </c>
      <c r="P967" s="161" t="b">
        <v>0</v>
      </c>
      <c r="Q967" s="158">
        <v>0.14</v>
      </c>
      <c r="R967" s="158">
        <v>0.010153696</v>
      </c>
      <c r="S967" s="158">
        <v>0.129846304</v>
      </c>
      <c r="T967" s="157" t="s">
        <v>594</v>
      </c>
      <c r="U967" s="46" t="s">
        <v>651</v>
      </c>
      <c r="V967" s="46" t="b">
        <v>1</v>
      </c>
      <c r="W967" s="46">
        <v>0.95</v>
      </c>
      <c r="X967" s="46">
        <v>0.0096460112</v>
      </c>
      <c r="Y967" s="46">
        <v>6.18869174766466</v>
      </c>
      <c r="Z967" s="46" t="b">
        <v>1</v>
      </c>
      <c r="AA967" s="46" t="b">
        <v>1</v>
      </c>
    </row>
    <row r="968">
      <c r="A968" s="157" t="s">
        <v>558</v>
      </c>
      <c r="B968" s="158">
        <v>1.0</v>
      </c>
      <c r="C968" s="157" t="s">
        <v>642</v>
      </c>
      <c r="D968" s="157" t="s">
        <v>643</v>
      </c>
      <c r="E968" s="157" t="s">
        <v>644</v>
      </c>
      <c r="F968" s="157" t="s">
        <v>3117</v>
      </c>
      <c r="G968" s="157" t="s">
        <v>3118</v>
      </c>
      <c r="H968" s="157"/>
      <c r="I968" s="158">
        <v>-16.722961</v>
      </c>
      <c r="J968" s="158">
        <v>32.744724</v>
      </c>
      <c r="K968" s="157" t="s">
        <v>3119</v>
      </c>
      <c r="L968" s="157" t="s">
        <v>648</v>
      </c>
      <c r="M968" s="158">
        <v>2022.0</v>
      </c>
      <c r="N968" s="157" t="s">
        <v>649</v>
      </c>
      <c r="O968" s="157" t="s">
        <v>650</v>
      </c>
      <c r="P968" s="161" t="b">
        <v>0</v>
      </c>
      <c r="Q968" s="158">
        <v>0.14</v>
      </c>
      <c r="R968" s="158">
        <v>0.010153696</v>
      </c>
      <c r="S968" s="158">
        <v>0.129846304</v>
      </c>
      <c r="T968" s="157" t="s">
        <v>594</v>
      </c>
      <c r="U968" s="46" t="s">
        <v>651</v>
      </c>
      <c r="V968" s="46" t="b">
        <v>1</v>
      </c>
      <c r="W968" s="46">
        <v>0.95</v>
      </c>
      <c r="X968" s="46">
        <v>0.0096460112</v>
      </c>
      <c r="Y968" s="46" t="s">
        <v>640</v>
      </c>
      <c r="Z968" s="46" t="b">
        <v>0</v>
      </c>
      <c r="AA968" s="46" t="b">
        <v>0</v>
      </c>
    </row>
    <row r="969">
      <c r="A969" s="157" t="s">
        <v>574</v>
      </c>
      <c r="B969" s="158">
        <v>1.0</v>
      </c>
      <c r="C969" s="157" t="s">
        <v>642</v>
      </c>
      <c r="D969" s="157" t="s">
        <v>643</v>
      </c>
      <c r="E969" s="157" t="s">
        <v>644</v>
      </c>
      <c r="F969" s="162" t="s">
        <v>3120</v>
      </c>
      <c r="G969" s="157" t="s">
        <v>3121</v>
      </c>
      <c r="H969" s="157"/>
      <c r="I969" s="158">
        <v>18.416884</v>
      </c>
      <c r="J969" s="158">
        <v>49.118108</v>
      </c>
      <c r="K969" s="157" t="s">
        <v>3122</v>
      </c>
      <c r="L969" s="157" t="s">
        <v>648</v>
      </c>
      <c r="M969" s="158">
        <v>2017.0</v>
      </c>
      <c r="N969" s="157" t="s">
        <v>649</v>
      </c>
      <c r="O969" s="157" t="s">
        <v>650</v>
      </c>
      <c r="P969" s="161" t="b">
        <v>0</v>
      </c>
      <c r="Q969" s="158">
        <v>0.14</v>
      </c>
      <c r="R969" s="158">
        <v>0.010153696</v>
      </c>
      <c r="S969" s="158">
        <v>0.129846304</v>
      </c>
      <c r="T969" s="157" t="s">
        <v>594</v>
      </c>
      <c r="U969" s="46" t="s">
        <v>651</v>
      </c>
      <c r="V969" s="46" t="b">
        <v>1</v>
      </c>
      <c r="W969" s="46">
        <v>0.95</v>
      </c>
      <c r="X969" s="46">
        <v>0.0096460112</v>
      </c>
      <c r="Y969" s="46" t="s">
        <v>640</v>
      </c>
      <c r="Z969" s="46" t="b">
        <v>0</v>
      </c>
      <c r="AA969" s="46" t="b">
        <v>0</v>
      </c>
    </row>
    <row r="970">
      <c r="A970" s="157" t="s">
        <v>558</v>
      </c>
      <c r="B970" s="158">
        <v>3.0</v>
      </c>
      <c r="C970" s="157" t="s">
        <v>1215</v>
      </c>
      <c r="D970" s="157" t="s">
        <v>1371</v>
      </c>
      <c r="E970" s="157" t="s">
        <v>1372</v>
      </c>
      <c r="F970" s="157" t="s">
        <v>3123</v>
      </c>
      <c r="G970" s="157" t="s">
        <v>3124</v>
      </c>
      <c r="H970" s="157"/>
      <c r="I970" s="158">
        <v>-8.097592</v>
      </c>
      <c r="J970" s="158">
        <v>37.134296</v>
      </c>
      <c r="K970" s="157" t="s">
        <v>3125</v>
      </c>
      <c r="L970" s="157" t="s">
        <v>648</v>
      </c>
      <c r="M970" s="158">
        <v>2022.0</v>
      </c>
      <c r="N970" s="157" t="s">
        <v>114</v>
      </c>
      <c r="O970" s="157" t="s">
        <v>1376</v>
      </c>
      <c r="P970" s="161" t="b">
        <v>1</v>
      </c>
      <c r="Q970" s="158">
        <v>0.262</v>
      </c>
      <c r="R970" s="158">
        <v>0.010094252</v>
      </c>
      <c r="S970" s="158">
        <v>0.251905748</v>
      </c>
      <c r="T970" s="157" t="s">
        <v>114</v>
      </c>
      <c r="U970" s="46" t="s">
        <v>651</v>
      </c>
      <c r="V970" s="46" t="b">
        <v>1</v>
      </c>
      <c r="W970" s="46">
        <v>0.95</v>
      </c>
      <c r="X970" s="46">
        <v>0.0095895394</v>
      </c>
      <c r="Y970" s="46" t="s">
        <v>640</v>
      </c>
      <c r="Z970" s="46" t="b">
        <v>0</v>
      </c>
      <c r="AA970" s="46" t="b">
        <v>0</v>
      </c>
    </row>
    <row r="971">
      <c r="A971" s="157" t="s">
        <v>560</v>
      </c>
      <c r="B971" s="158">
        <v>3.0</v>
      </c>
      <c r="C971" s="157" t="s">
        <v>1215</v>
      </c>
      <c r="D971" s="157" t="s">
        <v>1216</v>
      </c>
      <c r="E971" s="157" t="s">
        <v>1217</v>
      </c>
      <c r="F971" s="157" t="s">
        <v>3126</v>
      </c>
      <c r="G971" s="157" t="s">
        <v>3127</v>
      </c>
      <c r="H971" s="157"/>
      <c r="I971" s="158">
        <v>14.117306</v>
      </c>
      <c r="J971" s="158">
        <v>47.90825</v>
      </c>
      <c r="K971" s="157" t="s">
        <v>3128</v>
      </c>
      <c r="L971" s="157" t="s">
        <v>648</v>
      </c>
      <c r="M971" s="158">
        <v>2022.0</v>
      </c>
      <c r="N971" s="157" t="s">
        <v>114</v>
      </c>
      <c r="O971" s="157" t="s">
        <v>1221</v>
      </c>
      <c r="P971" s="161" t="b">
        <v>1</v>
      </c>
      <c r="Q971" s="158">
        <v>0.221</v>
      </c>
      <c r="R971" s="158">
        <v>0.010063851</v>
      </c>
      <c r="S971" s="158">
        <v>0.210936149</v>
      </c>
      <c r="T971" s="157" t="s">
        <v>114</v>
      </c>
      <c r="U971" s="46" t="s">
        <v>651</v>
      </c>
      <c r="V971" s="46" t="b">
        <v>1</v>
      </c>
      <c r="W971" s="46">
        <v>0.95</v>
      </c>
      <c r="X971" s="46">
        <v>0.00956065845</v>
      </c>
      <c r="Y971" s="46">
        <v>39.7571859806892</v>
      </c>
      <c r="Z971" s="46" t="b">
        <v>1</v>
      </c>
      <c r="AA971" s="46" t="b">
        <v>1</v>
      </c>
    </row>
    <row r="972">
      <c r="A972" s="157" t="s">
        <v>558</v>
      </c>
      <c r="B972" s="158">
        <v>1.0</v>
      </c>
      <c r="C972" s="157" t="s">
        <v>642</v>
      </c>
      <c r="D972" s="157" t="s">
        <v>2370</v>
      </c>
      <c r="E972" s="157" t="s">
        <v>2371</v>
      </c>
      <c r="F972" s="157" t="s">
        <v>3129</v>
      </c>
      <c r="G972" s="157" t="s">
        <v>3130</v>
      </c>
      <c r="H972" s="157"/>
      <c r="I972" s="158">
        <v>-8.800138</v>
      </c>
      <c r="J972" s="158">
        <v>37.963901</v>
      </c>
      <c r="K972" s="157" t="s">
        <v>3131</v>
      </c>
      <c r="L972" s="157" t="s">
        <v>648</v>
      </c>
      <c r="M972" s="158">
        <v>2022.0</v>
      </c>
      <c r="N972" s="157" t="s">
        <v>547</v>
      </c>
      <c r="O972" s="157" t="s">
        <v>2371</v>
      </c>
      <c r="P972" s="161" t="b">
        <v>1</v>
      </c>
      <c r="Q972" s="158">
        <v>2.66</v>
      </c>
      <c r="R972" s="158">
        <v>0.010007524</v>
      </c>
      <c r="S972" s="158">
        <v>2.649992476</v>
      </c>
      <c r="T972" s="157" t="s">
        <v>547</v>
      </c>
      <c r="U972" s="46" t="s">
        <v>651</v>
      </c>
      <c r="V972" s="46" t="b">
        <v>1</v>
      </c>
      <c r="W972" s="46">
        <v>0.95</v>
      </c>
      <c r="X972" s="46">
        <v>0.00950714779999999</v>
      </c>
      <c r="Y972" s="46" t="s">
        <v>640</v>
      </c>
      <c r="Z972" s="46" t="b">
        <v>0</v>
      </c>
      <c r="AA972" s="46" t="b">
        <v>0</v>
      </c>
    </row>
    <row r="973">
      <c r="A973" s="157" t="s">
        <v>554</v>
      </c>
      <c r="B973" s="158">
        <v>1.0</v>
      </c>
      <c r="C973" s="157" t="s">
        <v>642</v>
      </c>
      <c r="D973" s="157" t="s">
        <v>2370</v>
      </c>
      <c r="E973" s="157" t="s">
        <v>2371</v>
      </c>
      <c r="F973" s="157" t="s">
        <v>3132</v>
      </c>
      <c r="G973" s="157" t="s">
        <v>3133</v>
      </c>
      <c r="H973" s="157"/>
      <c r="I973" s="158">
        <v>11.82119</v>
      </c>
      <c r="J973" s="158">
        <v>57.71094</v>
      </c>
      <c r="K973" s="157" t="s">
        <v>879</v>
      </c>
      <c r="L973" s="157" t="s">
        <v>648</v>
      </c>
      <c r="M973" s="158">
        <v>2022.0</v>
      </c>
      <c r="N973" s="157" t="s">
        <v>547</v>
      </c>
      <c r="O973" s="157" t="s">
        <v>2371</v>
      </c>
      <c r="P973" s="161" t="b">
        <v>1</v>
      </c>
      <c r="Q973" s="158">
        <v>0.597</v>
      </c>
      <c r="R973" s="158">
        <v>0.01</v>
      </c>
      <c r="S973" s="158">
        <v>0.587</v>
      </c>
      <c r="T973" s="157" t="s">
        <v>547</v>
      </c>
      <c r="U973" s="46" t="s">
        <v>651</v>
      </c>
      <c r="V973" s="46" t="b">
        <v>1</v>
      </c>
      <c r="W973" s="46">
        <v>0.95</v>
      </c>
      <c r="X973" s="46">
        <v>0.0095</v>
      </c>
      <c r="Y973" s="46">
        <v>128.388823103094</v>
      </c>
      <c r="Z973" s="46" t="b">
        <v>0</v>
      </c>
      <c r="AA973" s="46" t="b">
        <v>0</v>
      </c>
    </row>
    <row r="974">
      <c r="A974" s="157" t="s">
        <v>554</v>
      </c>
      <c r="B974" s="158">
        <v>3.0</v>
      </c>
      <c r="C974" s="157" t="s">
        <v>1215</v>
      </c>
      <c r="D974" s="157" t="s">
        <v>1216</v>
      </c>
      <c r="E974" s="157" t="s">
        <v>1217</v>
      </c>
      <c r="F974" s="157" t="s">
        <v>3134</v>
      </c>
      <c r="G974" s="157" t="s">
        <v>3135</v>
      </c>
      <c r="H974" s="157"/>
      <c r="I974" s="158">
        <v>16.02847</v>
      </c>
      <c r="J974" s="158">
        <v>59.49812</v>
      </c>
      <c r="K974" s="157" t="s">
        <v>3136</v>
      </c>
      <c r="L974" s="157" t="s">
        <v>648</v>
      </c>
      <c r="M974" s="158">
        <v>2022.0</v>
      </c>
      <c r="N974" s="157" t="s">
        <v>114</v>
      </c>
      <c r="O974" s="157" t="s">
        <v>1221</v>
      </c>
      <c r="P974" s="161" t="b">
        <v>1</v>
      </c>
      <c r="Q974" s="158">
        <v>0.2</v>
      </c>
      <c r="R974" s="158">
        <v>0.01</v>
      </c>
      <c r="S974" s="158">
        <v>0.19</v>
      </c>
      <c r="T974" s="157" t="s">
        <v>114</v>
      </c>
      <c r="U974" s="46" t="s">
        <v>651</v>
      </c>
      <c r="V974" s="46" t="b">
        <v>1</v>
      </c>
      <c r="W974" s="46">
        <v>0.95</v>
      </c>
      <c r="X974" s="46">
        <v>0.0095</v>
      </c>
      <c r="Y974" s="46" t="s">
        <v>640</v>
      </c>
      <c r="Z974" s="46" t="b">
        <v>0</v>
      </c>
      <c r="AA974" s="46" t="b">
        <v>0</v>
      </c>
    </row>
    <row r="975">
      <c r="A975" s="157" t="s">
        <v>559</v>
      </c>
      <c r="B975" s="158">
        <v>2.0</v>
      </c>
      <c r="C975" s="157" t="s">
        <v>916</v>
      </c>
      <c r="D975" s="157" t="s">
        <v>917</v>
      </c>
      <c r="E975" s="157" t="s">
        <v>918</v>
      </c>
      <c r="F975" s="157" t="s">
        <v>3137</v>
      </c>
      <c r="G975" s="157" t="s">
        <v>3138</v>
      </c>
      <c r="H975" s="157"/>
      <c r="I975" s="158">
        <v>10.2269</v>
      </c>
      <c r="J975" s="158">
        <v>45.5333</v>
      </c>
      <c r="K975" s="157" t="s">
        <v>3139</v>
      </c>
      <c r="L975" s="157" t="s">
        <v>648</v>
      </c>
      <c r="M975" s="158">
        <v>2022.0</v>
      </c>
      <c r="N975" s="157" t="s">
        <v>549</v>
      </c>
      <c r="O975" s="157" t="s">
        <v>922</v>
      </c>
      <c r="P975" s="161" t="b">
        <v>1</v>
      </c>
      <c r="Q975" s="158">
        <v>0.1242417</v>
      </c>
      <c r="R975" s="158">
        <v>0.009932006</v>
      </c>
      <c r="S975" s="158">
        <v>0.114309694</v>
      </c>
      <c r="T975" s="157" t="s">
        <v>549</v>
      </c>
      <c r="U975" s="46" t="s">
        <v>651</v>
      </c>
      <c r="V975" s="46" t="b">
        <v>1</v>
      </c>
      <c r="W975" s="46">
        <v>0.95</v>
      </c>
      <c r="X975" s="46">
        <v>0.0094354057</v>
      </c>
      <c r="Y975" s="46">
        <v>4.09557218367695</v>
      </c>
      <c r="Z975" s="46" t="b">
        <v>1</v>
      </c>
      <c r="AA975" s="46" t="b">
        <v>1</v>
      </c>
    </row>
    <row r="976">
      <c r="A976" s="157" t="s">
        <v>556</v>
      </c>
      <c r="B976" s="158">
        <v>1.0</v>
      </c>
      <c r="C976" s="157" t="s">
        <v>642</v>
      </c>
      <c r="D976" s="157" t="s">
        <v>643</v>
      </c>
      <c r="E976" s="157" t="s">
        <v>644</v>
      </c>
      <c r="F976" s="157" t="s">
        <v>3140</v>
      </c>
      <c r="G976" s="157" t="s">
        <v>3141</v>
      </c>
      <c r="H976" s="157"/>
      <c r="I976" s="158">
        <v>3.04265</v>
      </c>
      <c r="J976" s="158">
        <v>49.87815</v>
      </c>
      <c r="K976" s="157" t="s">
        <v>3142</v>
      </c>
      <c r="L976" s="157" t="s">
        <v>648</v>
      </c>
      <c r="M976" s="158">
        <v>2022.0</v>
      </c>
      <c r="N976" s="157" t="s">
        <v>649</v>
      </c>
      <c r="O976" s="157" t="s">
        <v>650</v>
      </c>
      <c r="P976" s="161" t="b">
        <v>0</v>
      </c>
      <c r="Q976" s="158">
        <v>0.136</v>
      </c>
      <c r="R976" s="158">
        <v>0.00986359</v>
      </c>
      <c r="S976" s="158">
        <v>0.12613641</v>
      </c>
      <c r="T976" s="157" t="s">
        <v>594</v>
      </c>
      <c r="U976" s="46" t="s">
        <v>651</v>
      </c>
      <c r="V976" s="46" t="b">
        <v>1</v>
      </c>
      <c r="W976" s="46">
        <v>0.95</v>
      </c>
      <c r="X976" s="46">
        <v>0.00937041049999999</v>
      </c>
      <c r="Y976" s="46">
        <v>52.8940114783931</v>
      </c>
      <c r="Z976" s="46" t="b">
        <v>0</v>
      </c>
      <c r="AA976" s="46" t="b">
        <v>1</v>
      </c>
    </row>
    <row r="977">
      <c r="A977" s="157" t="s">
        <v>559</v>
      </c>
      <c r="B977" s="158">
        <v>3.0</v>
      </c>
      <c r="C977" s="157" t="s">
        <v>1215</v>
      </c>
      <c r="D977" s="157" t="s">
        <v>1216</v>
      </c>
      <c r="E977" s="157" t="s">
        <v>1217</v>
      </c>
      <c r="F977" s="157" t="s">
        <v>3143</v>
      </c>
      <c r="G977" s="157" t="s">
        <v>3144</v>
      </c>
      <c r="H977" s="157"/>
      <c r="I977" s="158">
        <v>10.3316</v>
      </c>
      <c r="J977" s="158">
        <v>45.4594</v>
      </c>
      <c r="K977" s="157" t="s">
        <v>3145</v>
      </c>
      <c r="L977" s="157" t="s">
        <v>648</v>
      </c>
      <c r="M977" s="158">
        <v>2022.0</v>
      </c>
      <c r="N977" s="157" t="s">
        <v>114</v>
      </c>
      <c r="O977" s="157" t="s">
        <v>1221</v>
      </c>
      <c r="P977" s="161" t="b">
        <v>1</v>
      </c>
      <c r="Q977" s="158">
        <v>0.216088</v>
      </c>
      <c r="R977" s="158">
        <v>0.009840169</v>
      </c>
      <c r="S977" s="158">
        <v>0.206247831</v>
      </c>
      <c r="T977" s="157" t="s">
        <v>114</v>
      </c>
      <c r="U977" s="46" t="s">
        <v>651</v>
      </c>
      <c r="V977" s="46" t="b">
        <v>1</v>
      </c>
      <c r="W977" s="46">
        <v>0.95</v>
      </c>
      <c r="X977" s="46">
        <v>0.00934816054999999</v>
      </c>
      <c r="Y977" s="46">
        <v>10.3779478424536</v>
      </c>
      <c r="Z977" s="46" t="b">
        <v>1</v>
      </c>
      <c r="AA977" s="46" t="b">
        <v>1</v>
      </c>
    </row>
    <row r="978">
      <c r="A978" s="157" t="s">
        <v>562</v>
      </c>
      <c r="B978" s="158">
        <v>1.0</v>
      </c>
      <c r="C978" s="157" t="s">
        <v>642</v>
      </c>
      <c r="D978" s="157" t="s">
        <v>643</v>
      </c>
      <c r="E978" s="157" t="s">
        <v>644</v>
      </c>
      <c r="F978" s="162" t="s">
        <v>3146</v>
      </c>
      <c r="G978" s="157" t="s">
        <v>3147</v>
      </c>
      <c r="H978" s="157"/>
      <c r="I978" s="158">
        <v>4.32097</v>
      </c>
      <c r="J978" s="158">
        <v>51.296</v>
      </c>
      <c r="K978" s="157" t="s">
        <v>2148</v>
      </c>
      <c r="L978" s="157" t="s">
        <v>648</v>
      </c>
      <c r="M978" s="158">
        <v>2022.0</v>
      </c>
      <c r="N978" s="157" t="s">
        <v>649</v>
      </c>
      <c r="O978" s="157" t="s">
        <v>650</v>
      </c>
      <c r="P978" s="161" t="b">
        <v>0</v>
      </c>
      <c r="Q978" s="158">
        <v>0.135</v>
      </c>
      <c r="R978" s="158">
        <v>0.009791064</v>
      </c>
      <c r="S978" s="158">
        <v>0.125208936</v>
      </c>
      <c r="T978" s="157" t="s">
        <v>594</v>
      </c>
      <c r="U978" s="46" t="s">
        <v>651</v>
      </c>
      <c r="V978" s="46" t="b">
        <v>1</v>
      </c>
      <c r="W978" s="46">
        <v>0.95</v>
      </c>
      <c r="X978" s="46">
        <v>0.0093015108</v>
      </c>
      <c r="Y978" s="46">
        <v>1.67955972017896</v>
      </c>
      <c r="Z978" s="46" t="b">
        <v>1</v>
      </c>
      <c r="AA978" s="46" t="b">
        <v>1</v>
      </c>
    </row>
    <row r="979">
      <c r="A979" s="157" t="s">
        <v>566</v>
      </c>
      <c r="B979" s="158">
        <v>3.0</v>
      </c>
      <c r="C979" s="157" t="s">
        <v>1215</v>
      </c>
      <c r="D979" s="157" t="s">
        <v>1216</v>
      </c>
      <c r="E979" s="157" t="s">
        <v>1217</v>
      </c>
      <c r="F979" s="157" t="s">
        <v>3148</v>
      </c>
      <c r="G979" s="157" t="s">
        <v>3149</v>
      </c>
      <c r="H979" s="157"/>
      <c r="I979" s="158">
        <v>18.00814629</v>
      </c>
      <c r="J979" s="158">
        <v>52.82714081</v>
      </c>
      <c r="K979" s="157" t="s">
        <v>3150</v>
      </c>
      <c r="L979" s="157" t="s">
        <v>648</v>
      </c>
      <c r="M979" s="158">
        <v>2022.0</v>
      </c>
      <c r="N979" s="157" t="s">
        <v>114</v>
      </c>
      <c r="O979" s="157" t="s">
        <v>1221</v>
      </c>
      <c r="P979" s="161" t="b">
        <v>1</v>
      </c>
      <c r="Q979" s="158">
        <v>0.215</v>
      </c>
      <c r="R979" s="158">
        <v>0.009790624</v>
      </c>
      <c r="S979" s="158">
        <v>0.205209376</v>
      </c>
      <c r="T979" s="157" t="s">
        <v>114</v>
      </c>
      <c r="U979" s="46" t="s">
        <v>651</v>
      </c>
      <c r="V979" s="46" t="b">
        <v>1</v>
      </c>
      <c r="W979" s="46">
        <v>0.95</v>
      </c>
      <c r="X979" s="46">
        <v>0.00930109279999999</v>
      </c>
      <c r="Y979" s="46">
        <v>3.1785611158585</v>
      </c>
      <c r="Z979" s="46" t="b">
        <v>1</v>
      </c>
      <c r="AA979" s="46" t="b">
        <v>1</v>
      </c>
    </row>
    <row r="980">
      <c r="A980" s="157" t="s">
        <v>561</v>
      </c>
      <c r="B980" s="158">
        <v>1.0</v>
      </c>
      <c r="C980" s="157" t="s">
        <v>642</v>
      </c>
      <c r="D980" s="157" t="s">
        <v>643</v>
      </c>
      <c r="E980" s="157" t="s">
        <v>644</v>
      </c>
      <c r="F980" s="157" t="s">
        <v>3151</v>
      </c>
      <c r="G980" s="157" t="s">
        <v>3152</v>
      </c>
      <c r="H980" s="157"/>
      <c r="I980" s="158">
        <v>-5.32</v>
      </c>
      <c r="J980" s="158">
        <v>35.89</v>
      </c>
      <c r="K980" s="157" t="s">
        <v>3153</v>
      </c>
      <c r="L980" s="157" t="s">
        <v>648</v>
      </c>
      <c r="M980" s="158">
        <v>2022.0</v>
      </c>
      <c r="N980" s="157" t="s">
        <v>649</v>
      </c>
      <c r="O980" s="157" t="s">
        <v>650</v>
      </c>
      <c r="P980" s="161" t="b">
        <v>0</v>
      </c>
      <c r="Q980" s="158">
        <v>0.134</v>
      </c>
      <c r="R980" s="158">
        <v>0.009718537</v>
      </c>
      <c r="S980" s="158">
        <v>0.124281463</v>
      </c>
      <c r="T980" s="157" t="s">
        <v>594</v>
      </c>
      <c r="U980" s="46" t="s">
        <v>651</v>
      </c>
      <c r="V980" s="46" t="b">
        <v>1</v>
      </c>
      <c r="W980" s="46">
        <v>0.95</v>
      </c>
      <c r="X980" s="46">
        <v>0.00923261014999999</v>
      </c>
      <c r="Y980" s="46" t="s">
        <v>640</v>
      </c>
      <c r="Z980" s="46" t="b">
        <v>0</v>
      </c>
      <c r="AA980" s="46" t="b">
        <v>0</v>
      </c>
    </row>
    <row r="981">
      <c r="A981" s="157" t="s">
        <v>561</v>
      </c>
      <c r="B981" s="158">
        <v>1.0</v>
      </c>
      <c r="C981" s="157" t="s">
        <v>642</v>
      </c>
      <c r="D981" s="157" t="s">
        <v>643</v>
      </c>
      <c r="E981" s="157" t="s">
        <v>644</v>
      </c>
      <c r="F981" s="157" t="s">
        <v>3154</v>
      </c>
      <c r="G981" s="157" t="s">
        <v>3155</v>
      </c>
      <c r="H981" s="157"/>
      <c r="I981" s="158">
        <v>-6.698699</v>
      </c>
      <c r="J981" s="158">
        <v>43.507663</v>
      </c>
      <c r="K981" s="157" t="s">
        <v>707</v>
      </c>
      <c r="L981" s="157" t="s">
        <v>648</v>
      </c>
      <c r="M981" s="158">
        <v>2022.0</v>
      </c>
      <c r="N981" s="157" t="s">
        <v>649</v>
      </c>
      <c r="O981" s="157" t="s">
        <v>650</v>
      </c>
      <c r="P981" s="161" t="b">
        <v>0</v>
      </c>
      <c r="Q981" s="158">
        <v>0.132</v>
      </c>
      <c r="R981" s="158">
        <v>0.009573484</v>
      </c>
      <c r="S981" s="158">
        <v>0.122426516</v>
      </c>
      <c r="T981" s="157" t="s">
        <v>594</v>
      </c>
      <c r="U981" s="46" t="s">
        <v>651</v>
      </c>
      <c r="V981" s="46" t="b">
        <v>1</v>
      </c>
      <c r="W981" s="46">
        <v>0.95</v>
      </c>
      <c r="X981" s="46">
        <v>0.00909480979999999</v>
      </c>
      <c r="Y981" s="46" t="s">
        <v>640</v>
      </c>
      <c r="Z981" s="46" t="b">
        <v>0</v>
      </c>
      <c r="AA981" s="46" t="b">
        <v>0</v>
      </c>
    </row>
    <row r="982">
      <c r="A982" s="157" t="s">
        <v>561</v>
      </c>
      <c r="B982" s="158">
        <v>1.0</v>
      </c>
      <c r="C982" s="157" t="s">
        <v>642</v>
      </c>
      <c r="D982" s="157" t="s">
        <v>643</v>
      </c>
      <c r="E982" s="157" t="s">
        <v>644</v>
      </c>
      <c r="F982" s="157" t="s">
        <v>3156</v>
      </c>
      <c r="G982" s="157" t="s">
        <v>3157</v>
      </c>
      <c r="H982" s="157"/>
      <c r="I982" s="158">
        <v>-2.937943</v>
      </c>
      <c r="J982" s="158">
        <v>35.290441</v>
      </c>
      <c r="K982" s="157" t="s">
        <v>3158</v>
      </c>
      <c r="L982" s="157" t="s">
        <v>648</v>
      </c>
      <c r="M982" s="158">
        <v>2022.0</v>
      </c>
      <c r="N982" s="157" t="s">
        <v>649</v>
      </c>
      <c r="O982" s="157" t="s">
        <v>650</v>
      </c>
      <c r="P982" s="161" t="b">
        <v>0</v>
      </c>
      <c r="Q982" s="158">
        <v>0.132</v>
      </c>
      <c r="R982" s="158">
        <v>0.009573484</v>
      </c>
      <c r="S982" s="158">
        <v>0.122426516</v>
      </c>
      <c r="T982" s="157" t="s">
        <v>594</v>
      </c>
      <c r="U982" s="46" t="s">
        <v>651</v>
      </c>
      <c r="V982" s="46" t="b">
        <v>1</v>
      </c>
      <c r="W982" s="46">
        <v>0.95</v>
      </c>
      <c r="X982" s="46">
        <v>0.00909480979999999</v>
      </c>
      <c r="Y982" s="46" t="s">
        <v>640</v>
      </c>
      <c r="Z982" s="46" t="b">
        <v>0</v>
      </c>
      <c r="AA982" s="46" t="b">
        <v>0</v>
      </c>
    </row>
    <row r="983">
      <c r="A983" s="157" t="s">
        <v>559</v>
      </c>
      <c r="B983" s="158">
        <v>1.0</v>
      </c>
      <c r="C983" s="157" t="s">
        <v>642</v>
      </c>
      <c r="D983" s="157" t="s">
        <v>643</v>
      </c>
      <c r="E983" s="157" t="s">
        <v>644</v>
      </c>
      <c r="F983" s="157" t="s">
        <v>3159</v>
      </c>
      <c r="G983" s="157" t="s">
        <v>3160</v>
      </c>
      <c r="H983" s="157"/>
      <c r="I983" s="158">
        <v>15.6048</v>
      </c>
      <c r="J983" s="158">
        <v>38.274</v>
      </c>
      <c r="K983" s="157" t="s">
        <v>3161</v>
      </c>
      <c r="L983" s="157" t="s">
        <v>648</v>
      </c>
      <c r="M983" s="158">
        <v>2022.0</v>
      </c>
      <c r="N983" s="157" t="s">
        <v>649</v>
      </c>
      <c r="O983" s="157" t="s">
        <v>650</v>
      </c>
      <c r="P983" s="161" t="b">
        <v>0</v>
      </c>
      <c r="Q983" s="158">
        <v>0.131191</v>
      </c>
      <c r="R983" s="158">
        <v>0.009514811</v>
      </c>
      <c r="S983" s="158">
        <v>0.121676189</v>
      </c>
      <c r="T983" s="157" t="s">
        <v>594</v>
      </c>
      <c r="U983" s="46" t="s">
        <v>651</v>
      </c>
      <c r="V983" s="46" t="b">
        <v>1</v>
      </c>
      <c r="W983" s="46">
        <v>0.95</v>
      </c>
      <c r="X983" s="46">
        <v>0.00903907044999999</v>
      </c>
      <c r="Y983" s="46" t="s">
        <v>640</v>
      </c>
      <c r="Z983" s="46" t="b">
        <v>0</v>
      </c>
      <c r="AA983" s="46" t="b">
        <v>0</v>
      </c>
    </row>
    <row r="984">
      <c r="A984" s="157" t="s">
        <v>561</v>
      </c>
      <c r="B984" s="158">
        <v>3.0</v>
      </c>
      <c r="C984" s="157" t="s">
        <v>1215</v>
      </c>
      <c r="D984" s="157" t="s">
        <v>1371</v>
      </c>
      <c r="E984" s="157" t="s">
        <v>1372</v>
      </c>
      <c r="F984" s="157" t="s">
        <v>3162</v>
      </c>
      <c r="G984" s="157" t="s">
        <v>3163</v>
      </c>
      <c r="H984" s="157"/>
      <c r="I984" s="158">
        <v>-4.466111</v>
      </c>
      <c r="J984" s="158">
        <v>41.941389</v>
      </c>
      <c r="K984" s="157" t="s">
        <v>3164</v>
      </c>
      <c r="L984" s="157" t="s">
        <v>648</v>
      </c>
      <c r="M984" s="158">
        <v>2022.0</v>
      </c>
      <c r="N984" s="157" t="s">
        <v>114</v>
      </c>
      <c r="O984" s="157" t="s">
        <v>1376</v>
      </c>
      <c r="P984" s="161" t="b">
        <v>1</v>
      </c>
      <c r="Q984" s="158">
        <v>0.246</v>
      </c>
      <c r="R984" s="158">
        <v>0.009477809</v>
      </c>
      <c r="S984" s="158">
        <v>0.236522191</v>
      </c>
      <c r="T984" s="157" t="s">
        <v>114</v>
      </c>
      <c r="U984" s="46" t="s">
        <v>651</v>
      </c>
      <c r="V984" s="46" t="b">
        <v>1</v>
      </c>
      <c r="W984" s="46">
        <v>0.95</v>
      </c>
      <c r="X984" s="46">
        <v>0.00900391855</v>
      </c>
      <c r="Y984" s="46" t="s">
        <v>640</v>
      </c>
      <c r="Z984" s="46" t="b">
        <v>0</v>
      </c>
      <c r="AA984" s="46" t="b">
        <v>0</v>
      </c>
    </row>
    <row r="985">
      <c r="A985" s="157" t="s">
        <v>559</v>
      </c>
      <c r="B985" s="158">
        <v>3.0</v>
      </c>
      <c r="C985" s="157" t="s">
        <v>1215</v>
      </c>
      <c r="D985" s="157" t="s">
        <v>1216</v>
      </c>
      <c r="E985" s="157" t="s">
        <v>1217</v>
      </c>
      <c r="F985" s="157" t="s">
        <v>3165</v>
      </c>
      <c r="G985" s="157" t="s">
        <v>3166</v>
      </c>
      <c r="H985" s="157"/>
      <c r="I985" s="158">
        <v>9.024167</v>
      </c>
      <c r="J985" s="158">
        <v>39.469722</v>
      </c>
      <c r="K985" s="157" t="s">
        <v>3167</v>
      </c>
      <c r="L985" s="157" t="s">
        <v>648</v>
      </c>
      <c r="M985" s="158">
        <v>2022.0</v>
      </c>
      <c r="N985" s="157" t="s">
        <v>114</v>
      </c>
      <c r="O985" s="157" t="s">
        <v>1221</v>
      </c>
      <c r="P985" s="161" t="b">
        <v>1</v>
      </c>
      <c r="Q985" s="158">
        <v>0.207554</v>
      </c>
      <c r="R985" s="158">
        <v>0.00945155</v>
      </c>
      <c r="S985" s="158">
        <v>0.19810245</v>
      </c>
      <c r="T985" s="157" t="s">
        <v>114</v>
      </c>
      <c r="U985" s="46" t="s">
        <v>651</v>
      </c>
      <c r="V985" s="46" t="b">
        <v>1</v>
      </c>
      <c r="W985" s="46">
        <v>0.95</v>
      </c>
      <c r="X985" s="46">
        <v>0.0089789725</v>
      </c>
      <c r="Y985" s="46" t="s">
        <v>640</v>
      </c>
      <c r="Z985" s="46" t="b">
        <v>0</v>
      </c>
      <c r="AA985" s="46" t="b">
        <v>0</v>
      </c>
    </row>
    <row r="986">
      <c r="A986" s="157" t="s">
        <v>561</v>
      </c>
      <c r="B986" s="158">
        <v>1.0</v>
      </c>
      <c r="C986" s="157" t="s">
        <v>642</v>
      </c>
      <c r="D986" s="157" t="s">
        <v>643</v>
      </c>
      <c r="E986" s="157" t="s">
        <v>644</v>
      </c>
      <c r="F986" s="157" t="s">
        <v>3168</v>
      </c>
      <c r="G986" s="157" t="s">
        <v>3169</v>
      </c>
      <c r="H986" s="157"/>
      <c r="I986" s="158">
        <v>-5.407446</v>
      </c>
      <c r="J986" s="158">
        <v>36.205306</v>
      </c>
      <c r="K986" s="157" t="s">
        <v>3075</v>
      </c>
      <c r="L986" s="157" t="s">
        <v>648</v>
      </c>
      <c r="M986" s="158">
        <v>2022.0</v>
      </c>
      <c r="N986" s="157" t="s">
        <v>649</v>
      </c>
      <c r="O986" s="157" t="s">
        <v>650</v>
      </c>
      <c r="P986" s="161" t="b">
        <v>0</v>
      </c>
      <c r="Q986" s="158">
        <v>0.13</v>
      </c>
      <c r="R986" s="158">
        <v>0.009428432</v>
      </c>
      <c r="S986" s="158">
        <v>0.120571568</v>
      </c>
      <c r="T986" s="157" t="s">
        <v>594</v>
      </c>
      <c r="U986" s="46" t="s">
        <v>651</v>
      </c>
      <c r="V986" s="46" t="b">
        <v>1</v>
      </c>
      <c r="W986" s="46">
        <v>0.95</v>
      </c>
      <c r="X986" s="46">
        <v>0.0089570104</v>
      </c>
      <c r="Y986" s="46" t="s">
        <v>640</v>
      </c>
      <c r="Z986" s="46" t="b">
        <v>0</v>
      </c>
      <c r="AA986" s="46" t="b">
        <v>0</v>
      </c>
    </row>
    <row r="987">
      <c r="A987" s="157" t="s">
        <v>560</v>
      </c>
      <c r="B987" s="158">
        <v>3.0</v>
      </c>
      <c r="C987" s="157" t="s">
        <v>1215</v>
      </c>
      <c r="D987" s="157" t="s">
        <v>1216</v>
      </c>
      <c r="E987" s="157" t="s">
        <v>1217</v>
      </c>
      <c r="F987" s="157" t="s">
        <v>3170</v>
      </c>
      <c r="G987" s="157" t="s">
        <v>3171</v>
      </c>
      <c r="H987" s="157"/>
      <c r="I987" s="158">
        <v>10.637861</v>
      </c>
      <c r="J987" s="158">
        <v>47.551528</v>
      </c>
      <c r="K987" s="157" t="s">
        <v>3172</v>
      </c>
      <c r="L987" s="157" t="s">
        <v>648</v>
      </c>
      <c r="M987" s="158">
        <v>2022.0</v>
      </c>
      <c r="N987" s="157" t="s">
        <v>114</v>
      </c>
      <c r="O987" s="157" t="s">
        <v>1221</v>
      </c>
      <c r="P987" s="161" t="b">
        <v>1</v>
      </c>
      <c r="Q987" s="158">
        <v>0.207</v>
      </c>
      <c r="R987" s="158">
        <v>0.009426322</v>
      </c>
      <c r="S987" s="158">
        <v>0.197573678</v>
      </c>
      <c r="T987" s="157" t="s">
        <v>114</v>
      </c>
      <c r="U987" s="46" t="s">
        <v>651</v>
      </c>
      <c r="V987" s="46" t="b">
        <v>1</v>
      </c>
      <c r="W987" s="46">
        <v>0.95</v>
      </c>
      <c r="X987" s="46">
        <v>0.0089550059</v>
      </c>
      <c r="Y987" s="46">
        <v>101.257976788835</v>
      </c>
      <c r="Z987" s="46" t="b">
        <v>0</v>
      </c>
      <c r="AA987" s="46" t="b">
        <v>0</v>
      </c>
    </row>
    <row r="988">
      <c r="A988" s="157" t="s">
        <v>556</v>
      </c>
      <c r="B988" s="158">
        <v>3.0</v>
      </c>
      <c r="C988" s="157" t="s">
        <v>1215</v>
      </c>
      <c r="D988" s="157" t="s">
        <v>1371</v>
      </c>
      <c r="E988" s="157" t="s">
        <v>1372</v>
      </c>
      <c r="F988" s="157" t="s">
        <v>3173</v>
      </c>
      <c r="G988" s="157" t="s">
        <v>3174</v>
      </c>
      <c r="H988" s="157"/>
      <c r="I988" s="158">
        <v>0.25948</v>
      </c>
      <c r="J988" s="158">
        <v>47.5965</v>
      </c>
      <c r="K988" s="157" t="s">
        <v>3175</v>
      </c>
      <c r="L988" s="157" t="s">
        <v>648</v>
      </c>
      <c r="M988" s="158">
        <v>2022.0</v>
      </c>
      <c r="N988" s="157" t="s">
        <v>114</v>
      </c>
      <c r="O988" s="157" t="s">
        <v>1376</v>
      </c>
      <c r="P988" s="161" t="b">
        <v>1</v>
      </c>
      <c r="Q988" s="158">
        <v>0.244</v>
      </c>
      <c r="R988" s="158">
        <v>0.009400754</v>
      </c>
      <c r="S988" s="158">
        <v>0.234599246</v>
      </c>
      <c r="T988" s="157" t="s">
        <v>114</v>
      </c>
      <c r="U988" s="46" t="s">
        <v>651</v>
      </c>
      <c r="V988" s="46" t="b">
        <v>1</v>
      </c>
      <c r="W988" s="46">
        <v>0.95</v>
      </c>
      <c r="X988" s="46">
        <v>0.0089307163</v>
      </c>
      <c r="Y988" s="46">
        <v>84.3165222648201</v>
      </c>
      <c r="Z988" s="46" t="b">
        <v>0</v>
      </c>
      <c r="AA988" s="46" t="b">
        <v>1</v>
      </c>
    </row>
    <row r="989">
      <c r="A989" s="157" t="s">
        <v>561</v>
      </c>
      <c r="B989" s="158">
        <v>3.0</v>
      </c>
      <c r="C989" s="157" t="s">
        <v>1215</v>
      </c>
      <c r="D989" s="157" t="s">
        <v>1371</v>
      </c>
      <c r="E989" s="157" t="s">
        <v>1372</v>
      </c>
      <c r="F989" s="157" t="s">
        <v>3176</v>
      </c>
      <c r="G989" s="157" t="s">
        <v>3177</v>
      </c>
      <c r="H989" s="157"/>
      <c r="I989" s="158">
        <v>-2.884469</v>
      </c>
      <c r="J989" s="158">
        <v>43.205201</v>
      </c>
      <c r="K989" s="157" t="s">
        <v>3178</v>
      </c>
      <c r="L989" s="157" t="s">
        <v>648</v>
      </c>
      <c r="M989" s="158">
        <v>2022.0</v>
      </c>
      <c r="N989" s="157" t="s">
        <v>114</v>
      </c>
      <c r="O989" s="157" t="s">
        <v>1376</v>
      </c>
      <c r="P989" s="161" t="b">
        <v>1</v>
      </c>
      <c r="Q989" s="158">
        <v>0.244</v>
      </c>
      <c r="R989" s="158">
        <v>0.009400754</v>
      </c>
      <c r="S989" s="158">
        <v>0.234599246</v>
      </c>
      <c r="T989" s="157" t="s">
        <v>114</v>
      </c>
      <c r="U989" s="46" t="s">
        <v>651</v>
      </c>
      <c r="V989" s="46" t="b">
        <v>1</v>
      </c>
      <c r="W989" s="46">
        <v>0.95</v>
      </c>
      <c r="X989" s="46">
        <v>0.0089307163</v>
      </c>
      <c r="Y989" s="46">
        <v>114.944808396884</v>
      </c>
      <c r="Z989" s="46" t="b">
        <v>0</v>
      </c>
      <c r="AA989" s="46" t="b">
        <v>0</v>
      </c>
    </row>
    <row r="990">
      <c r="A990" s="157" t="s">
        <v>559</v>
      </c>
      <c r="B990" s="158">
        <v>1.0</v>
      </c>
      <c r="C990" s="157" t="s">
        <v>642</v>
      </c>
      <c r="D990" s="157" t="s">
        <v>643</v>
      </c>
      <c r="E990" s="157" t="s">
        <v>644</v>
      </c>
      <c r="F990" s="157" t="s">
        <v>3179</v>
      </c>
      <c r="G990" s="157" t="s">
        <v>3180</v>
      </c>
      <c r="H990" s="157"/>
      <c r="I990" s="158">
        <v>8.6697</v>
      </c>
      <c r="J990" s="158">
        <v>44.8856</v>
      </c>
      <c r="K990" s="157" t="s">
        <v>3181</v>
      </c>
      <c r="L990" s="157" t="s">
        <v>648</v>
      </c>
      <c r="M990" s="158">
        <v>2022.0</v>
      </c>
      <c r="N990" s="157" t="s">
        <v>649</v>
      </c>
      <c r="O990" s="157" t="s">
        <v>650</v>
      </c>
      <c r="P990" s="161" t="b">
        <v>0</v>
      </c>
      <c r="Q990" s="158">
        <v>0.129573</v>
      </c>
      <c r="R990" s="158">
        <v>0.009397463</v>
      </c>
      <c r="S990" s="158">
        <v>0.120175537</v>
      </c>
      <c r="T990" s="157" t="s">
        <v>594</v>
      </c>
      <c r="U990" s="46" t="s">
        <v>651</v>
      </c>
      <c r="V990" s="46" t="b">
        <v>1</v>
      </c>
      <c r="W990" s="46">
        <v>0.95</v>
      </c>
      <c r="X990" s="46">
        <v>0.00892758984999999</v>
      </c>
      <c r="Y990" s="46">
        <v>19.1994970945202</v>
      </c>
      <c r="Z990" s="46" t="b">
        <v>1</v>
      </c>
      <c r="AA990" s="46" t="b">
        <v>1</v>
      </c>
    </row>
    <row r="991">
      <c r="A991" s="157" t="s">
        <v>559</v>
      </c>
      <c r="B991" s="158">
        <v>1.0</v>
      </c>
      <c r="C991" s="157" t="s">
        <v>642</v>
      </c>
      <c r="D991" s="157" t="s">
        <v>643</v>
      </c>
      <c r="E991" s="157" t="s">
        <v>644</v>
      </c>
      <c r="F991" s="157" t="s">
        <v>3182</v>
      </c>
      <c r="G991" s="157" t="s">
        <v>3183</v>
      </c>
      <c r="H991" s="157"/>
      <c r="I991" s="158">
        <v>16.5486</v>
      </c>
      <c r="J991" s="158">
        <v>40.4175</v>
      </c>
      <c r="K991" s="157" t="s">
        <v>2694</v>
      </c>
      <c r="L991" s="157" t="s">
        <v>648</v>
      </c>
      <c r="M991" s="158">
        <v>2022.0</v>
      </c>
      <c r="N991" s="157" t="s">
        <v>649</v>
      </c>
      <c r="O991" s="157" t="s">
        <v>650</v>
      </c>
      <c r="P991" s="161" t="b">
        <v>0</v>
      </c>
      <c r="Q991" s="158">
        <v>0.128849729</v>
      </c>
      <c r="R991" s="158">
        <v>0.009345007</v>
      </c>
      <c r="S991" s="158">
        <v>0.119504723</v>
      </c>
      <c r="T991" s="157" t="s">
        <v>594</v>
      </c>
      <c r="U991" s="46" t="s">
        <v>651</v>
      </c>
      <c r="V991" s="46" t="b">
        <v>1</v>
      </c>
      <c r="W991" s="46">
        <v>0.95</v>
      </c>
      <c r="X991" s="46">
        <v>0.00887775665</v>
      </c>
      <c r="Y991" s="46" t="s">
        <v>640</v>
      </c>
      <c r="Z991" s="46" t="b">
        <v>0</v>
      </c>
      <c r="AA991" s="46" t="b">
        <v>0</v>
      </c>
    </row>
    <row r="992">
      <c r="A992" s="157" t="s">
        <v>571</v>
      </c>
      <c r="B992" s="158">
        <v>1.0</v>
      </c>
      <c r="C992" s="157" t="s">
        <v>642</v>
      </c>
      <c r="D992" s="157" t="s">
        <v>643</v>
      </c>
      <c r="E992" s="157" t="s">
        <v>644</v>
      </c>
      <c r="F992" s="157" t="s">
        <v>3184</v>
      </c>
      <c r="G992" s="157" t="s">
        <v>3185</v>
      </c>
      <c r="H992" s="157"/>
      <c r="I992" s="158">
        <v>24.317765</v>
      </c>
      <c r="J992" s="158">
        <v>55.749369</v>
      </c>
      <c r="K992" s="157" t="s">
        <v>3186</v>
      </c>
      <c r="L992" s="157" t="s">
        <v>648</v>
      </c>
      <c r="M992" s="158">
        <v>2022.0</v>
      </c>
      <c r="N992" s="157" t="s">
        <v>649</v>
      </c>
      <c r="O992" s="157" t="s">
        <v>650</v>
      </c>
      <c r="P992" s="161" t="b">
        <v>0</v>
      </c>
      <c r="Q992" s="158">
        <v>0.128</v>
      </c>
      <c r="R992" s="158">
        <v>0.009283379</v>
      </c>
      <c r="S992" s="158">
        <v>0.118716621</v>
      </c>
      <c r="T992" s="157" t="s">
        <v>594</v>
      </c>
      <c r="U992" s="46" t="s">
        <v>651</v>
      </c>
      <c r="V992" s="46" t="b">
        <v>1</v>
      </c>
      <c r="W992" s="46">
        <v>0.95</v>
      </c>
      <c r="X992" s="46">
        <v>0.00881921005</v>
      </c>
      <c r="Y992" s="46">
        <v>148.632226817402</v>
      </c>
      <c r="Z992" s="46" t="b">
        <v>0</v>
      </c>
      <c r="AA992" s="46" t="b">
        <v>0</v>
      </c>
    </row>
    <row r="993">
      <c r="A993" s="157" t="s">
        <v>571</v>
      </c>
      <c r="B993" s="158">
        <v>1.0</v>
      </c>
      <c r="C993" s="157" t="s">
        <v>642</v>
      </c>
      <c r="D993" s="157" t="s">
        <v>643</v>
      </c>
      <c r="E993" s="157" t="s">
        <v>644</v>
      </c>
      <c r="F993" s="157" t="s">
        <v>3187</v>
      </c>
      <c r="G993" s="157" t="s">
        <v>3188</v>
      </c>
      <c r="H993" s="157"/>
      <c r="I993" s="158">
        <v>25.153158</v>
      </c>
      <c r="J993" s="158">
        <v>54.668059</v>
      </c>
      <c r="K993" s="157" t="s">
        <v>2036</v>
      </c>
      <c r="L993" s="157" t="s">
        <v>648</v>
      </c>
      <c r="M993" s="158">
        <v>2022.0</v>
      </c>
      <c r="N993" s="157" t="s">
        <v>649</v>
      </c>
      <c r="O993" s="157" t="s">
        <v>650</v>
      </c>
      <c r="P993" s="161" t="b">
        <v>0</v>
      </c>
      <c r="Q993" s="158">
        <v>0.127</v>
      </c>
      <c r="R993" s="158">
        <v>0.009210852</v>
      </c>
      <c r="S993" s="158">
        <v>0.117789148</v>
      </c>
      <c r="T993" s="157" t="s">
        <v>594</v>
      </c>
      <c r="U993" s="46" t="s">
        <v>651</v>
      </c>
      <c r="V993" s="46" t="b">
        <v>1</v>
      </c>
      <c r="W993" s="46">
        <v>0.95</v>
      </c>
      <c r="X993" s="46">
        <v>0.0087503094</v>
      </c>
      <c r="Y993" s="46" t="s">
        <v>640</v>
      </c>
      <c r="Z993" s="46" t="b">
        <v>0</v>
      </c>
      <c r="AA993" s="46" t="b">
        <v>0</v>
      </c>
    </row>
    <row r="994">
      <c r="A994" s="157" t="s">
        <v>574</v>
      </c>
      <c r="B994" s="158">
        <v>1.0</v>
      </c>
      <c r="C994" s="157" t="s">
        <v>642</v>
      </c>
      <c r="D994" s="157" t="s">
        <v>643</v>
      </c>
      <c r="E994" s="157" t="s">
        <v>644</v>
      </c>
      <c r="F994" s="162" t="s">
        <v>3189</v>
      </c>
      <c r="G994" s="157" t="s">
        <v>3190</v>
      </c>
      <c r="H994" s="157"/>
      <c r="I994" s="158">
        <v>18.59751</v>
      </c>
      <c r="J994" s="158">
        <v>48.195833</v>
      </c>
      <c r="K994" s="157" t="s">
        <v>3191</v>
      </c>
      <c r="L994" s="157" t="s">
        <v>648</v>
      </c>
      <c r="M994" s="158">
        <v>2017.0</v>
      </c>
      <c r="N994" s="157" t="s">
        <v>649</v>
      </c>
      <c r="O994" s="157" t="s">
        <v>650</v>
      </c>
      <c r="P994" s="161" t="b">
        <v>0</v>
      </c>
      <c r="Q994" s="158">
        <v>0.127</v>
      </c>
      <c r="R994" s="158">
        <v>0.009210852</v>
      </c>
      <c r="S994" s="158">
        <v>0.117789148</v>
      </c>
      <c r="T994" s="157" t="s">
        <v>594</v>
      </c>
      <c r="U994" s="46" t="s">
        <v>651</v>
      </c>
      <c r="V994" s="46" t="b">
        <v>1</v>
      </c>
      <c r="W994" s="46">
        <v>0.95</v>
      </c>
      <c r="X994" s="46">
        <v>0.0087503094</v>
      </c>
      <c r="Y994" s="46" t="s">
        <v>640</v>
      </c>
      <c r="Z994" s="46" t="b">
        <v>0</v>
      </c>
      <c r="AA994" s="46" t="b">
        <v>0</v>
      </c>
    </row>
    <row r="995">
      <c r="A995" s="157" t="s">
        <v>556</v>
      </c>
      <c r="B995" s="158">
        <v>1.0</v>
      </c>
      <c r="C995" s="157" t="s">
        <v>642</v>
      </c>
      <c r="D995" s="157" t="s">
        <v>643</v>
      </c>
      <c r="E995" s="157" t="s">
        <v>644</v>
      </c>
      <c r="F995" s="157" t="s">
        <v>3192</v>
      </c>
      <c r="G995" s="157" t="s">
        <v>3193</v>
      </c>
      <c r="H995" s="157"/>
      <c r="I995" s="158">
        <v>2.37389</v>
      </c>
      <c r="J995" s="158">
        <v>47.7584</v>
      </c>
      <c r="K995" s="157" t="s">
        <v>3194</v>
      </c>
      <c r="L995" s="157" t="s">
        <v>648</v>
      </c>
      <c r="M995" s="158">
        <v>2022.0</v>
      </c>
      <c r="N995" s="157" t="s">
        <v>649</v>
      </c>
      <c r="O995" s="157" t="s">
        <v>650</v>
      </c>
      <c r="P995" s="161" t="b">
        <v>0</v>
      </c>
      <c r="Q995" s="158">
        <v>0.126</v>
      </c>
      <c r="R995" s="158">
        <v>0.009138326</v>
      </c>
      <c r="S995" s="158">
        <v>0.116861674</v>
      </c>
      <c r="T995" s="157" t="s">
        <v>594</v>
      </c>
      <c r="U995" s="46" t="s">
        <v>651</v>
      </c>
      <c r="V995" s="46" t="b">
        <v>1</v>
      </c>
      <c r="W995" s="46">
        <v>0.95</v>
      </c>
      <c r="X995" s="46">
        <v>0.0086814097</v>
      </c>
      <c r="Y995" s="46">
        <v>105.50609216232</v>
      </c>
      <c r="Z995" s="46" t="b">
        <v>0</v>
      </c>
      <c r="AA995" s="46" t="b">
        <v>0</v>
      </c>
    </row>
    <row r="996">
      <c r="A996" s="157" t="s">
        <v>561</v>
      </c>
      <c r="B996" s="158">
        <v>1.0</v>
      </c>
      <c r="C996" s="157" t="s">
        <v>642</v>
      </c>
      <c r="D996" s="157" t="s">
        <v>643</v>
      </c>
      <c r="E996" s="157" t="s">
        <v>644</v>
      </c>
      <c r="F996" s="157" t="s">
        <v>3195</v>
      </c>
      <c r="G996" s="157" t="s">
        <v>3196</v>
      </c>
      <c r="H996" s="157"/>
      <c r="I996" s="158">
        <v>-5.385402</v>
      </c>
      <c r="J996" s="158">
        <v>36.21002</v>
      </c>
      <c r="K996" s="157" t="s">
        <v>3075</v>
      </c>
      <c r="L996" s="157" t="s">
        <v>648</v>
      </c>
      <c r="M996" s="158">
        <v>2022.0</v>
      </c>
      <c r="N996" s="157" t="s">
        <v>649</v>
      </c>
      <c r="O996" s="157" t="s">
        <v>650</v>
      </c>
      <c r="P996" s="161" t="b">
        <v>0</v>
      </c>
      <c r="Q996" s="158">
        <v>0.126</v>
      </c>
      <c r="R996" s="158">
        <v>0.009138326</v>
      </c>
      <c r="S996" s="158">
        <v>0.116861674</v>
      </c>
      <c r="T996" s="157" t="s">
        <v>594</v>
      </c>
      <c r="U996" s="46" t="s">
        <v>651</v>
      </c>
      <c r="V996" s="46" t="b">
        <v>1</v>
      </c>
      <c r="W996" s="46">
        <v>0.95</v>
      </c>
      <c r="X996" s="46">
        <v>0.0086814097</v>
      </c>
      <c r="Y996" s="46" t="s">
        <v>640</v>
      </c>
      <c r="Z996" s="46" t="b">
        <v>0</v>
      </c>
      <c r="AA996" s="46" t="b">
        <v>0</v>
      </c>
    </row>
    <row r="997">
      <c r="A997" s="157" t="s">
        <v>561</v>
      </c>
      <c r="B997" s="158">
        <v>1.0</v>
      </c>
      <c r="C997" s="157" t="s">
        <v>642</v>
      </c>
      <c r="D997" s="157" t="s">
        <v>643</v>
      </c>
      <c r="E997" s="157" t="s">
        <v>644</v>
      </c>
      <c r="F997" s="157" t="s">
        <v>3197</v>
      </c>
      <c r="G997" s="157" t="s">
        <v>3198</v>
      </c>
      <c r="H997" s="157"/>
      <c r="I997" s="158">
        <v>-4.491705</v>
      </c>
      <c r="J997" s="158">
        <v>37.473165</v>
      </c>
      <c r="K997" s="157" t="s">
        <v>3199</v>
      </c>
      <c r="L997" s="157" t="s">
        <v>648</v>
      </c>
      <c r="M997" s="158">
        <v>2022.0</v>
      </c>
      <c r="N997" s="157" t="s">
        <v>649</v>
      </c>
      <c r="O997" s="157" t="s">
        <v>650</v>
      </c>
      <c r="P997" s="161" t="b">
        <v>0</v>
      </c>
      <c r="Q997" s="158">
        <v>0.126</v>
      </c>
      <c r="R997" s="158">
        <v>0.009138326</v>
      </c>
      <c r="S997" s="158">
        <v>0.116861674</v>
      </c>
      <c r="T997" s="157" t="s">
        <v>594</v>
      </c>
      <c r="U997" s="46" t="s">
        <v>651</v>
      </c>
      <c r="V997" s="46" t="b">
        <v>1</v>
      </c>
      <c r="W997" s="46">
        <v>0.95</v>
      </c>
      <c r="X997" s="46">
        <v>0.0086814097</v>
      </c>
      <c r="Y997" s="46" t="s">
        <v>640</v>
      </c>
      <c r="Z997" s="46" t="b">
        <v>0</v>
      </c>
      <c r="AA997" s="46" t="b">
        <v>0</v>
      </c>
    </row>
    <row r="998">
      <c r="A998" s="157" t="s">
        <v>562</v>
      </c>
      <c r="B998" s="158">
        <v>1.0</v>
      </c>
      <c r="C998" s="157" t="s">
        <v>642</v>
      </c>
      <c r="D998" s="157" t="s">
        <v>643</v>
      </c>
      <c r="E998" s="157" t="s">
        <v>644</v>
      </c>
      <c r="F998" s="157" t="s">
        <v>3200</v>
      </c>
      <c r="G998" s="157" t="s">
        <v>3201</v>
      </c>
      <c r="H998" s="157"/>
      <c r="I998" s="158">
        <v>5.5826173</v>
      </c>
      <c r="J998" s="158">
        <v>50.61833</v>
      </c>
      <c r="K998" s="157"/>
      <c r="L998" s="157" t="s">
        <v>648</v>
      </c>
      <c r="M998" s="158">
        <v>2022.0</v>
      </c>
      <c r="N998" s="157" t="s">
        <v>649</v>
      </c>
      <c r="O998" s="157" t="s">
        <v>650</v>
      </c>
      <c r="P998" s="161" t="b">
        <v>0</v>
      </c>
      <c r="Q998" s="158">
        <v>0.125</v>
      </c>
      <c r="R998" s="158">
        <v>0.0090658</v>
      </c>
      <c r="S998" s="158">
        <v>0.1159342</v>
      </c>
      <c r="T998" s="157" t="s">
        <v>594</v>
      </c>
      <c r="U998" s="46" t="s">
        <v>651</v>
      </c>
      <c r="V998" s="46" t="b">
        <v>1</v>
      </c>
      <c r="W998" s="46">
        <v>0.95</v>
      </c>
      <c r="X998" s="46">
        <v>0.00861251</v>
      </c>
      <c r="Y998" s="164">
        <v>1.27227430710945E-7</v>
      </c>
      <c r="Z998" s="46" t="b">
        <v>1</v>
      </c>
      <c r="AA998" s="46" t="b">
        <v>1</v>
      </c>
    </row>
    <row r="999">
      <c r="A999" s="157" t="s">
        <v>561</v>
      </c>
      <c r="B999" s="158">
        <v>1.0</v>
      </c>
      <c r="C999" s="157" t="s">
        <v>642</v>
      </c>
      <c r="D999" s="157" t="s">
        <v>643</v>
      </c>
      <c r="E999" s="157" t="s">
        <v>644</v>
      </c>
      <c r="F999" s="157" t="s">
        <v>3202</v>
      </c>
      <c r="G999" s="157" t="s">
        <v>3203</v>
      </c>
      <c r="H999" s="157"/>
      <c r="I999" s="158">
        <v>-3.4406</v>
      </c>
      <c r="J999" s="158">
        <v>39.03</v>
      </c>
      <c r="K999" s="157" t="s">
        <v>3204</v>
      </c>
      <c r="L999" s="157" t="s">
        <v>648</v>
      </c>
      <c r="M999" s="158">
        <v>2022.0</v>
      </c>
      <c r="N999" s="157" t="s">
        <v>649</v>
      </c>
      <c r="O999" s="157" t="s">
        <v>650</v>
      </c>
      <c r="P999" s="161" t="b">
        <v>0</v>
      </c>
      <c r="Q999" s="158">
        <v>0.125</v>
      </c>
      <c r="R999" s="158">
        <v>0.0090658</v>
      </c>
      <c r="S999" s="158">
        <v>0.1159342</v>
      </c>
      <c r="T999" s="157" t="s">
        <v>594</v>
      </c>
      <c r="U999" s="46" t="s">
        <v>651</v>
      </c>
      <c r="V999" s="46" t="b">
        <v>1</v>
      </c>
      <c r="W999" s="46">
        <v>0.95</v>
      </c>
      <c r="X999" s="46">
        <v>0.00861251</v>
      </c>
      <c r="Y999" s="46" t="s">
        <v>640</v>
      </c>
      <c r="Z999" s="46" t="b">
        <v>0</v>
      </c>
      <c r="AA999" s="46" t="b">
        <v>0</v>
      </c>
    </row>
    <row r="1000">
      <c r="A1000" s="157" t="s">
        <v>561</v>
      </c>
      <c r="B1000" s="158">
        <v>3.0</v>
      </c>
      <c r="C1000" s="157" t="s">
        <v>1215</v>
      </c>
      <c r="D1000" s="157" t="s">
        <v>2348</v>
      </c>
      <c r="E1000" s="157" t="s">
        <v>2349</v>
      </c>
      <c r="F1000" s="157" t="s">
        <v>3205</v>
      </c>
      <c r="G1000" s="157" t="s">
        <v>3206</v>
      </c>
      <c r="H1000" s="157"/>
      <c r="I1000" s="158">
        <v>-5.480688</v>
      </c>
      <c r="J1000" s="158">
        <v>37.100491</v>
      </c>
      <c r="K1000" s="157" t="s">
        <v>3207</v>
      </c>
      <c r="L1000" s="157" t="s">
        <v>648</v>
      </c>
      <c r="M1000" s="158">
        <v>2022.0</v>
      </c>
      <c r="N1000" s="157" t="s">
        <v>114</v>
      </c>
      <c r="O1000" s="157" t="s">
        <v>1221</v>
      </c>
      <c r="P1000" s="161" t="b">
        <v>1</v>
      </c>
      <c r="Q1000" s="158">
        <v>0.197</v>
      </c>
      <c r="R1000" s="158">
        <v>0.008970944</v>
      </c>
      <c r="S1000" s="158">
        <v>0.188029056</v>
      </c>
      <c r="T1000" s="157" t="s">
        <v>114</v>
      </c>
      <c r="U1000" s="46" t="s">
        <v>651</v>
      </c>
      <c r="V1000" s="46" t="b">
        <v>1</v>
      </c>
      <c r="W1000" s="46">
        <v>0.95</v>
      </c>
      <c r="X1000" s="46">
        <v>0.0085223968</v>
      </c>
      <c r="Y1000" s="46" t="s">
        <v>640</v>
      </c>
      <c r="Z1000" s="46" t="b">
        <v>0</v>
      </c>
      <c r="AA1000" s="46" t="b">
        <v>0</v>
      </c>
    </row>
    <row r="1001">
      <c r="A1001" s="157" t="s">
        <v>561</v>
      </c>
      <c r="B1001" s="158">
        <v>4.0</v>
      </c>
      <c r="C1001" s="157" t="s">
        <v>1092</v>
      </c>
      <c r="D1001" s="157" t="s">
        <v>2307</v>
      </c>
      <c r="E1001" s="157" t="s">
        <v>2308</v>
      </c>
      <c r="F1001" s="157" t="s">
        <v>3208</v>
      </c>
      <c r="G1001" s="157" t="s">
        <v>3209</v>
      </c>
      <c r="H1001" s="157"/>
      <c r="I1001" s="158">
        <v>-6.879285</v>
      </c>
      <c r="J1001" s="158">
        <v>37.192909</v>
      </c>
      <c r="K1001" s="157" t="s">
        <v>2549</v>
      </c>
      <c r="L1001" s="157" t="s">
        <v>648</v>
      </c>
      <c r="M1001" s="158">
        <v>2022.0</v>
      </c>
      <c r="N1001" s="157" t="s">
        <v>201</v>
      </c>
      <c r="O1001" s="157" t="s">
        <v>1098</v>
      </c>
      <c r="P1001" s="161" t="b">
        <v>1</v>
      </c>
      <c r="Q1001" s="158">
        <v>0.16</v>
      </c>
      <c r="R1001" s="158">
        <v>0.008919861</v>
      </c>
      <c r="S1001" s="158">
        <v>0.151080139</v>
      </c>
      <c r="T1001" s="157" t="s">
        <v>201</v>
      </c>
      <c r="U1001" s="46" t="s">
        <v>651</v>
      </c>
      <c r="V1001" s="46" t="b">
        <v>1</v>
      </c>
      <c r="W1001" s="46">
        <v>0.95</v>
      </c>
      <c r="X1001" s="46">
        <v>0.00847386794999999</v>
      </c>
      <c r="Y1001" s="46" t="s">
        <v>640</v>
      </c>
      <c r="Z1001" s="46" t="b">
        <v>0</v>
      </c>
      <c r="AA1001" s="46" t="b">
        <v>0</v>
      </c>
    </row>
    <row r="1002">
      <c r="A1002" s="157" t="s">
        <v>566</v>
      </c>
      <c r="B1002" s="158">
        <v>1.0</v>
      </c>
      <c r="C1002" s="157" t="s">
        <v>642</v>
      </c>
      <c r="D1002" s="157" t="s">
        <v>643</v>
      </c>
      <c r="E1002" s="157" t="s">
        <v>644</v>
      </c>
      <c r="F1002" s="157" t="s">
        <v>3210</v>
      </c>
      <c r="G1002" s="157" t="s">
        <v>3211</v>
      </c>
      <c r="H1002" s="157"/>
      <c r="I1002" s="158">
        <v>21.10705566</v>
      </c>
      <c r="J1002" s="158">
        <v>51.35669327</v>
      </c>
      <c r="K1002" s="157" t="s">
        <v>3212</v>
      </c>
      <c r="L1002" s="157" t="s">
        <v>648</v>
      </c>
      <c r="M1002" s="158">
        <v>2022.0</v>
      </c>
      <c r="N1002" s="157" t="s">
        <v>649</v>
      </c>
      <c r="O1002" s="157" t="s">
        <v>650</v>
      </c>
      <c r="P1002" s="161" t="b">
        <v>0</v>
      </c>
      <c r="Q1002" s="158">
        <v>0.122</v>
      </c>
      <c r="R1002" s="158">
        <v>0.00884822</v>
      </c>
      <c r="S1002" s="158">
        <v>0.11315178</v>
      </c>
      <c r="T1002" s="157" t="s">
        <v>594</v>
      </c>
      <c r="U1002" s="46" t="s">
        <v>651</v>
      </c>
      <c r="V1002" s="46" t="b">
        <v>1</v>
      </c>
      <c r="W1002" s="46">
        <v>0.95</v>
      </c>
      <c r="X1002" s="46">
        <v>0.008405809</v>
      </c>
      <c r="Y1002" s="46" t="s">
        <v>640</v>
      </c>
      <c r="Z1002" s="46" t="b">
        <v>0</v>
      </c>
      <c r="AA1002" s="46" t="b">
        <v>0</v>
      </c>
    </row>
    <row r="1003">
      <c r="A1003" s="157" t="s">
        <v>561</v>
      </c>
      <c r="B1003" s="158">
        <v>1.0</v>
      </c>
      <c r="C1003" s="157" t="s">
        <v>642</v>
      </c>
      <c r="D1003" s="157" t="s">
        <v>643</v>
      </c>
      <c r="E1003" s="157" t="s">
        <v>644</v>
      </c>
      <c r="F1003" s="157" t="s">
        <v>3213</v>
      </c>
      <c r="G1003" s="157" t="s">
        <v>3214</v>
      </c>
      <c r="H1003" s="157"/>
      <c r="I1003" s="158">
        <v>-4.57027</v>
      </c>
      <c r="J1003" s="158">
        <v>37.240991</v>
      </c>
      <c r="K1003" s="157" t="s">
        <v>3215</v>
      </c>
      <c r="L1003" s="157" t="s">
        <v>648</v>
      </c>
      <c r="M1003" s="158">
        <v>2022.0</v>
      </c>
      <c r="N1003" s="157" t="s">
        <v>649</v>
      </c>
      <c r="O1003" s="157" t="s">
        <v>650</v>
      </c>
      <c r="P1003" s="161" t="b">
        <v>0</v>
      </c>
      <c r="Q1003" s="158">
        <v>0.122</v>
      </c>
      <c r="R1003" s="158">
        <v>0.00884822</v>
      </c>
      <c r="S1003" s="158">
        <v>0.11315178</v>
      </c>
      <c r="T1003" s="157" t="s">
        <v>594</v>
      </c>
      <c r="U1003" s="46" t="s">
        <v>651</v>
      </c>
      <c r="V1003" s="46" t="b">
        <v>1</v>
      </c>
      <c r="W1003" s="46">
        <v>0.95</v>
      </c>
      <c r="X1003" s="46">
        <v>0.008405809</v>
      </c>
      <c r="Y1003" s="46" t="s">
        <v>640</v>
      </c>
      <c r="Z1003" s="46" t="b">
        <v>0</v>
      </c>
      <c r="AA1003" s="46" t="b">
        <v>0</v>
      </c>
    </row>
    <row r="1004">
      <c r="A1004" s="157" t="s">
        <v>559</v>
      </c>
      <c r="B1004" s="158">
        <v>4.0</v>
      </c>
      <c r="C1004" s="157" t="s">
        <v>1092</v>
      </c>
      <c r="D1004" s="157" t="s">
        <v>1093</v>
      </c>
      <c r="E1004" s="157" t="s">
        <v>1094</v>
      </c>
      <c r="F1004" s="157" t="s">
        <v>3216</v>
      </c>
      <c r="G1004" s="157" t="s">
        <v>3217</v>
      </c>
      <c r="H1004" s="157"/>
      <c r="I1004" s="158">
        <v>15.1839</v>
      </c>
      <c r="J1004" s="158">
        <v>37.1841</v>
      </c>
      <c r="K1004" s="157" t="s">
        <v>3218</v>
      </c>
      <c r="L1004" s="157" t="s">
        <v>648</v>
      </c>
      <c r="M1004" s="158">
        <v>2022.0</v>
      </c>
      <c r="N1004" s="157" t="s">
        <v>201</v>
      </c>
      <c r="O1004" s="157" t="s">
        <v>1098</v>
      </c>
      <c r="P1004" s="161" t="b">
        <v>1</v>
      </c>
      <c r="Q1004" s="158">
        <v>0.1575842</v>
      </c>
      <c r="R1004" s="158">
        <v>0.008785182</v>
      </c>
      <c r="S1004" s="158">
        <v>0.148799018</v>
      </c>
      <c r="T1004" s="157" t="s">
        <v>201</v>
      </c>
      <c r="U1004" s="46" t="s">
        <v>651</v>
      </c>
      <c r="V1004" s="46" t="b">
        <v>1</v>
      </c>
      <c r="W1004" s="46">
        <v>0.95</v>
      </c>
      <c r="X1004" s="46">
        <v>0.0083459229</v>
      </c>
      <c r="Y1004" s="46" t="s">
        <v>640</v>
      </c>
      <c r="Z1004" s="46" t="b">
        <v>0</v>
      </c>
      <c r="AA1004" s="46" t="b">
        <v>0</v>
      </c>
    </row>
    <row r="1005">
      <c r="A1005" s="157" t="s">
        <v>556</v>
      </c>
      <c r="B1005" s="158">
        <v>1.0</v>
      </c>
      <c r="C1005" s="157" t="s">
        <v>642</v>
      </c>
      <c r="D1005" s="157" t="s">
        <v>643</v>
      </c>
      <c r="E1005" s="157" t="s">
        <v>644</v>
      </c>
      <c r="F1005" s="157" t="s">
        <v>3219</v>
      </c>
      <c r="G1005" s="157" t="s">
        <v>3220</v>
      </c>
      <c r="H1005" s="157"/>
      <c r="I1005" s="158">
        <v>-63.08035</v>
      </c>
      <c r="J1005" s="158">
        <v>18.07732</v>
      </c>
      <c r="K1005" s="157" t="s">
        <v>3221</v>
      </c>
      <c r="L1005" s="157" t="s">
        <v>648</v>
      </c>
      <c r="M1005" s="158">
        <v>2022.0</v>
      </c>
      <c r="N1005" s="157" t="s">
        <v>649</v>
      </c>
      <c r="O1005" s="157" t="s">
        <v>650</v>
      </c>
      <c r="P1005" s="161" t="b">
        <v>0</v>
      </c>
      <c r="Q1005" s="158">
        <v>0.121</v>
      </c>
      <c r="R1005" s="158">
        <v>0.008775694</v>
      </c>
      <c r="S1005" s="158">
        <v>0.112224306</v>
      </c>
      <c r="T1005" s="157" t="s">
        <v>594</v>
      </c>
      <c r="U1005" s="46" t="s">
        <v>651</v>
      </c>
      <c r="V1005" s="46" t="b">
        <v>1</v>
      </c>
      <c r="W1005" s="46">
        <v>0.95</v>
      </c>
      <c r="X1005" s="46">
        <v>0.0083369093</v>
      </c>
      <c r="Y1005" s="46" t="s">
        <v>640</v>
      </c>
      <c r="Z1005" s="46" t="b">
        <v>0</v>
      </c>
      <c r="AA1005" s="46" t="b">
        <v>0</v>
      </c>
    </row>
    <row r="1006">
      <c r="A1006" s="157" t="s">
        <v>556</v>
      </c>
      <c r="B1006" s="158">
        <v>1.0</v>
      </c>
      <c r="C1006" s="157" t="s">
        <v>642</v>
      </c>
      <c r="D1006" s="157" t="s">
        <v>643</v>
      </c>
      <c r="E1006" s="157" t="s">
        <v>644</v>
      </c>
      <c r="F1006" s="157" t="s">
        <v>3222</v>
      </c>
      <c r="G1006" s="157" t="s">
        <v>2943</v>
      </c>
      <c r="H1006" s="157"/>
      <c r="I1006" s="158">
        <v>2.65534</v>
      </c>
      <c r="J1006" s="158">
        <v>48.8724</v>
      </c>
      <c r="K1006" s="157" t="s">
        <v>3223</v>
      </c>
      <c r="L1006" s="157" t="s">
        <v>648</v>
      </c>
      <c r="M1006" s="158">
        <v>2022.0</v>
      </c>
      <c r="N1006" s="157" t="s">
        <v>649</v>
      </c>
      <c r="O1006" s="157" t="s">
        <v>650</v>
      </c>
      <c r="P1006" s="161" t="b">
        <v>0</v>
      </c>
      <c r="Q1006" s="158">
        <v>0.121</v>
      </c>
      <c r="R1006" s="158">
        <v>0.008775694</v>
      </c>
      <c r="S1006" s="158">
        <v>0.112224306</v>
      </c>
      <c r="T1006" s="157" t="s">
        <v>594</v>
      </c>
      <c r="U1006" s="46" t="s">
        <v>651</v>
      </c>
      <c r="V1006" s="46" t="b">
        <v>1</v>
      </c>
      <c r="W1006" s="46">
        <v>0.95</v>
      </c>
      <c r="X1006" s="46">
        <v>0.0083369093</v>
      </c>
      <c r="Y1006" s="46">
        <v>10.6549889514459</v>
      </c>
      <c r="Z1006" s="46" t="b">
        <v>1</v>
      </c>
      <c r="AA1006" s="46" t="b">
        <v>1</v>
      </c>
    </row>
    <row r="1007">
      <c r="A1007" s="157" t="s">
        <v>574</v>
      </c>
      <c r="B1007" s="158">
        <v>1.0</v>
      </c>
      <c r="C1007" s="157" t="s">
        <v>642</v>
      </c>
      <c r="D1007" s="157" t="s">
        <v>643</v>
      </c>
      <c r="E1007" s="157" t="s">
        <v>644</v>
      </c>
      <c r="F1007" s="162" t="s">
        <v>3224</v>
      </c>
      <c r="G1007" s="157" t="s">
        <v>3225</v>
      </c>
      <c r="H1007" s="157"/>
      <c r="I1007" s="158">
        <v>18.907018</v>
      </c>
      <c r="J1007" s="158">
        <v>49.059218</v>
      </c>
      <c r="K1007" s="157" t="s">
        <v>3226</v>
      </c>
      <c r="L1007" s="157" t="s">
        <v>648</v>
      </c>
      <c r="M1007" s="158">
        <v>2017.0</v>
      </c>
      <c r="N1007" s="157" t="s">
        <v>649</v>
      </c>
      <c r="O1007" s="157" t="s">
        <v>650</v>
      </c>
      <c r="P1007" s="161" t="b">
        <v>0</v>
      </c>
      <c r="Q1007" s="158">
        <v>0.121</v>
      </c>
      <c r="R1007" s="158">
        <v>0.008775694</v>
      </c>
      <c r="S1007" s="158">
        <v>0.112224306</v>
      </c>
      <c r="T1007" s="157" t="s">
        <v>594</v>
      </c>
      <c r="U1007" s="46" t="s">
        <v>651</v>
      </c>
      <c r="V1007" s="46" t="b">
        <v>1</v>
      </c>
      <c r="W1007" s="46">
        <v>0.95</v>
      </c>
      <c r="X1007" s="46">
        <v>0.0083369093</v>
      </c>
      <c r="Y1007" s="46" t="s">
        <v>640</v>
      </c>
      <c r="Z1007" s="46" t="b">
        <v>0</v>
      </c>
      <c r="AA1007" s="46" t="b">
        <v>0</v>
      </c>
    </row>
    <row r="1008">
      <c r="A1008" s="157" t="s">
        <v>561</v>
      </c>
      <c r="B1008" s="158">
        <v>1.0</v>
      </c>
      <c r="C1008" s="157" t="s">
        <v>642</v>
      </c>
      <c r="D1008" s="157" t="s">
        <v>643</v>
      </c>
      <c r="E1008" s="157" t="s">
        <v>644</v>
      </c>
      <c r="F1008" s="157" t="s">
        <v>3227</v>
      </c>
      <c r="G1008" s="157" t="s">
        <v>3228</v>
      </c>
      <c r="H1008" s="157"/>
      <c r="I1008" s="158">
        <v>-0.294715</v>
      </c>
      <c r="J1008" s="158">
        <v>41.215786</v>
      </c>
      <c r="K1008" s="157" t="s">
        <v>3229</v>
      </c>
      <c r="L1008" s="157" t="s">
        <v>648</v>
      </c>
      <c r="M1008" s="158">
        <v>2022.0</v>
      </c>
      <c r="N1008" s="157" t="s">
        <v>649</v>
      </c>
      <c r="O1008" s="157" t="s">
        <v>650</v>
      </c>
      <c r="P1008" s="161" t="b">
        <v>0</v>
      </c>
      <c r="Q1008" s="158">
        <v>0.121</v>
      </c>
      <c r="R1008" s="158">
        <v>0.008775694</v>
      </c>
      <c r="S1008" s="158">
        <v>0.112224306</v>
      </c>
      <c r="T1008" s="157" t="s">
        <v>594</v>
      </c>
      <c r="U1008" s="46" t="s">
        <v>651</v>
      </c>
      <c r="V1008" s="46" t="b">
        <v>1</v>
      </c>
      <c r="W1008" s="46">
        <v>0.95</v>
      </c>
      <c r="X1008" s="46">
        <v>0.0083369093</v>
      </c>
      <c r="Y1008" s="46" t="s">
        <v>640</v>
      </c>
      <c r="Z1008" s="46" t="b">
        <v>0</v>
      </c>
      <c r="AA1008" s="46" t="b">
        <v>0</v>
      </c>
    </row>
    <row r="1009">
      <c r="A1009" s="157" t="s">
        <v>559</v>
      </c>
      <c r="B1009" s="158">
        <v>1.0</v>
      </c>
      <c r="C1009" s="157" t="s">
        <v>642</v>
      </c>
      <c r="D1009" s="157" t="s">
        <v>643</v>
      </c>
      <c r="E1009" s="157" t="s">
        <v>644</v>
      </c>
      <c r="F1009" s="157" t="s">
        <v>3230</v>
      </c>
      <c r="G1009" s="157" t="s">
        <v>3231</v>
      </c>
      <c r="H1009" s="157"/>
      <c r="I1009" s="158">
        <v>9.2828</v>
      </c>
      <c r="J1009" s="158">
        <v>45.4172</v>
      </c>
      <c r="K1009" s="157" t="s">
        <v>3232</v>
      </c>
      <c r="L1009" s="157" t="s">
        <v>648</v>
      </c>
      <c r="M1009" s="158">
        <v>2022.0</v>
      </c>
      <c r="N1009" s="157" t="s">
        <v>649</v>
      </c>
      <c r="O1009" s="157" t="s">
        <v>650</v>
      </c>
      <c r="P1009" s="161" t="b">
        <v>0</v>
      </c>
      <c r="Q1009" s="158">
        <v>0.120528257</v>
      </c>
      <c r="R1009" s="158">
        <v>0.00874148</v>
      </c>
      <c r="S1009" s="158">
        <v>0.111786777</v>
      </c>
      <c r="T1009" s="157" t="s">
        <v>594</v>
      </c>
      <c r="U1009" s="46" t="s">
        <v>651</v>
      </c>
      <c r="V1009" s="46" t="b">
        <v>1</v>
      </c>
      <c r="W1009" s="46">
        <v>0.95</v>
      </c>
      <c r="X1009" s="46">
        <v>0.00830440599999999</v>
      </c>
      <c r="Y1009" s="46">
        <v>12.4515735943609</v>
      </c>
      <c r="Z1009" s="46" t="b">
        <v>1</v>
      </c>
      <c r="AA1009" s="46" t="b">
        <v>1</v>
      </c>
    </row>
    <row r="1010">
      <c r="A1010" s="157" t="s">
        <v>561</v>
      </c>
      <c r="B1010" s="158">
        <v>3.0</v>
      </c>
      <c r="C1010" s="157" t="s">
        <v>1215</v>
      </c>
      <c r="D1010" s="157" t="s">
        <v>1371</v>
      </c>
      <c r="E1010" s="157" t="s">
        <v>1372</v>
      </c>
      <c r="F1010" s="157" t="s">
        <v>3233</v>
      </c>
      <c r="G1010" s="157" t="s">
        <v>3234</v>
      </c>
      <c r="H1010" s="157"/>
      <c r="I1010" s="158">
        <v>-1.999106</v>
      </c>
      <c r="J1010" s="158">
        <v>43.286599</v>
      </c>
      <c r="K1010" s="157" t="s">
        <v>3235</v>
      </c>
      <c r="L1010" s="157" t="s">
        <v>648</v>
      </c>
      <c r="M1010" s="158">
        <v>2022.0</v>
      </c>
      <c r="N1010" s="157" t="s">
        <v>114</v>
      </c>
      <c r="O1010" s="157" t="s">
        <v>1376</v>
      </c>
      <c r="P1010" s="161" t="b">
        <v>1</v>
      </c>
      <c r="Q1010" s="158">
        <v>0.225</v>
      </c>
      <c r="R1010" s="158">
        <v>0.008668728</v>
      </c>
      <c r="S1010" s="158">
        <v>0.216331272</v>
      </c>
      <c r="T1010" s="157" t="s">
        <v>114</v>
      </c>
      <c r="U1010" s="46" t="s">
        <v>651</v>
      </c>
      <c r="V1010" s="46" t="b">
        <v>1</v>
      </c>
      <c r="W1010" s="46">
        <v>0.95</v>
      </c>
      <c r="X1010" s="46">
        <v>0.0082352916</v>
      </c>
      <c r="Y1010" s="46">
        <v>45.5295256562315</v>
      </c>
      <c r="Z1010" s="46" t="b">
        <v>1</v>
      </c>
      <c r="AA1010" s="46" t="b">
        <v>1</v>
      </c>
    </row>
    <row r="1011">
      <c r="A1011" s="157" t="s">
        <v>556</v>
      </c>
      <c r="B1011" s="158">
        <v>3.0</v>
      </c>
      <c r="C1011" s="157" t="s">
        <v>1215</v>
      </c>
      <c r="D1011" s="157" t="s">
        <v>2348</v>
      </c>
      <c r="E1011" s="157" t="s">
        <v>2349</v>
      </c>
      <c r="F1011" s="157" t="s">
        <v>3236</v>
      </c>
      <c r="G1011" s="157" t="s">
        <v>3237</v>
      </c>
      <c r="H1011" s="157"/>
      <c r="I1011" s="158">
        <v>4.88914</v>
      </c>
      <c r="J1011" s="158">
        <v>43.4307</v>
      </c>
      <c r="K1011" s="157" t="s">
        <v>1000</v>
      </c>
      <c r="L1011" s="157" t="s">
        <v>648</v>
      </c>
      <c r="M1011" s="158">
        <v>2022.0</v>
      </c>
      <c r="N1011" s="157" t="s">
        <v>114</v>
      </c>
      <c r="O1011" s="157" t="s">
        <v>1221</v>
      </c>
      <c r="P1011" s="161" t="b">
        <v>1</v>
      </c>
      <c r="Q1011" s="158">
        <v>0.189</v>
      </c>
      <c r="R1011" s="158">
        <v>0.008606641</v>
      </c>
      <c r="S1011" s="158">
        <v>0.180393359</v>
      </c>
      <c r="T1011" s="157" t="s">
        <v>114</v>
      </c>
      <c r="U1011" s="46" t="s">
        <v>651</v>
      </c>
      <c r="V1011" s="46" t="b">
        <v>1</v>
      </c>
      <c r="W1011" s="46">
        <v>0.95</v>
      </c>
      <c r="X1011" s="46">
        <v>0.00817630894999999</v>
      </c>
      <c r="Y1011" s="46">
        <v>16.878435256008</v>
      </c>
      <c r="Z1011" s="46" t="b">
        <v>1</v>
      </c>
      <c r="AA1011" s="46" t="b">
        <v>1</v>
      </c>
    </row>
    <row r="1012">
      <c r="A1012" s="157" t="s">
        <v>572</v>
      </c>
      <c r="B1012" s="158">
        <v>1.0</v>
      </c>
      <c r="C1012" s="157" t="s">
        <v>642</v>
      </c>
      <c r="D1012" s="157" t="s">
        <v>2370</v>
      </c>
      <c r="E1012" s="157" t="s">
        <v>2371</v>
      </c>
      <c r="F1012" s="157" t="s">
        <v>3238</v>
      </c>
      <c r="G1012" s="157" t="s">
        <v>3239</v>
      </c>
      <c r="H1012" s="157"/>
      <c r="I1012" s="158">
        <v>23.07361</v>
      </c>
      <c r="J1012" s="158">
        <v>37.91778</v>
      </c>
      <c r="K1012" s="157" t="s">
        <v>1960</v>
      </c>
      <c r="L1012" s="157" t="s">
        <v>648</v>
      </c>
      <c r="M1012" s="158">
        <v>2022.0</v>
      </c>
      <c r="N1012" s="157" t="s">
        <v>547</v>
      </c>
      <c r="O1012" s="157" t="s">
        <v>2371</v>
      </c>
      <c r="P1012" s="161" t="b">
        <v>1</v>
      </c>
      <c r="Q1012" s="158">
        <v>2.28</v>
      </c>
      <c r="R1012" s="158">
        <v>0.008577878</v>
      </c>
      <c r="S1012" s="158">
        <v>2.271422122</v>
      </c>
      <c r="T1012" s="157" t="s">
        <v>547</v>
      </c>
      <c r="U1012" s="46" t="s">
        <v>651</v>
      </c>
      <c r="V1012" s="46" t="b">
        <v>1</v>
      </c>
      <c r="W1012" s="46">
        <v>0.95</v>
      </c>
      <c r="X1012" s="46">
        <v>0.0081489841</v>
      </c>
      <c r="Y1012" s="46">
        <v>57.55194148289</v>
      </c>
      <c r="Z1012" s="46" t="b">
        <v>0</v>
      </c>
      <c r="AA1012" s="46" t="b">
        <v>1</v>
      </c>
    </row>
    <row r="1013">
      <c r="A1013" s="157" t="s">
        <v>556</v>
      </c>
      <c r="B1013" s="158">
        <v>3.0</v>
      </c>
      <c r="C1013" s="157" t="s">
        <v>1215</v>
      </c>
      <c r="D1013" s="157" t="s">
        <v>2348</v>
      </c>
      <c r="E1013" s="157" t="s">
        <v>2349</v>
      </c>
      <c r="F1013" s="157" t="s">
        <v>3240</v>
      </c>
      <c r="G1013" s="157" t="s">
        <v>3241</v>
      </c>
      <c r="H1013" s="157"/>
      <c r="I1013" s="158">
        <v>-0.41583</v>
      </c>
      <c r="J1013" s="158">
        <v>48.1574</v>
      </c>
      <c r="K1013" s="157" t="s">
        <v>3242</v>
      </c>
      <c r="L1013" s="157" t="s">
        <v>648</v>
      </c>
      <c r="M1013" s="158">
        <v>2022.0</v>
      </c>
      <c r="N1013" s="157" t="s">
        <v>114</v>
      </c>
      <c r="O1013" s="157" t="s">
        <v>1221</v>
      </c>
      <c r="P1013" s="161" t="b">
        <v>1</v>
      </c>
      <c r="Q1013" s="158">
        <v>0.187</v>
      </c>
      <c r="R1013" s="158">
        <v>0.008515566</v>
      </c>
      <c r="S1013" s="158">
        <v>0.178484434</v>
      </c>
      <c r="T1013" s="157" t="s">
        <v>114</v>
      </c>
      <c r="U1013" s="46" t="s">
        <v>651</v>
      </c>
      <c r="V1013" s="46" t="b">
        <v>1</v>
      </c>
      <c r="W1013" s="46">
        <v>0.95</v>
      </c>
      <c r="X1013" s="46">
        <v>0.0080897877</v>
      </c>
      <c r="Y1013" s="46">
        <v>4.34766001940652</v>
      </c>
      <c r="Z1013" s="46" t="b">
        <v>1</v>
      </c>
      <c r="AA1013" s="46" t="b">
        <v>1</v>
      </c>
    </row>
    <row r="1014">
      <c r="A1014" s="157" t="s">
        <v>559</v>
      </c>
      <c r="B1014" s="158">
        <v>3.0</v>
      </c>
      <c r="C1014" s="157" t="s">
        <v>1215</v>
      </c>
      <c r="D1014" s="157" t="s">
        <v>1216</v>
      </c>
      <c r="E1014" s="157" t="s">
        <v>1217</v>
      </c>
      <c r="F1014" s="157" t="s">
        <v>3243</v>
      </c>
      <c r="G1014" s="157" t="s">
        <v>3244</v>
      </c>
      <c r="H1014" s="157"/>
      <c r="I1014" s="158">
        <v>12.259722</v>
      </c>
      <c r="J1014" s="158">
        <v>45.815833</v>
      </c>
      <c r="K1014" s="157" t="s">
        <v>3245</v>
      </c>
      <c r="L1014" s="157" t="s">
        <v>648</v>
      </c>
      <c r="M1014" s="158">
        <v>2022.0</v>
      </c>
      <c r="N1014" s="157" t="s">
        <v>114</v>
      </c>
      <c r="O1014" s="157" t="s">
        <v>1221</v>
      </c>
      <c r="P1014" s="161" t="b">
        <v>1</v>
      </c>
      <c r="Q1014" s="158">
        <v>0.186942</v>
      </c>
      <c r="R1014" s="158">
        <v>0.008512925</v>
      </c>
      <c r="S1014" s="158">
        <v>0.178429075</v>
      </c>
      <c r="T1014" s="157" t="s">
        <v>114</v>
      </c>
      <c r="U1014" s="46" t="s">
        <v>651</v>
      </c>
      <c r="V1014" s="46" t="b">
        <v>1</v>
      </c>
      <c r="W1014" s="46">
        <v>0.95</v>
      </c>
      <c r="X1014" s="46">
        <v>0.00808727875</v>
      </c>
      <c r="Y1014" s="46">
        <v>40.990243402536</v>
      </c>
      <c r="Z1014" s="46" t="b">
        <v>1</v>
      </c>
      <c r="AA1014" s="46" t="b">
        <v>1</v>
      </c>
    </row>
    <row r="1015">
      <c r="A1015" s="157" t="s">
        <v>560</v>
      </c>
      <c r="B1015" s="158">
        <v>1.0</v>
      </c>
      <c r="C1015" s="157" t="s">
        <v>642</v>
      </c>
      <c r="D1015" s="157" t="s">
        <v>2370</v>
      </c>
      <c r="E1015" s="157" t="s">
        <v>2371</v>
      </c>
      <c r="F1015" s="157" t="s">
        <v>3246</v>
      </c>
      <c r="G1015" s="157" t="s">
        <v>3247</v>
      </c>
      <c r="H1015" s="157"/>
      <c r="I1015" s="158">
        <v>16.493889</v>
      </c>
      <c r="J1015" s="158">
        <v>48.144722</v>
      </c>
      <c r="K1015" s="157" t="s">
        <v>3248</v>
      </c>
      <c r="L1015" s="157" t="s">
        <v>648</v>
      </c>
      <c r="M1015" s="158">
        <v>2022.0</v>
      </c>
      <c r="N1015" s="157" t="s">
        <v>547</v>
      </c>
      <c r="O1015" s="157" t="s">
        <v>2371</v>
      </c>
      <c r="P1015" s="161" t="b">
        <v>1</v>
      </c>
      <c r="Q1015" s="158">
        <v>2.26</v>
      </c>
      <c r="R1015" s="158">
        <v>0.008502634</v>
      </c>
      <c r="S1015" s="158">
        <v>2.251497366</v>
      </c>
      <c r="T1015" s="157" t="s">
        <v>547</v>
      </c>
      <c r="U1015" s="46" t="s">
        <v>651</v>
      </c>
      <c r="V1015" s="46" t="b">
        <v>1</v>
      </c>
      <c r="W1015" s="46">
        <v>0.95</v>
      </c>
      <c r="X1015" s="46">
        <v>0.00807750229999999</v>
      </c>
      <c r="Y1015" s="46" t="s">
        <v>640</v>
      </c>
      <c r="Z1015" s="46" t="b">
        <v>0</v>
      </c>
      <c r="AA1015" s="46" t="b">
        <v>0</v>
      </c>
    </row>
    <row r="1016">
      <c r="A1016" s="157" t="s">
        <v>561</v>
      </c>
      <c r="B1016" s="158">
        <v>1.0</v>
      </c>
      <c r="C1016" s="157" t="s">
        <v>642</v>
      </c>
      <c r="D1016" s="157" t="s">
        <v>643</v>
      </c>
      <c r="E1016" s="157" t="s">
        <v>644</v>
      </c>
      <c r="F1016" s="157" t="s">
        <v>3249</v>
      </c>
      <c r="G1016" s="157" t="s">
        <v>3250</v>
      </c>
      <c r="H1016" s="157"/>
      <c r="I1016" s="158">
        <v>-3.1176</v>
      </c>
      <c r="J1016" s="158">
        <v>39.3954</v>
      </c>
      <c r="K1016" s="157" t="s">
        <v>3251</v>
      </c>
      <c r="L1016" s="157" t="s">
        <v>648</v>
      </c>
      <c r="M1016" s="158">
        <v>2022.0</v>
      </c>
      <c r="N1016" s="157" t="s">
        <v>649</v>
      </c>
      <c r="O1016" s="157" t="s">
        <v>650</v>
      </c>
      <c r="P1016" s="161" t="b">
        <v>0</v>
      </c>
      <c r="Q1016" s="158">
        <v>0.117</v>
      </c>
      <c r="R1016" s="158">
        <v>0.008485588</v>
      </c>
      <c r="S1016" s="158">
        <v>0.108514412</v>
      </c>
      <c r="T1016" s="157" t="s">
        <v>594</v>
      </c>
      <c r="U1016" s="46" t="s">
        <v>651</v>
      </c>
      <c r="V1016" s="46" t="b">
        <v>1</v>
      </c>
      <c r="W1016" s="46">
        <v>0.95</v>
      </c>
      <c r="X1016" s="46">
        <v>0.0080613086</v>
      </c>
      <c r="Y1016" s="46" t="s">
        <v>640</v>
      </c>
      <c r="Z1016" s="46" t="b">
        <v>0</v>
      </c>
      <c r="AA1016" s="46" t="b">
        <v>0</v>
      </c>
    </row>
    <row r="1017">
      <c r="A1017" s="157" t="s">
        <v>572</v>
      </c>
      <c r="B1017" s="158">
        <v>3.0</v>
      </c>
      <c r="C1017" s="157" t="s">
        <v>1215</v>
      </c>
      <c r="D1017" s="157" t="s">
        <v>1216</v>
      </c>
      <c r="E1017" s="157" t="s">
        <v>1217</v>
      </c>
      <c r="F1017" s="157" t="s">
        <v>3252</v>
      </c>
      <c r="G1017" s="157" t="s">
        <v>3253</v>
      </c>
      <c r="H1017" s="157"/>
      <c r="I1017" s="158">
        <v>23.59286</v>
      </c>
      <c r="J1017" s="158">
        <v>38.03679</v>
      </c>
      <c r="K1017" s="157" t="s">
        <v>3254</v>
      </c>
      <c r="L1017" s="157" t="s">
        <v>648</v>
      </c>
      <c r="M1017" s="158">
        <v>2022.0</v>
      </c>
      <c r="N1017" s="157" t="s">
        <v>114</v>
      </c>
      <c r="O1017" s="157" t="s">
        <v>1221</v>
      </c>
      <c r="P1017" s="161" t="b">
        <v>1</v>
      </c>
      <c r="Q1017" s="158">
        <v>0.185</v>
      </c>
      <c r="R1017" s="158">
        <v>0.00842449</v>
      </c>
      <c r="S1017" s="158">
        <v>0.17657551</v>
      </c>
      <c r="T1017" s="157" t="s">
        <v>114</v>
      </c>
      <c r="U1017" s="46" t="s">
        <v>651</v>
      </c>
      <c r="V1017" s="46" t="b">
        <v>1</v>
      </c>
      <c r="W1017" s="46">
        <v>0.95</v>
      </c>
      <c r="X1017" s="46">
        <v>0.00800326549999999</v>
      </c>
      <c r="Y1017" s="46">
        <v>21.7608047616856</v>
      </c>
      <c r="Z1017" s="46" t="b">
        <v>1</v>
      </c>
      <c r="AA1017" s="46" t="b">
        <v>1</v>
      </c>
    </row>
    <row r="1018">
      <c r="A1018" s="157" t="s">
        <v>561</v>
      </c>
      <c r="B1018" s="158">
        <v>1.0</v>
      </c>
      <c r="C1018" s="157" t="s">
        <v>642</v>
      </c>
      <c r="D1018" s="157" t="s">
        <v>643</v>
      </c>
      <c r="E1018" s="157" t="s">
        <v>644</v>
      </c>
      <c r="F1018" s="157" t="s">
        <v>3255</v>
      </c>
      <c r="G1018" s="157" t="s">
        <v>3256</v>
      </c>
      <c r="H1018" s="157"/>
      <c r="I1018" s="158">
        <v>-3.541294</v>
      </c>
      <c r="J1018" s="158">
        <v>36.733447</v>
      </c>
      <c r="K1018" s="157" t="s">
        <v>3257</v>
      </c>
      <c r="L1018" s="157" t="s">
        <v>648</v>
      </c>
      <c r="M1018" s="158">
        <v>2022.0</v>
      </c>
      <c r="N1018" s="157" t="s">
        <v>649</v>
      </c>
      <c r="O1018" s="157" t="s">
        <v>650</v>
      </c>
      <c r="P1018" s="161" t="b">
        <v>0</v>
      </c>
      <c r="Q1018" s="158">
        <v>0.116</v>
      </c>
      <c r="R1018" s="158">
        <v>0.008413062</v>
      </c>
      <c r="S1018" s="158">
        <v>0.107586938</v>
      </c>
      <c r="T1018" s="157" t="s">
        <v>594</v>
      </c>
      <c r="U1018" s="46" t="s">
        <v>651</v>
      </c>
      <c r="V1018" s="46" t="b">
        <v>1</v>
      </c>
      <c r="W1018" s="46">
        <v>0.95</v>
      </c>
      <c r="X1018" s="46">
        <v>0.0079924089</v>
      </c>
      <c r="Y1018" s="46" t="s">
        <v>640</v>
      </c>
      <c r="Z1018" s="46" t="b">
        <v>0</v>
      </c>
      <c r="AA1018" s="46" t="b">
        <v>0</v>
      </c>
    </row>
    <row r="1019">
      <c r="A1019" s="157" t="s">
        <v>556</v>
      </c>
      <c r="B1019" s="158">
        <v>1.0</v>
      </c>
      <c r="C1019" s="157" t="s">
        <v>642</v>
      </c>
      <c r="D1019" s="157" t="s">
        <v>643</v>
      </c>
      <c r="E1019" s="157" t="s">
        <v>644</v>
      </c>
      <c r="F1019" s="157" t="s">
        <v>3258</v>
      </c>
      <c r="G1019" s="157" t="s">
        <v>3259</v>
      </c>
      <c r="H1019" s="157"/>
      <c r="I1019" s="158">
        <v>4.7077</v>
      </c>
      <c r="J1019" s="158">
        <v>44.33976</v>
      </c>
      <c r="K1019" s="157" t="s">
        <v>3260</v>
      </c>
      <c r="L1019" s="157" t="s">
        <v>648</v>
      </c>
      <c r="M1019" s="158">
        <v>2022.0</v>
      </c>
      <c r="N1019" s="157" t="s">
        <v>649</v>
      </c>
      <c r="O1019" s="157" t="s">
        <v>650</v>
      </c>
      <c r="P1019" s="161" t="b">
        <v>0</v>
      </c>
      <c r="Q1019" s="158">
        <v>0.115</v>
      </c>
      <c r="R1019" s="158">
        <v>0.008340536</v>
      </c>
      <c r="S1019" s="158">
        <v>0.106659464</v>
      </c>
      <c r="T1019" s="157" t="s">
        <v>594</v>
      </c>
      <c r="U1019" s="46" t="s">
        <v>651</v>
      </c>
      <c r="V1019" s="46" t="b">
        <v>1</v>
      </c>
      <c r="W1019" s="46">
        <v>0.95</v>
      </c>
      <c r="X1019" s="46">
        <v>0.0079235092</v>
      </c>
      <c r="Y1019" s="46">
        <v>4.23287507358647</v>
      </c>
      <c r="Z1019" s="46" t="b">
        <v>1</v>
      </c>
      <c r="AA1019" s="46" t="b">
        <v>1</v>
      </c>
    </row>
    <row r="1020">
      <c r="A1020" s="157" t="s">
        <v>574</v>
      </c>
      <c r="B1020" s="158">
        <v>1.0</v>
      </c>
      <c r="C1020" s="157" t="s">
        <v>642</v>
      </c>
      <c r="D1020" s="157" t="s">
        <v>2370</v>
      </c>
      <c r="E1020" s="157" t="s">
        <v>2371</v>
      </c>
      <c r="F1020" s="162" t="s">
        <v>3261</v>
      </c>
      <c r="G1020" s="157" t="s">
        <v>3262</v>
      </c>
      <c r="H1020" s="157"/>
      <c r="I1020" s="158">
        <v>17.189958</v>
      </c>
      <c r="J1020" s="158">
        <v>48.117749</v>
      </c>
      <c r="K1020" s="157" t="s">
        <v>3263</v>
      </c>
      <c r="L1020" s="157" t="s">
        <v>648</v>
      </c>
      <c r="M1020" s="158">
        <v>2017.0</v>
      </c>
      <c r="N1020" s="157" t="s">
        <v>547</v>
      </c>
      <c r="O1020" s="157" t="s">
        <v>2371</v>
      </c>
      <c r="P1020" s="161" t="b">
        <v>1</v>
      </c>
      <c r="Q1020" s="158">
        <v>2.2</v>
      </c>
      <c r="R1020" s="158">
        <v>0.0082769</v>
      </c>
      <c r="S1020" s="158">
        <v>2.1917231</v>
      </c>
      <c r="T1020" s="157" t="s">
        <v>547</v>
      </c>
      <c r="U1020" s="46" t="s">
        <v>651</v>
      </c>
      <c r="V1020" s="46" t="b">
        <v>1</v>
      </c>
      <c r="W1020" s="46">
        <v>0.95</v>
      </c>
      <c r="X1020" s="46">
        <v>0.00786305499999999</v>
      </c>
      <c r="Y1020" s="46" t="s">
        <v>640</v>
      </c>
      <c r="Z1020" s="46" t="b">
        <v>0</v>
      </c>
      <c r="AA1020" s="46" t="b">
        <v>0</v>
      </c>
    </row>
    <row r="1021">
      <c r="A1021" s="157" t="s">
        <v>566</v>
      </c>
      <c r="B1021" s="158">
        <v>1.0</v>
      </c>
      <c r="C1021" s="157" t="s">
        <v>642</v>
      </c>
      <c r="D1021" s="157" t="s">
        <v>643</v>
      </c>
      <c r="E1021" s="157" t="s">
        <v>644</v>
      </c>
      <c r="F1021" s="157" t="s">
        <v>3264</v>
      </c>
      <c r="G1021" s="157" t="s">
        <v>3265</v>
      </c>
      <c r="H1021" s="157"/>
      <c r="I1021" s="158">
        <v>21.13066673</v>
      </c>
      <c r="J1021" s="158">
        <v>52.26838684</v>
      </c>
      <c r="K1021" s="157" t="s">
        <v>1036</v>
      </c>
      <c r="L1021" s="157" t="s">
        <v>648</v>
      </c>
      <c r="M1021" s="158">
        <v>2022.0</v>
      </c>
      <c r="N1021" s="157" t="s">
        <v>649</v>
      </c>
      <c r="O1021" s="157" t="s">
        <v>650</v>
      </c>
      <c r="P1021" s="161" t="b">
        <v>0</v>
      </c>
      <c r="Q1021" s="158">
        <v>0.114</v>
      </c>
      <c r="R1021" s="158">
        <v>0.008268009</v>
      </c>
      <c r="S1021" s="158">
        <v>0.105731991</v>
      </c>
      <c r="T1021" s="157" t="s">
        <v>594</v>
      </c>
      <c r="U1021" s="46" t="s">
        <v>651</v>
      </c>
      <c r="V1021" s="46" t="b">
        <v>1</v>
      </c>
      <c r="W1021" s="46">
        <v>0.95</v>
      </c>
      <c r="X1021" s="46">
        <v>0.00785460855</v>
      </c>
      <c r="Y1021" s="46">
        <v>110.406659809423</v>
      </c>
      <c r="Z1021" s="46" t="b">
        <v>0</v>
      </c>
      <c r="AA1021" s="46" t="b">
        <v>0</v>
      </c>
    </row>
    <row r="1022">
      <c r="A1022" s="157" t="s">
        <v>559</v>
      </c>
      <c r="B1022" s="158">
        <v>1.0</v>
      </c>
      <c r="C1022" s="157" t="s">
        <v>642</v>
      </c>
      <c r="D1022" s="157" t="s">
        <v>2370</v>
      </c>
      <c r="E1022" s="157" t="s">
        <v>2371</v>
      </c>
      <c r="F1022" s="157" t="s">
        <v>3266</v>
      </c>
      <c r="G1022" s="157" t="s">
        <v>3267</v>
      </c>
      <c r="H1022" s="157"/>
      <c r="I1022" s="158">
        <v>15.2723</v>
      </c>
      <c r="J1022" s="158">
        <v>38.2027</v>
      </c>
      <c r="K1022" s="157" t="s">
        <v>2434</v>
      </c>
      <c r="L1022" s="157" t="s">
        <v>648</v>
      </c>
      <c r="M1022" s="158">
        <v>2022.0</v>
      </c>
      <c r="N1022" s="157" t="s">
        <v>547</v>
      </c>
      <c r="O1022" s="157" t="s">
        <v>2371</v>
      </c>
      <c r="P1022" s="161" t="b">
        <v>1</v>
      </c>
      <c r="Q1022" s="158">
        <v>2.194697</v>
      </c>
      <c r="R1022" s="158">
        <v>0.008256949</v>
      </c>
      <c r="S1022" s="158">
        <v>2.186440051</v>
      </c>
      <c r="T1022" s="157" t="s">
        <v>547</v>
      </c>
      <c r="U1022" s="46" t="s">
        <v>651</v>
      </c>
      <c r="V1022" s="46" t="b">
        <v>1</v>
      </c>
      <c r="W1022" s="46">
        <v>0.95</v>
      </c>
      <c r="X1022" s="46">
        <v>0.00784410155</v>
      </c>
      <c r="Y1022" s="46" t="s">
        <v>640</v>
      </c>
      <c r="Z1022" s="46" t="b">
        <v>0</v>
      </c>
      <c r="AA1022" s="46" t="b">
        <v>0</v>
      </c>
    </row>
    <row r="1023">
      <c r="A1023" s="157" t="s">
        <v>559</v>
      </c>
      <c r="B1023" s="158">
        <v>4.0</v>
      </c>
      <c r="C1023" s="157" t="s">
        <v>1092</v>
      </c>
      <c r="D1023" s="157" t="s">
        <v>1093</v>
      </c>
      <c r="E1023" s="157" t="s">
        <v>1094</v>
      </c>
      <c r="F1023" s="157" t="s">
        <v>3268</v>
      </c>
      <c r="G1023" s="157" t="s">
        <v>3269</v>
      </c>
      <c r="H1023" s="157"/>
      <c r="I1023" s="158">
        <v>8.7952</v>
      </c>
      <c r="J1023" s="158">
        <v>45.4334</v>
      </c>
      <c r="K1023" s="157" t="s">
        <v>3270</v>
      </c>
      <c r="L1023" s="157" t="s">
        <v>648</v>
      </c>
      <c r="M1023" s="158">
        <v>2022.0</v>
      </c>
      <c r="N1023" s="157" t="s">
        <v>201</v>
      </c>
      <c r="O1023" s="157" t="s">
        <v>1098</v>
      </c>
      <c r="P1023" s="161" t="b">
        <v>1</v>
      </c>
      <c r="Q1023" s="158">
        <v>0.14795044</v>
      </c>
      <c r="R1023" s="158">
        <v>0.008248108</v>
      </c>
      <c r="S1023" s="158">
        <v>0.139702332</v>
      </c>
      <c r="T1023" s="157" t="s">
        <v>201</v>
      </c>
      <c r="U1023" s="46" t="s">
        <v>651</v>
      </c>
      <c r="V1023" s="46" t="b">
        <v>1</v>
      </c>
      <c r="W1023" s="46">
        <v>0.95</v>
      </c>
      <c r="X1023" s="46">
        <v>0.0078357026</v>
      </c>
      <c r="Y1023" s="46">
        <v>18.9411729071916</v>
      </c>
      <c r="Z1023" s="46" t="b">
        <v>1</v>
      </c>
      <c r="AA1023" s="46" t="b">
        <v>1</v>
      </c>
    </row>
    <row r="1024">
      <c r="A1024" s="157" t="s">
        <v>559</v>
      </c>
      <c r="B1024" s="158">
        <v>1.0</v>
      </c>
      <c r="C1024" s="157" t="s">
        <v>642</v>
      </c>
      <c r="D1024" s="157" t="s">
        <v>643</v>
      </c>
      <c r="E1024" s="157" t="s">
        <v>644</v>
      </c>
      <c r="F1024" s="157" t="s">
        <v>3271</v>
      </c>
      <c r="G1024" s="157" t="s">
        <v>3272</v>
      </c>
      <c r="H1024" s="157"/>
      <c r="I1024" s="158">
        <v>8.7397</v>
      </c>
      <c r="J1024" s="158">
        <v>45.6203</v>
      </c>
      <c r="K1024" s="157" t="s">
        <v>3273</v>
      </c>
      <c r="L1024" s="157" t="s">
        <v>648</v>
      </c>
      <c r="M1024" s="158">
        <v>2022.0</v>
      </c>
      <c r="N1024" s="157" t="s">
        <v>649</v>
      </c>
      <c r="O1024" s="157" t="s">
        <v>650</v>
      </c>
      <c r="P1024" s="161" t="b">
        <v>0</v>
      </c>
      <c r="Q1024" s="158">
        <v>0.111312</v>
      </c>
      <c r="R1024" s="158">
        <v>0.008073058</v>
      </c>
      <c r="S1024" s="158">
        <v>0.103238942</v>
      </c>
      <c r="T1024" s="157" t="s">
        <v>594</v>
      </c>
      <c r="U1024" s="46" t="s">
        <v>651</v>
      </c>
      <c r="V1024" s="46" t="b">
        <v>1</v>
      </c>
      <c r="W1024" s="46">
        <v>0.95</v>
      </c>
      <c r="X1024" s="46">
        <v>0.00766940509999999</v>
      </c>
      <c r="Y1024" s="46">
        <v>18.2424670491145</v>
      </c>
      <c r="Z1024" s="46" t="b">
        <v>1</v>
      </c>
      <c r="AA1024" s="46" t="b">
        <v>1</v>
      </c>
    </row>
    <row r="1025">
      <c r="A1025" s="157" t="s">
        <v>556</v>
      </c>
      <c r="B1025" s="158">
        <v>1.0</v>
      </c>
      <c r="C1025" s="157" t="s">
        <v>642</v>
      </c>
      <c r="D1025" s="157" t="s">
        <v>643</v>
      </c>
      <c r="E1025" s="157" t="s">
        <v>644</v>
      </c>
      <c r="F1025" s="157" t="s">
        <v>3274</v>
      </c>
      <c r="G1025" s="157" t="s">
        <v>3275</v>
      </c>
      <c r="H1025" s="157"/>
      <c r="I1025" s="158">
        <v>6.26577</v>
      </c>
      <c r="J1025" s="158">
        <v>48.6396</v>
      </c>
      <c r="K1025" s="157" t="s">
        <v>2440</v>
      </c>
      <c r="L1025" s="157" t="s">
        <v>648</v>
      </c>
      <c r="M1025" s="158">
        <v>2022.0</v>
      </c>
      <c r="N1025" s="157" t="s">
        <v>649</v>
      </c>
      <c r="O1025" s="157" t="s">
        <v>650</v>
      </c>
      <c r="P1025" s="161" t="b">
        <v>0</v>
      </c>
      <c r="Q1025" s="158">
        <v>0.111</v>
      </c>
      <c r="R1025" s="158">
        <v>0.00805043</v>
      </c>
      <c r="S1025" s="158">
        <v>0.10294957</v>
      </c>
      <c r="T1025" s="157" t="s">
        <v>594</v>
      </c>
      <c r="U1025" s="46" t="s">
        <v>651</v>
      </c>
      <c r="V1025" s="46" t="b">
        <v>1</v>
      </c>
      <c r="W1025" s="46">
        <v>0.95</v>
      </c>
      <c r="X1025" s="46">
        <v>0.0076479085</v>
      </c>
      <c r="Y1025" s="46">
        <v>69.6823907318109</v>
      </c>
      <c r="Z1025" s="46" t="b">
        <v>0</v>
      </c>
      <c r="AA1025" s="46" t="b">
        <v>1</v>
      </c>
    </row>
    <row r="1026">
      <c r="A1026" s="157" t="s">
        <v>561</v>
      </c>
      <c r="B1026" s="158">
        <v>1.0</v>
      </c>
      <c r="C1026" s="157" t="s">
        <v>642</v>
      </c>
      <c r="D1026" s="157" t="s">
        <v>643</v>
      </c>
      <c r="E1026" s="157" t="s">
        <v>644</v>
      </c>
      <c r="F1026" s="157" t="s">
        <v>3276</v>
      </c>
      <c r="G1026" s="157" t="s">
        <v>3277</v>
      </c>
      <c r="H1026" s="157"/>
      <c r="I1026" s="158">
        <v>-3.710147</v>
      </c>
      <c r="J1026" s="158">
        <v>41.664861</v>
      </c>
      <c r="K1026" s="157" t="s">
        <v>3278</v>
      </c>
      <c r="L1026" s="157" t="s">
        <v>648</v>
      </c>
      <c r="M1026" s="158">
        <v>2022.0</v>
      </c>
      <c r="N1026" s="157" t="s">
        <v>649</v>
      </c>
      <c r="O1026" s="157" t="s">
        <v>650</v>
      </c>
      <c r="P1026" s="161" t="b">
        <v>0</v>
      </c>
      <c r="Q1026" s="158">
        <v>0.111</v>
      </c>
      <c r="R1026" s="158">
        <v>0.00805043</v>
      </c>
      <c r="S1026" s="158">
        <v>0.10294957</v>
      </c>
      <c r="T1026" s="157" t="s">
        <v>594</v>
      </c>
      <c r="U1026" s="46" t="s">
        <v>651</v>
      </c>
      <c r="V1026" s="46" t="b">
        <v>1</v>
      </c>
      <c r="W1026" s="46">
        <v>0.95</v>
      </c>
      <c r="X1026" s="46">
        <v>0.0076479085</v>
      </c>
      <c r="Y1026" s="46" t="s">
        <v>640</v>
      </c>
      <c r="Z1026" s="46" t="b">
        <v>0</v>
      </c>
      <c r="AA1026" s="46" t="b">
        <v>0</v>
      </c>
    </row>
    <row r="1027">
      <c r="A1027" s="157" t="s">
        <v>563</v>
      </c>
      <c r="B1027" s="158">
        <v>3.0</v>
      </c>
      <c r="C1027" s="157" t="s">
        <v>1215</v>
      </c>
      <c r="D1027" s="157" t="s">
        <v>1216</v>
      </c>
      <c r="E1027" s="157" t="s">
        <v>1217</v>
      </c>
      <c r="F1027" s="157" t="s">
        <v>3279</v>
      </c>
      <c r="G1027" s="157" t="s">
        <v>3280</v>
      </c>
      <c r="H1027" s="157"/>
      <c r="I1027" s="158">
        <v>-0.37976187</v>
      </c>
      <c r="J1027" s="158">
        <v>53.587303</v>
      </c>
      <c r="K1027" s="157" t="s">
        <v>3281</v>
      </c>
      <c r="L1027" s="157" t="s">
        <v>648</v>
      </c>
      <c r="M1027" s="158">
        <v>2019.0</v>
      </c>
      <c r="N1027" s="157" t="s">
        <v>114</v>
      </c>
      <c r="O1027" s="157" t="s">
        <v>1221</v>
      </c>
      <c r="P1027" s="161" t="b">
        <v>1</v>
      </c>
      <c r="Q1027" s="158">
        <v>0.266</v>
      </c>
      <c r="R1027" s="158">
        <v>0.008</v>
      </c>
      <c r="S1027" s="158">
        <v>0.258</v>
      </c>
      <c r="T1027" s="157" t="s">
        <v>114</v>
      </c>
      <c r="U1027" s="46" t="s">
        <v>651</v>
      </c>
      <c r="V1027" s="46" t="b">
        <v>1</v>
      </c>
      <c r="W1027" s="46">
        <v>0.95</v>
      </c>
      <c r="X1027" s="46">
        <v>0.0076</v>
      </c>
      <c r="Y1027" s="46">
        <v>3.56265817395836</v>
      </c>
      <c r="Z1027" s="46" t="b">
        <v>1</v>
      </c>
      <c r="AA1027" s="46" t="b">
        <v>1</v>
      </c>
    </row>
    <row r="1028">
      <c r="A1028" s="157" t="s">
        <v>566</v>
      </c>
      <c r="B1028" s="158">
        <v>1.0</v>
      </c>
      <c r="C1028" s="157" t="s">
        <v>642</v>
      </c>
      <c r="D1028" s="157" t="s">
        <v>643</v>
      </c>
      <c r="E1028" s="157" t="s">
        <v>644</v>
      </c>
      <c r="F1028" s="157" t="s">
        <v>3282</v>
      </c>
      <c r="G1028" s="157" t="s">
        <v>3283</v>
      </c>
      <c r="H1028" s="157"/>
      <c r="I1028" s="158">
        <v>19.09898758</v>
      </c>
      <c r="J1028" s="158">
        <v>52.65243149</v>
      </c>
      <c r="K1028" s="157" t="s">
        <v>2092</v>
      </c>
      <c r="L1028" s="157" t="s">
        <v>648</v>
      </c>
      <c r="M1028" s="158">
        <v>2022.0</v>
      </c>
      <c r="N1028" s="157" t="s">
        <v>649</v>
      </c>
      <c r="O1028" s="157" t="s">
        <v>650</v>
      </c>
      <c r="P1028" s="161" t="b">
        <v>0</v>
      </c>
      <c r="Q1028" s="158">
        <v>0.11</v>
      </c>
      <c r="R1028" s="158">
        <v>0.007977904</v>
      </c>
      <c r="S1028" s="158">
        <v>0.102022096</v>
      </c>
      <c r="T1028" s="157" t="s">
        <v>594</v>
      </c>
      <c r="U1028" s="46" t="s">
        <v>651</v>
      </c>
      <c r="V1028" s="46" t="b">
        <v>1</v>
      </c>
      <c r="W1028" s="46">
        <v>0.95</v>
      </c>
      <c r="X1028" s="46">
        <v>0.00757900879999999</v>
      </c>
      <c r="Y1028" s="46">
        <v>4.99931919936586</v>
      </c>
      <c r="Z1028" s="46" t="b">
        <v>1</v>
      </c>
      <c r="AA1028" s="46" t="b">
        <v>1</v>
      </c>
    </row>
    <row r="1029">
      <c r="A1029" s="157" t="s">
        <v>560</v>
      </c>
      <c r="B1029" s="158">
        <v>1.0</v>
      </c>
      <c r="C1029" s="157" t="s">
        <v>642</v>
      </c>
      <c r="D1029" s="157" t="s">
        <v>643</v>
      </c>
      <c r="E1029" s="157" t="s">
        <v>644</v>
      </c>
      <c r="F1029" s="157" t="s">
        <v>3284</v>
      </c>
      <c r="G1029" s="157" t="s">
        <v>2166</v>
      </c>
      <c r="H1029" s="157"/>
      <c r="I1029" s="158">
        <v>14.346667</v>
      </c>
      <c r="J1029" s="158">
        <v>48.268056</v>
      </c>
      <c r="K1029" s="157" t="s">
        <v>2167</v>
      </c>
      <c r="L1029" s="157" t="s">
        <v>648</v>
      </c>
      <c r="M1029" s="158">
        <v>2022.0</v>
      </c>
      <c r="N1029" s="157" t="s">
        <v>649</v>
      </c>
      <c r="O1029" s="157" t="s">
        <v>650</v>
      </c>
      <c r="P1029" s="161" t="b">
        <v>0</v>
      </c>
      <c r="Q1029" s="158">
        <v>0.109</v>
      </c>
      <c r="R1029" s="158">
        <v>0.007905377</v>
      </c>
      <c r="S1029" s="158">
        <v>0.101094623</v>
      </c>
      <c r="T1029" s="157" t="s">
        <v>594</v>
      </c>
      <c r="U1029" s="46" t="s">
        <v>651</v>
      </c>
      <c r="V1029" s="46" t="b">
        <v>1</v>
      </c>
      <c r="W1029" s="46">
        <v>0.95</v>
      </c>
      <c r="X1029" s="46">
        <v>0.00751010814999999</v>
      </c>
      <c r="Y1029" s="46">
        <v>56.9893291966336</v>
      </c>
      <c r="Z1029" s="46" t="b">
        <v>0</v>
      </c>
      <c r="AA1029" s="46" t="b">
        <v>1</v>
      </c>
    </row>
    <row r="1030">
      <c r="A1030" s="157" t="s">
        <v>556</v>
      </c>
      <c r="B1030" s="158">
        <v>1.0</v>
      </c>
      <c r="C1030" s="157" t="s">
        <v>642</v>
      </c>
      <c r="D1030" s="157" t="s">
        <v>643</v>
      </c>
      <c r="E1030" s="157" t="s">
        <v>644</v>
      </c>
      <c r="F1030" s="157" t="s">
        <v>3285</v>
      </c>
      <c r="G1030" s="157" t="s">
        <v>3286</v>
      </c>
      <c r="H1030" s="157"/>
      <c r="I1030" s="158">
        <v>-1.66578</v>
      </c>
      <c r="J1030" s="158">
        <v>48.0797</v>
      </c>
      <c r="K1030" s="157" t="s">
        <v>3287</v>
      </c>
      <c r="L1030" s="157" t="s">
        <v>648</v>
      </c>
      <c r="M1030" s="158">
        <v>2022.0</v>
      </c>
      <c r="N1030" s="157" t="s">
        <v>649</v>
      </c>
      <c r="O1030" s="157" t="s">
        <v>650</v>
      </c>
      <c r="P1030" s="161" t="b">
        <v>0</v>
      </c>
      <c r="Q1030" s="158">
        <v>0.109</v>
      </c>
      <c r="R1030" s="158">
        <v>0.007905377</v>
      </c>
      <c r="S1030" s="158">
        <v>0.101094623</v>
      </c>
      <c r="T1030" s="157" t="s">
        <v>594</v>
      </c>
      <c r="U1030" s="46" t="s">
        <v>651</v>
      </c>
      <c r="V1030" s="46" t="b">
        <v>1</v>
      </c>
      <c r="W1030" s="46">
        <v>0.95</v>
      </c>
      <c r="X1030" s="46">
        <v>0.00751010814999999</v>
      </c>
      <c r="Y1030" s="46">
        <v>24.5714565503367</v>
      </c>
      <c r="Z1030" s="46" t="b">
        <v>1</v>
      </c>
      <c r="AA1030" s="46" t="b">
        <v>1</v>
      </c>
    </row>
    <row r="1031">
      <c r="A1031" s="157" t="s">
        <v>566</v>
      </c>
      <c r="B1031" s="158">
        <v>1.0</v>
      </c>
      <c r="C1031" s="157" t="s">
        <v>642</v>
      </c>
      <c r="D1031" s="157" t="s">
        <v>643</v>
      </c>
      <c r="E1031" s="157" t="s">
        <v>644</v>
      </c>
      <c r="F1031" s="157" t="s">
        <v>3288</v>
      </c>
      <c r="G1031" s="157" t="s">
        <v>3289</v>
      </c>
      <c r="H1031" s="157"/>
      <c r="I1031" s="158">
        <v>20.8001194</v>
      </c>
      <c r="J1031" s="158">
        <v>52.1704216</v>
      </c>
      <c r="K1031" s="157" t="s">
        <v>3290</v>
      </c>
      <c r="L1031" s="157" t="s">
        <v>648</v>
      </c>
      <c r="M1031" s="158">
        <v>2022.0</v>
      </c>
      <c r="N1031" s="157" t="s">
        <v>649</v>
      </c>
      <c r="O1031" s="157" t="s">
        <v>650</v>
      </c>
      <c r="P1031" s="161" t="b">
        <v>0</v>
      </c>
      <c r="Q1031" s="158">
        <v>0.109</v>
      </c>
      <c r="R1031" s="158">
        <v>0.007905377</v>
      </c>
      <c r="S1031" s="158">
        <v>0.101094623</v>
      </c>
      <c r="T1031" s="157" t="s">
        <v>594</v>
      </c>
      <c r="U1031" s="46" t="s">
        <v>651</v>
      </c>
      <c r="V1031" s="46" t="b">
        <v>1</v>
      </c>
      <c r="W1031" s="46">
        <v>0.95</v>
      </c>
      <c r="X1031" s="46">
        <v>0.00751010814999999</v>
      </c>
      <c r="Y1031" s="46">
        <v>93.8488611419708</v>
      </c>
      <c r="Z1031" s="46" t="b">
        <v>0</v>
      </c>
      <c r="AA1031" s="46" t="b">
        <v>1</v>
      </c>
    </row>
    <row r="1032">
      <c r="A1032" s="157" t="s">
        <v>569</v>
      </c>
      <c r="B1032" s="158">
        <v>1.0</v>
      </c>
      <c r="C1032" s="157" t="s">
        <v>642</v>
      </c>
      <c r="D1032" s="157" t="s">
        <v>643</v>
      </c>
      <c r="E1032" s="157" t="s">
        <v>644</v>
      </c>
      <c r="F1032" s="157" t="s">
        <v>3291</v>
      </c>
      <c r="G1032" s="157" t="s">
        <v>3292</v>
      </c>
      <c r="H1032" s="157"/>
      <c r="I1032" s="158">
        <v>19.037777</v>
      </c>
      <c r="J1032" s="158">
        <v>47.563797</v>
      </c>
      <c r="K1032" s="157" t="s">
        <v>3293</v>
      </c>
      <c r="L1032" s="157" t="s">
        <v>648</v>
      </c>
      <c r="M1032" s="158">
        <v>2022.0</v>
      </c>
      <c r="N1032" s="157" t="s">
        <v>649</v>
      </c>
      <c r="O1032" s="157" t="s">
        <v>650</v>
      </c>
      <c r="P1032" s="161" t="b">
        <v>0</v>
      </c>
      <c r="Q1032" s="158">
        <v>0.108626</v>
      </c>
      <c r="R1032" s="158">
        <v>0.007878252</v>
      </c>
      <c r="S1032" s="158">
        <v>0.100747748</v>
      </c>
      <c r="T1032" s="157" t="s">
        <v>594</v>
      </c>
      <c r="U1032" s="46" t="s">
        <v>651</v>
      </c>
      <c r="V1032" s="46" t="b">
        <v>1</v>
      </c>
      <c r="W1032" s="46">
        <v>0.95</v>
      </c>
      <c r="X1032" s="46">
        <v>0.0074843394</v>
      </c>
      <c r="Y1032" s="46" t="s">
        <v>640</v>
      </c>
      <c r="Z1032" s="46" t="b">
        <v>0</v>
      </c>
      <c r="AA1032" s="46" t="b">
        <v>0</v>
      </c>
    </row>
    <row r="1033">
      <c r="A1033" s="157" t="s">
        <v>572</v>
      </c>
      <c r="B1033" s="158">
        <v>2.0</v>
      </c>
      <c r="C1033" s="157" t="s">
        <v>916</v>
      </c>
      <c r="D1033" s="157" t="s">
        <v>3294</v>
      </c>
      <c r="E1033" s="157" t="s">
        <v>3295</v>
      </c>
      <c r="F1033" s="157" t="s">
        <v>3296</v>
      </c>
      <c r="G1033" s="157" t="s">
        <v>3297</v>
      </c>
      <c r="H1033" s="157"/>
      <c r="I1033" s="158">
        <v>23.624167</v>
      </c>
      <c r="J1033" s="158">
        <v>38.31638</v>
      </c>
      <c r="K1033" s="157" t="s">
        <v>3298</v>
      </c>
      <c r="L1033" s="157" t="s">
        <v>648</v>
      </c>
      <c r="M1033" s="158">
        <v>2022.0</v>
      </c>
      <c r="N1033" s="157" t="s">
        <v>549</v>
      </c>
      <c r="O1033" s="157" t="s">
        <v>1208</v>
      </c>
      <c r="P1033" s="161" t="b">
        <v>1</v>
      </c>
      <c r="Q1033" s="158">
        <v>0.117</v>
      </c>
      <c r="R1033" s="158">
        <v>0.007857671</v>
      </c>
      <c r="S1033" s="158">
        <v>0.109142329</v>
      </c>
      <c r="T1033" s="157" t="s">
        <v>549</v>
      </c>
      <c r="U1033" s="46" t="s">
        <v>651</v>
      </c>
      <c r="V1033" s="46" t="b">
        <v>1</v>
      </c>
      <c r="W1033" s="46">
        <v>0.95</v>
      </c>
      <c r="X1033" s="46">
        <v>0.00746478745</v>
      </c>
      <c r="Y1033" s="46">
        <v>6.74406657610035</v>
      </c>
      <c r="Z1033" s="46" t="b">
        <v>1</v>
      </c>
      <c r="AA1033" s="46" t="b">
        <v>1</v>
      </c>
    </row>
    <row r="1034">
      <c r="A1034" s="157" t="s">
        <v>559</v>
      </c>
      <c r="B1034" s="158">
        <v>1.0</v>
      </c>
      <c r="C1034" s="157" t="s">
        <v>642</v>
      </c>
      <c r="D1034" s="157" t="s">
        <v>643</v>
      </c>
      <c r="E1034" s="157" t="s">
        <v>644</v>
      </c>
      <c r="F1034" s="157" t="s">
        <v>3299</v>
      </c>
      <c r="G1034" s="157" t="s">
        <v>3300</v>
      </c>
      <c r="H1034" s="157"/>
      <c r="I1034" s="158">
        <v>15.7796</v>
      </c>
      <c r="J1034" s="158">
        <v>40.2672</v>
      </c>
      <c r="K1034" s="157" t="s">
        <v>3301</v>
      </c>
      <c r="L1034" s="157" t="s">
        <v>648</v>
      </c>
      <c r="M1034" s="158">
        <v>2022.0</v>
      </c>
      <c r="N1034" s="157" t="s">
        <v>649</v>
      </c>
      <c r="O1034" s="157" t="s">
        <v>650</v>
      </c>
      <c r="P1034" s="161" t="b">
        <v>0</v>
      </c>
      <c r="Q1034" s="158">
        <v>0.108026</v>
      </c>
      <c r="R1034" s="158">
        <v>0.007834737</v>
      </c>
      <c r="S1034" s="158">
        <v>0.100191263</v>
      </c>
      <c r="T1034" s="157" t="s">
        <v>594</v>
      </c>
      <c r="U1034" s="46" t="s">
        <v>651</v>
      </c>
      <c r="V1034" s="46" t="b">
        <v>1</v>
      </c>
      <c r="W1034" s="46">
        <v>0.95</v>
      </c>
      <c r="X1034" s="46">
        <v>0.00744300014999999</v>
      </c>
      <c r="Y1034" s="46" t="s">
        <v>640</v>
      </c>
      <c r="Z1034" s="46" t="b">
        <v>0</v>
      </c>
      <c r="AA1034" s="46" t="b">
        <v>0</v>
      </c>
    </row>
    <row r="1035">
      <c r="A1035" s="157" t="s">
        <v>561</v>
      </c>
      <c r="B1035" s="158">
        <v>1.0</v>
      </c>
      <c r="C1035" s="157" t="s">
        <v>642</v>
      </c>
      <c r="D1035" s="157" t="s">
        <v>2370</v>
      </c>
      <c r="E1035" s="157" t="s">
        <v>2371</v>
      </c>
      <c r="F1035" s="157" t="s">
        <v>3302</v>
      </c>
      <c r="G1035" s="157" t="s">
        <v>3303</v>
      </c>
      <c r="H1035" s="157"/>
      <c r="I1035" s="158">
        <v>-3.110944</v>
      </c>
      <c r="J1035" s="158">
        <v>43.325743</v>
      </c>
      <c r="K1035" s="157" t="s">
        <v>3304</v>
      </c>
      <c r="L1035" s="157" t="s">
        <v>648</v>
      </c>
      <c r="M1035" s="158">
        <v>2022.0</v>
      </c>
      <c r="N1035" s="157" t="s">
        <v>547</v>
      </c>
      <c r="O1035" s="157" t="s">
        <v>2371</v>
      </c>
      <c r="P1035" s="161" t="b">
        <v>1</v>
      </c>
      <c r="Q1035" s="158">
        <v>2.08</v>
      </c>
      <c r="R1035" s="158">
        <v>0.007825433</v>
      </c>
      <c r="S1035" s="158">
        <v>2.072174567</v>
      </c>
      <c r="T1035" s="157" t="s">
        <v>547</v>
      </c>
      <c r="U1035" s="46" t="s">
        <v>651</v>
      </c>
      <c r="V1035" s="46" t="b">
        <v>1</v>
      </c>
      <c r="W1035" s="46">
        <v>0.95</v>
      </c>
      <c r="X1035" s="46">
        <v>0.00743416134999999</v>
      </c>
      <c r="Y1035" s="46" t="s">
        <v>640</v>
      </c>
      <c r="Z1035" s="46" t="b">
        <v>0</v>
      </c>
      <c r="AA1035" s="46" t="b">
        <v>0</v>
      </c>
    </row>
    <row r="1036">
      <c r="A1036" s="157" t="s">
        <v>556</v>
      </c>
      <c r="B1036" s="158">
        <v>2.0</v>
      </c>
      <c r="C1036" s="157" t="s">
        <v>916</v>
      </c>
      <c r="D1036" s="157" t="s">
        <v>3294</v>
      </c>
      <c r="E1036" s="157" t="s">
        <v>3295</v>
      </c>
      <c r="F1036" s="157" t="s">
        <v>3305</v>
      </c>
      <c r="G1036" s="157" t="s">
        <v>3306</v>
      </c>
      <c r="H1036" s="157"/>
      <c r="I1036" s="158">
        <v>7.56927</v>
      </c>
      <c r="J1036" s="158">
        <v>48.0302</v>
      </c>
      <c r="K1036" s="157" t="s">
        <v>3307</v>
      </c>
      <c r="L1036" s="157" t="s">
        <v>648</v>
      </c>
      <c r="M1036" s="158">
        <v>2022.0</v>
      </c>
      <c r="N1036" s="157" t="s">
        <v>549</v>
      </c>
      <c r="O1036" s="157" t="s">
        <v>1208</v>
      </c>
      <c r="P1036" s="161" t="b">
        <v>1</v>
      </c>
      <c r="Q1036" s="158">
        <v>0.116</v>
      </c>
      <c r="R1036" s="158">
        <v>0.007790511</v>
      </c>
      <c r="S1036" s="158">
        <v>0.108209489</v>
      </c>
      <c r="T1036" s="157" t="s">
        <v>549</v>
      </c>
      <c r="U1036" s="46" t="s">
        <v>651</v>
      </c>
      <c r="V1036" s="46" t="b">
        <v>1</v>
      </c>
      <c r="W1036" s="46">
        <v>0.95</v>
      </c>
      <c r="X1036" s="46">
        <v>0.00740098545</v>
      </c>
      <c r="Y1036" s="46">
        <v>34.270187061133</v>
      </c>
      <c r="Z1036" s="46" t="b">
        <v>1</v>
      </c>
      <c r="AA1036" s="46" t="b">
        <v>1</v>
      </c>
    </row>
    <row r="1037">
      <c r="A1037" s="157" t="s">
        <v>566</v>
      </c>
      <c r="B1037" s="158">
        <v>1.0</v>
      </c>
      <c r="C1037" s="157" t="s">
        <v>642</v>
      </c>
      <c r="D1037" s="157" t="s">
        <v>643</v>
      </c>
      <c r="E1037" s="157" t="s">
        <v>644</v>
      </c>
      <c r="F1037" s="157" t="s">
        <v>3308</v>
      </c>
      <c r="G1037" s="157" t="s">
        <v>3309</v>
      </c>
      <c r="H1037" s="157"/>
      <c r="I1037" s="158">
        <v>20.44405746</v>
      </c>
      <c r="J1037" s="158">
        <v>53.74660492</v>
      </c>
      <c r="K1037" s="157" t="s">
        <v>2936</v>
      </c>
      <c r="L1037" s="157" t="s">
        <v>648</v>
      </c>
      <c r="M1037" s="158">
        <v>2022.0</v>
      </c>
      <c r="N1037" s="157" t="s">
        <v>649</v>
      </c>
      <c r="O1037" s="157" t="s">
        <v>650</v>
      </c>
      <c r="P1037" s="161" t="b">
        <v>0</v>
      </c>
      <c r="Q1037" s="158">
        <v>0.107</v>
      </c>
      <c r="R1037" s="158">
        <v>0.007760324</v>
      </c>
      <c r="S1037" s="158">
        <v>0.099239676</v>
      </c>
      <c r="T1037" s="157" t="s">
        <v>594</v>
      </c>
      <c r="U1037" s="46" t="s">
        <v>651</v>
      </c>
      <c r="V1037" s="46" t="b">
        <v>1</v>
      </c>
      <c r="W1037" s="46">
        <v>0.95</v>
      </c>
      <c r="X1037" s="46">
        <v>0.00737230779999999</v>
      </c>
      <c r="Y1037" s="46">
        <v>116.816454726305</v>
      </c>
      <c r="Z1037" s="46" t="b">
        <v>0</v>
      </c>
      <c r="AA1037" s="46" t="b">
        <v>0</v>
      </c>
    </row>
    <row r="1038">
      <c r="A1038" s="157" t="s">
        <v>561</v>
      </c>
      <c r="B1038" s="158">
        <v>1.0</v>
      </c>
      <c r="C1038" s="157" t="s">
        <v>642</v>
      </c>
      <c r="D1038" s="157" t="s">
        <v>643</v>
      </c>
      <c r="E1038" s="157" t="s">
        <v>644</v>
      </c>
      <c r="F1038" s="157" t="s">
        <v>3310</v>
      </c>
      <c r="G1038" s="157" t="s">
        <v>3311</v>
      </c>
      <c r="H1038" s="157"/>
      <c r="I1038" s="158">
        <v>-1.677389</v>
      </c>
      <c r="J1038" s="158">
        <v>42.169129</v>
      </c>
      <c r="K1038" s="157" t="s">
        <v>1470</v>
      </c>
      <c r="L1038" s="157" t="s">
        <v>648</v>
      </c>
      <c r="M1038" s="158">
        <v>2022.0</v>
      </c>
      <c r="N1038" s="157" t="s">
        <v>649</v>
      </c>
      <c r="O1038" s="157" t="s">
        <v>650</v>
      </c>
      <c r="P1038" s="161" t="b">
        <v>0</v>
      </c>
      <c r="Q1038" s="158">
        <v>0.107</v>
      </c>
      <c r="R1038" s="158">
        <v>0.007760324</v>
      </c>
      <c r="S1038" s="158">
        <v>0.099239676</v>
      </c>
      <c r="T1038" s="157" t="s">
        <v>594</v>
      </c>
      <c r="U1038" s="46" t="s">
        <v>651</v>
      </c>
      <c r="V1038" s="46" t="b">
        <v>1</v>
      </c>
      <c r="W1038" s="46">
        <v>0.95</v>
      </c>
      <c r="X1038" s="46">
        <v>0.00737230779999999</v>
      </c>
      <c r="Y1038" s="46">
        <v>164.324138552291</v>
      </c>
      <c r="Z1038" s="46" t="b">
        <v>0</v>
      </c>
      <c r="AA1038" s="46" t="b">
        <v>0</v>
      </c>
    </row>
    <row r="1039">
      <c r="A1039" s="157" t="s">
        <v>566</v>
      </c>
      <c r="B1039" s="158">
        <v>1.0</v>
      </c>
      <c r="C1039" s="157" t="s">
        <v>642</v>
      </c>
      <c r="D1039" s="157" t="s">
        <v>2370</v>
      </c>
      <c r="E1039" s="157" t="s">
        <v>2371</v>
      </c>
      <c r="F1039" s="157" t="s">
        <v>3312</v>
      </c>
      <c r="G1039" s="157" t="s">
        <v>3313</v>
      </c>
      <c r="H1039" s="157"/>
      <c r="I1039" s="158">
        <v>18.72966766</v>
      </c>
      <c r="J1039" s="158">
        <v>54.34992981</v>
      </c>
      <c r="K1039" s="157" t="s">
        <v>1570</v>
      </c>
      <c r="L1039" s="157" t="s">
        <v>648</v>
      </c>
      <c r="M1039" s="158">
        <v>2022.0</v>
      </c>
      <c r="N1039" s="157" t="s">
        <v>547</v>
      </c>
      <c r="O1039" s="157" t="s">
        <v>2371</v>
      </c>
      <c r="P1039" s="161" t="b">
        <v>1</v>
      </c>
      <c r="Q1039" s="158">
        <v>2.06</v>
      </c>
      <c r="R1039" s="158">
        <v>0.007750188</v>
      </c>
      <c r="S1039" s="158">
        <v>2.052249812</v>
      </c>
      <c r="T1039" s="157" t="s">
        <v>547</v>
      </c>
      <c r="U1039" s="46" t="s">
        <v>651</v>
      </c>
      <c r="V1039" s="46" t="b">
        <v>1</v>
      </c>
      <c r="W1039" s="46">
        <v>0.95</v>
      </c>
      <c r="X1039" s="46">
        <v>0.00736267859999999</v>
      </c>
      <c r="Y1039" s="46">
        <v>6.42890483849031</v>
      </c>
      <c r="Z1039" s="46" t="b">
        <v>1</v>
      </c>
      <c r="AA1039" s="46" t="b">
        <v>1</v>
      </c>
    </row>
    <row r="1040">
      <c r="A1040" s="157" t="s">
        <v>559</v>
      </c>
      <c r="B1040" s="158">
        <v>1.0</v>
      </c>
      <c r="C1040" s="157" t="s">
        <v>642</v>
      </c>
      <c r="D1040" s="157" t="s">
        <v>643</v>
      </c>
      <c r="E1040" s="157" t="s">
        <v>644</v>
      </c>
      <c r="F1040" s="157" t="s">
        <v>3314</v>
      </c>
      <c r="G1040" s="157" t="s">
        <v>3315</v>
      </c>
      <c r="H1040" s="157"/>
      <c r="I1040" s="158">
        <v>11.7031</v>
      </c>
      <c r="J1040" s="158">
        <v>44.3697</v>
      </c>
      <c r="K1040" s="157" t="s">
        <v>3316</v>
      </c>
      <c r="L1040" s="157" t="s">
        <v>648</v>
      </c>
      <c r="M1040" s="158">
        <v>2022.0</v>
      </c>
      <c r="N1040" s="157" t="s">
        <v>649</v>
      </c>
      <c r="O1040" s="157" t="s">
        <v>650</v>
      </c>
      <c r="P1040" s="161" t="b">
        <v>0</v>
      </c>
      <c r="Q1040" s="158">
        <v>0.10628</v>
      </c>
      <c r="R1040" s="158">
        <v>0.007708105</v>
      </c>
      <c r="S1040" s="158">
        <v>0.098571895</v>
      </c>
      <c r="T1040" s="157" t="s">
        <v>594</v>
      </c>
      <c r="U1040" s="46" t="s">
        <v>651</v>
      </c>
      <c r="V1040" s="46" t="b">
        <v>1</v>
      </c>
      <c r="W1040" s="46">
        <v>0.95</v>
      </c>
      <c r="X1040" s="46">
        <v>0.00732269975</v>
      </c>
      <c r="Y1040" s="46">
        <v>5.24704524415488</v>
      </c>
      <c r="Z1040" s="46" t="b">
        <v>1</v>
      </c>
      <c r="AA1040" s="46" t="b">
        <v>1</v>
      </c>
    </row>
    <row r="1041">
      <c r="A1041" s="157" t="s">
        <v>561</v>
      </c>
      <c r="B1041" s="158">
        <v>3.0</v>
      </c>
      <c r="C1041" s="157" t="s">
        <v>1215</v>
      </c>
      <c r="D1041" s="157" t="s">
        <v>2348</v>
      </c>
      <c r="E1041" s="157" t="s">
        <v>2349</v>
      </c>
      <c r="F1041" s="157" t="s">
        <v>3317</v>
      </c>
      <c r="G1041" s="157" t="s">
        <v>3318</v>
      </c>
      <c r="H1041" s="157"/>
      <c r="I1041" s="158">
        <v>-3.49513</v>
      </c>
      <c r="J1041" s="158">
        <v>43.35597</v>
      </c>
      <c r="K1041" s="157" t="s">
        <v>3319</v>
      </c>
      <c r="L1041" s="157" t="s">
        <v>648</v>
      </c>
      <c r="M1041" s="158">
        <v>2022.0</v>
      </c>
      <c r="N1041" s="157" t="s">
        <v>114</v>
      </c>
      <c r="O1041" s="157" t="s">
        <v>1221</v>
      </c>
      <c r="P1041" s="161" t="b">
        <v>1</v>
      </c>
      <c r="Q1041" s="158">
        <v>0.168</v>
      </c>
      <c r="R1041" s="158">
        <v>0.007650348</v>
      </c>
      <c r="S1041" s="158">
        <v>0.160349652</v>
      </c>
      <c r="T1041" s="157" t="s">
        <v>114</v>
      </c>
      <c r="U1041" s="46" t="s">
        <v>651</v>
      </c>
      <c r="V1041" s="46" t="b">
        <v>1</v>
      </c>
      <c r="W1041" s="46">
        <v>0.95</v>
      </c>
      <c r="X1041" s="46">
        <v>0.0072678306</v>
      </c>
      <c r="Y1041" s="46" t="s">
        <v>640</v>
      </c>
      <c r="Z1041" s="46" t="b">
        <v>0</v>
      </c>
      <c r="AA1041" s="46" t="b">
        <v>0</v>
      </c>
    </row>
    <row r="1042">
      <c r="A1042" s="157" t="s">
        <v>559</v>
      </c>
      <c r="B1042" s="158">
        <v>1.0</v>
      </c>
      <c r="C1042" s="157" t="s">
        <v>642</v>
      </c>
      <c r="D1042" s="157" t="s">
        <v>2370</v>
      </c>
      <c r="E1042" s="157" t="s">
        <v>2371</v>
      </c>
      <c r="F1042" s="157" t="s">
        <v>3320</v>
      </c>
      <c r="G1042" s="157" t="s">
        <v>3321</v>
      </c>
      <c r="H1042" s="157"/>
      <c r="I1042" s="158">
        <v>15.1905</v>
      </c>
      <c r="J1042" s="158">
        <v>37.2216</v>
      </c>
      <c r="K1042" s="157" t="s">
        <v>2644</v>
      </c>
      <c r="L1042" s="157" t="s">
        <v>648</v>
      </c>
      <c r="M1042" s="158">
        <v>2022.0</v>
      </c>
      <c r="N1042" s="157" t="s">
        <v>547</v>
      </c>
      <c r="O1042" s="157" t="s">
        <v>2371</v>
      </c>
      <c r="P1042" s="161" t="b">
        <v>1</v>
      </c>
      <c r="Q1042" s="158">
        <v>2.029350425</v>
      </c>
      <c r="R1042" s="158">
        <v>0.007634877</v>
      </c>
      <c r="S1042" s="158">
        <v>2.021715548</v>
      </c>
      <c r="T1042" s="157" t="s">
        <v>547</v>
      </c>
      <c r="U1042" s="46" t="s">
        <v>651</v>
      </c>
      <c r="V1042" s="46" t="b">
        <v>1</v>
      </c>
      <c r="W1042" s="46">
        <v>0.95</v>
      </c>
      <c r="X1042" s="46">
        <v>0.00725313314999999</v>
      </c>
      <c r="Y1042" s="46" t="s">
        <v>640</v>
      </c>
      <c r="Z1042" s="46" t="b">
        <v>0</v>
      </c>
      <c r="AA1042" s="46" t="b">
        <v>0</v>
      </c>
    </row>
    <row r="1043">
      <c r="A1043" s="157" t="s">
        <v>556</v>
      </c>
      <c r="B1043" s="158">
        <v>1.0</v>
      </c>
      <c r="C1043" s="157" t="s">
        <v>642</v>
      </c>
      <c r="D1043" s="157" t="s">
        <v>643</v>
      </c>
      <c r="E1043" s="157" t="s">
        <v>644</v>
      </c>
      <c r="F1043" s="157" t="s">
        <v>3322</v>
      </c>
      <c r="G1043" s="157" t="s">
        <v>3323</v>
      </c>
      <c r="H1043" s="157"/>
      <c r="I1043" s="158">
        <v>4.79959</v>
      </c>
      <c r="J1043" s="158">
        <v>45.3616</v>
      </c>
      <c r="K1043" s="157" t="s">
        <v>3324</v>
      </c>
      <c r="L1043" s="157" t="s">
        <v>648</v>
      </c>
      <c r="M1043" s="158">
        <v>2022.0</v>
      </c>
      <c r="N1043" s="157" t="s">
        <v>649</v>
      </c>
      <c r="O1043" s="157" t="s">
        <v>650</v>
      </c>
      <c r="P1043" s="161" t="b">
        <v>0</v>
      </c>
      <c r="Q1043" s="158">
        <v>0.105</v>
      </c>
      <c r="R1043" s="158">
        <v>0.007615272</v>
      </c>
      <c r="S1043" s="158">
        <v>0.097384728</v>
      </c>
      <c r="T1043" s="157" t="s">
        <v>594</v>
      </c>
      <c r="U1043" s="46" t="s">
        <v>651</v>
      </c>
      <c r="V1043" s="46" t="b">
        <v>1</v>
      </c>
      <c r="W1043" s="46">
        <v>0.95</v>
      </c>
      <c r="X1043" s="46">
        <v>0.0072345084</v>
      </c>
      <c r="Y1043" s="46">
        <v>0.261771129241849</v>
      </c>
      <c r="Z1043" s="46" t="b">
        <v>1</v>
      </c>
      <c r="AA1043" s="46" t="b">
        <v>1</v>
      </c>
    </row>
    <row r="1044">
      <c r="A1044" s="157" t="s">
        <v>572</v>
      </c>
      <c r="B1044" s="158">
        <v>1.0</v>
      </c>
      <c r="C1044" s="157" t="s">
        <v>642</v>
      </c>
      <c r="D1044" s="157" t="s">
        <v>643</v>
      </c>
      <c r="E1044" s="157" t="s">
        <v>644</v>
      </c>
      <c r="F1044" s="157" t="s">
        <v>3325</v>
      </c>
      <c r="G1044" s="157" t="s">
        <v>3326</v>
      </c>
      <c r="H1044" s="157"/>
      <c r="I1044" s="158">
        <v>26.15408</v>
      </c>
      <c r="J1044" s="158">
        <v>38.33126</v>
      </c>
      <c r="K1044" s="157" t="s">
        <v>3327</v>
      </c>
      <c r="L1044" s="157" t="s">
        <v>648</v>
      </c>
      <c r="M1044" s="158">
        <v>2022.0</v>
      </c>
      <c r="N1044" s="157" t="s">
        <v>649</v>
      </c>
      <c r="O1044" s="157" t="s">
        <v>650</v>
      </c>
      <c r="P1044" s="161" t="b">
        <v>0</v>
      </c>
      <c r="Q1044" s="158">
        <v>0.105</v>
      </c>
      <c r="R1044" s="158">
        <v>0.007615272</v>
      </c>
      <c r="S1044" s="158">
        <v>0.097384728</v>
      </c>
      <c r="T1044" s="157" t="s">
        <v>594</v>
      </c>
      <c r="U1044" s="46" t="s">
        <v>651</v>
      </c>
      <c r="V1044" s="46" t="b">
        <v>1</v>
      </c>
      <c r="W1044" s="46">
        <v>0.95</v>
      </c>
      <c r="X1044" s="46">
        <v>0.0072345084</v>
      </c>
      <c r="Y1044" s="46" t="s">
        <v>640</v>
      </c>
      <c r="Z1044" s="46" t="b">
        <v>0</v>
      </c>
      <c r="AA1044" s="46" t="b">
        <v>0</v>
      </c>
    </row>
    <row r="1045">
      <c r="A1045" s="157" t="s">
        <v>571</v>
      </c>
      <c r="B1045" s="158">
        <v>1.0</v>
      </c>
      <c r="C1045" s="157" t="s">
        <v>642</v>
      </c>
      <c r="D1045" s="157" t="s">
        <v>643</v>
      </c>
      <c r="E1045" s="157" t="s">
        <v>644</v>
      </c>
      <c r="F1045" s="157" t="s">
        <v>3328</v>
      </c>
      <c r="G1045" s="157" t="s">
        <v>3329</v>
      </c>
      <c r="H1045" s="157"/>
      <c r="I1045" s="158">
        <v>24.011566</v>
      </c>
      <c r="J1045" s="158">
        <v>54.422754</v>
      </c>
      <c r="K1045" s="157" t="s">
        <v>3330</v>
      </c>
      <c r="L1045" s="157" t="s">
        <v>648</v>
      </c>
      <c r="M1045" s="158">
        <v>2022.0</v>
      </c>
      <c r="N1045" s="157" t="s">
        <v>649</v>
      </c>
      <c r="O1045" s="157" t="s">
        <v>650</v>
      </c>
      <c r="P1045" s="161" t="b">
        <v>0</v>
      </c>
      <c r="Q1045" s="158">
        <v>0.103</v>
      </c>
      <c r="R1045" s="158">
        <v>0.007470219</v>
      </c>
      <c r="S1045" s="158">
        <v>0.095529781</v>
      </c>
      <c r="T1045" s="157" t="s">
        <v>594</v>
      </c>
      <c r="U1045" s="46" t="s">
        <v>651</v>
      </c>
      <c r="V1045" s="46" t="b">
        <v>1</v>
      </c>
      <c r="W1045" s="46">
        <v>0.95</v>
      </c>
      <c r="X1045" s="46">
        <v>0.00709670805</v>
      </c>
      <c r="Y1045" s="46" t="s">
        <v>640</v>
      </c>
      <c r="Z1045" s="46" t="b">
        <v>0</v>
      </c>
      <c r="AA1045" s="46" t="b">
        <v>0</v>
      </c>
    </row>
    <row r="1046">
      <c r="A1046" s="157" t="s">
        <v>566</v>
      </c>
      <c r="B1046" s="158">
        <v>1.0</v>
      </c>
      <c r="C1046" s="157" t="s">
        <v>642</v>
      </c>
      <c r="D1046" s="157" t="s">
        <v>643</v>
      </c>
      <c r="E1046" s="157" t="s">
        <v>644</v>
      </c>
      <c r="F1046" s="157" t="s">
        <v>3331</v>
      </c>
      <c r="G1046" s="157" t="s">
        <v>3332</v>
      </c>
      <c r="H1046" s="157"/>
      <c r="I1046" s="158">
        <v>16.15527725</v>
      </c>
      <c r="J1046" s="158">
        <v>51.43208313</v>
      </c>
      <c r="K1046" s="157" t="s">
        <v>3333</v>
      </c>
      <c r="L1046" s="157" t="s">
        <v>648</v>
      </c>
      <c r="M1046" s="158">
        <v>2022.0</v>
      </c>
      <c r="N1046" s="157" t="s">
        <v>649</v>
      </c>
      <c r="O1046" s="157" t="s">
        <v>650</v>
      </c>
      <c r="P1046" s="161" t="b">
        <v>0</v>
      </c>
      <c r="Q1046" s="158">
        <v>0.103</v>
      </c>
      <c r="R1046" s="158">
        <v>0.007470219</v>
      </c>
      <c r="S1046" s="158">
        <v>0.095529781</v>
      </c>
      <c r="T1046" s="157" t="s">
        <v>594</v>
      </c>
      <c r="U1046" s="46" t="s">
        <v>651</v>
      </c>
      <c r="V1046" s="46" t="b">
        <v>1</v>
      </c>
      <c r="W1046" s="46">
        <v>0.95</v>
      </c>
      <c r="X1046" s="46">
        <v>0.00709670805</v>
      </c>
      <c r="Y1046" s="46" t="s">
        <v>640</v>
      </c>
      <c r="Z1046" s="46" t="b">
        <v>0</v>
      </c>
      <c r="AA1046" s="46" t="b">
        <v>0</v>
      </c>
    </row>
    <row r="1047">
      <c r="A1047" s="157" t="s">
        <v>561</v>
      </c>
      <c r="B1047" s="158">
        <v>1.0</v>
      </c>
      <c r="C1047" s="157" t="s">
        <v>642</v>
      </c>
      <c r="D1047" s="157" t="s">
        <v>643</v>
      </c>
      <c r="E1047" s="157" t="s">
        <v>644</v>
      </c>
      <c r="F1047" s="157" t="s">
        <v>3334</v>
      </c>
      <c r="G1047" s="157" t="s">
        <v>3335</v>
      </c>
      <c r="H1047" s="157"/>
      <c r="I1047" s="158">
        <v>-3.58229</v>
      </c>
      <c r="J1047" s="158">
        <v>39.0224</v>
      </c>
      <c r="K1047" s="157" t="s">
        <v>3336</v>
      </c>
      <c r="L1047" s="157" t="s">
        <v>648</v>
      </c>
      <c r="M1047" s="158">
        <v>2022.0</v>
      </c>
      <c r="N1047" s="157" t="s">
        <v>649</v>
      </c>
      <c r="O1047" s="157" t="s">
        <v>650</v>
      </c>
      <c r="P1047" s="161" t="b">
        <v>0</v>
      </c>
      <c r="Q1047" s="158">
        <v>0.103</v>
      </c>
      <c r="R1047" s="158">
        <v>0.007470219</v>
      </c>
      <c r="S1047" s="158">
        <v>0.095529781</v>
      </c>
      <c r="T1047" s="157" t="s">
        <v>594</v>
      </c>
      <c r="U1047" s="46" t="s">
        <v>651</v>
      </c>
      <c r="V1047" s="46" t="b">
        <v>1</v>
      </c>
      <c r="W1047" s="46">
        <v>0.95</v>
      </c>
      <c r="X1047" s="46">
        <v>0.00709670805</v>
      </c>
      <c r="Y1047" s="46" t="s">
        <v>640</v>
      </c>
      <c r="Z1047" s="46" t="b">
        <v>0</v>
      </c>
      <c r="AA1047" s="46" t="b">
        <v>0</v>
      </c>
    </row>
    <row r="1048">
      <c r="A1048" s="157" t="s">
        <v>559</v>
      </c>
      <c r="B1048" s="158">
        <v>3.0</v>
      </c>
      <c r="C1048" s="157" t="s">
        <v>1215</v>
      </c>
      <c r="D1048" s="157" t="s">
        <v>1216</v>
      </c>
      <c r="E1048" s="157" t="s">
        <v>1217</v>
      </c>
      <c r="F1048" s="157" t="s">
        <v>3337</v>
      </c>
      <c r="G1048" s="157" t="s">
        <v>3338</v>
      </c>
      <c r="H1048" s="157"/>
      <c r="I1048" s="158">
        <v>12.487222</v>
      </c>
      <c r="J1048" s="158">
        <v>42.539722</v>
      </c>
      <c r="K1048" s="157" t="s">
        <v>3339</v>
      </c>
      <c r="L1048" s="157" t="s">
        <v>648</v>
      </c>
      <c r="M1048" s="158">
        <v>2022.0</v>
      </c>
      <c r="N1048" s="157" t="s">
        <v>114</v>
      </c>
      <c r="O1048" s="157" t="s">
        <v>1221</v>
      </c>
      <c r="P1048" s="161" t="b">
        <v>1</v>
      </c>
      <c r="Q1048" s="158">
        <v>0.163348</v>
      </c>
      <c r="R1048" s="158">
        <v>0.007438506</v>
      </c>
      <c r="S1048" s="158">
        <v>0.155909494</v>
      </c>
      <c r="T1048" s="157" t="s">
        <v>114</v>
      </c>
      <c r="U1048" s="46" t="s">
        <v>651</v>
      </c>
      <c r="V1048" s="46" t="b">
        <v>1</v>
      </c>
      <c r="W1048" s="46">
        <v>0.95</v>
      </c>
      <c r="X1048" s="46">
        <v>0.0070665807</v>
      </c>
      <c r="Y1048" s="46" t="s">
        <v>640</v>
      </c>
      <c r="Z1048" s="46" t="b">
        <v>0</v>
      </c>
      <c r="AA1048" s="46" t="b">
        <v>0</v>
      </c>
    </row>
    <row r="1049">
      <c r="A1049" s="157" t="s">
        <v>566</v>
      </c>
      <c r="B1049" s="158">
        <v>3.0</v>
      </c>
      <c r="C1049" s="157" t="s">
        <v>1215</v>
      </c>
      <c r="D1049" s="157" t="s">
        <v>1216</v>
      </c>
      <c r="E1049" s="157" t="s">
        <v>1217</v>
      </c>
      <c r="F1049" s="157" t="s">
        <v>3340</v>
      </c>
      <c r="G1049" s="157" t="s">
        <v>3341</v>
      </c>
      <c r="H1049" s="157"/>
      <c r="I1049" s="158">
        <v>18.02789688</v>
      </c>
      <c r="J1049" s="158">
        <v>50.52667618</v>
      </c>
      <c r="K1049" s="157" t="s">
        <v>3342</v>
      </c>
      <c r="L1049" s="157" t="s">
        <v>648</v>
      </c>
      <c r="M1049" s="158">
        <v>2022.0</v>
      </c>
      <c r="N1049" s="157" t="s">
        <v>114</v>
      </c>
      <c r="O1049" s="157" t="s">
        <v>1221</v>
      </c>
      <c r="P1049" s="161" t="b">
        <v>1</v>
      </c>
      <c r="Q1049" s="158">
        <v>0.163</v>
      </c>
      <c r="R1049" s="158">
        <v>0.007422659</v>
      </c>
      <c r="S1049" s="158">
        <v>0.155577341</v>
      </c>
      <c r="T1049" s="157" t="s">
        <v>114</v>
      </c>
      <c r="U1049" s="46" t="s">
        <v>651</v>
      </c>
      <c r="V1049" s="46" t="b">
        <v>1</v>
      </c>
      <c r="W1049" s="46">
        <v>0.95</v>
      </c>
      <c r="X1049" s="46">
        <v>0.00705152605</v>
      </c>
      <c r="Y1049" s="46" t="s">
        <v>640</v>
      </c>
      <c r="Z1049" s="46" t="b">
        <v>0</v>
      </c>
      <c r="AA1049" s="46" t="b">
        <v>0</v>
      </c>
    </row>
    <row r="1050">
      <c r="A1050" s="157" t="s">
        <v>561</v>
      </c>
      <c r="B1050" s="158">
        <v>1.0</v>
      </c>
      <c r="C1050" s="157" t="s">
        <v>642</v>
      </c>
      <c r="D1050" s="157" t="s">
        <v>643</v>
      </c>
      <c r="E1050" s="157" t="s">
        <v>644</v>
      </c>
      <c r="F1050" s="157" t="s">
        <v>3343</v>
      </c>
      <c r="G1050" s="157" t="s">
        <v>3344</v>
      </c>
      <c r="H1050" s="157"/>
      <c r="I1050" s="158">
        <v>2.791314</v>
      </c>
      <c r="J1050" s="158">
        <v>41.988189</v>
      </c>
      <c r="K1050" s="157" t="s">
        <v>3345</v>
      </c>
      <c r="L1050" s="157" t="s">
        <v>648</v>
      </c>
      <c r="M1050" s="158">
        <v>2022.0</v>
      </c>
      <c r="N1050" s="157" t="s">
        <v>649</v>
      </c>
      <c r="O1050" s="157" t="s">
        <v>650</v>
      </c>
      <c r="P1050" s="161" t="b">
        <v>0</v>
      </c>
      <c r="Q1050" s="158">
        <v>0.102</v>
      </c>
      <c r="R1050" s="158">
        <v>0.007397693</v>
      </c>
      <c r="S1050" s="158">
        <v>0.094602307</v>
      </c>
      <c r="T1050" s="157" t="s">
        <v>594</v>
      </c>
      <c r="U1050" s="46" t="s">
        <v>651</v>
      </c>
      <c r="V1050" s="46" t="b">
        <v>1</v>
      </c>
      <c r="W1050" s="46">
        <v>0.95</v>
      </c>
      <c r="X1050" s="46">
        <v>0.00702780835</v>
      </c>
      <c r="Y1050" s="46" t="s">
        <v>640</v>
      </c>
      <c r="Z1050" s="46" t="b">
        <v>0</v>
      </c>
      <c r="AA1050" s="46" t="b">
        <v>0</v>
      </c>
    </row>
    <row r="1051">
      <c r="A1051" s="157" t="s">
        <v>562</v>
      </c>
      <c r="B1051" s="158">
        <v>4.0</v>
      </c>
      <c r="C1051" s="157" t="s">
        <v>1092</v>
      </c>
      <c r="D1051" s="157" t="s">
        <v>2307</v>
      </c>
      <c r="E1051" s="157" t="s">
        <v>2308</v>
      </c>
      <c r="F1051" s="162" t="s">
        <v>3346</v>
      </c>
      <c r="G1051" s="157" t="s">
        <v>3347</v>
      </c>
      <c r="H1051" s="157"/>
      <c r="I1051" s="158">
        <v>3.75495</v>
      </c>
      <c r="J1051" s="158">
        <v>51.12108</v>
      </c>
      <c r="K1051" s="157" t="s">
        <v>855</v>
      </c>
      <c r="L1051" s="157" t="s">
        <v>648</v>
      </c>
      <c r="M1051" s="158">
        <v>2022.0</v>
      </c>
      <c r="N1051" s="157" t="s">
        <v>201</v>
      </c>
      <c r="O1051" s="157" t="s">
        <v>1098</v>
      </c>
      <c r="P1051" s="161" t="b">
        <v>1</v>
      </c>
      <c r="Q1051" s="158">
        <v>0.131</v>
      </c>
      <c r="R1051" s="158">
        <v>0.007303136</v>
      </c>
      <c r="S1051" s="158">
        <v>0.123696864</v>
      </c>
      <c r="T1051" s="157" t="s">
        <v>201</v>
      </c>
      <c r="U1051" s="46" t="s">
        <v>651</v>
      </c>
      <c r="V1051" s="46" t="b">
        <v>1</v>
      </c>
      <c r="W1051" s="46">
        <v>0.95</v>
      </c>
      <c r="X1051" s="46">
        <v>0.0069379792</v>
      </c>
      <c r="Y1051" s="46">
        <v>4.50639728380939</v>
      </c>
      <c r="Z1051" s="46" t="b">
        <v>1</v>
      </c>
      <c r="AA1051" s="46" t="b">
        <v>1</v>
      </c>
    </row>
    <row r="1052">
      <c r="A1052" s="157" t="s">
        <v>559</v>
      </c>
      <c r="B1052" s="158">
        <v>3.0</v>
      </c>
      <c r="C1052" s="157" t="s">
        <v>1215</v>
      </c>
      <c r="D1052" s="157" t="s">
        <v>1216</v>
      </c>
      <c r="E1052" s="157" t="s">
        <v>1217</v>
      </c>
      <c r="F1052" s="157" t="s">
        <v>3348</v>
      </c>
      <c r="G1052" s="157" t="s">
        <v>3349</v>
      </c>
      <c r="H1052" s="157"/>
      <c r="I1052" s="158">
        <v>13.258717</v>
      </c>
      <c r="J1052" s="158">
        <v>42.463755</v>
      </c>
      <c r="K1052" s="157" t="s">
        <v>3350</v>
      </c>
      <c r="L1052" s="157" t="s">
        <v>648</v>
      </c>
      <c r="M1052" s="158">
        <v>2022.0</v>
      </c>
      <c r="N1052" s="157" t="s">
        <v>114</v>
      </c>
      <c r="O1052" s="157" t="s">
        <v>1221</v>
      </c>
      <c r="P1052" s="161" t="b">
        <v>1</v>
      </c>
      <c r="Q1052" s="158">
        <v>0.160242</v>
      </c>
      <c r="R1052" s="158">
        <v>0.007297066</v>
      </c>
      <c r="S1052" s="158">
        <v>0.152944934</v>
      </c>
      <c r="T1052" s="157" t="s">
        <v>114</v>
      </c>
      <c r="U1052" s="46" t="s">
        <v>651</v>
      </c>
      <c r="V1052" s="46" t="b">
        <v>1</v>
      </c>
      <c r="W1052" s="46">
        <v>0.95</v>
      </c>
      <c r="X1052" s="46">
        <v>0.00693221269999999</v>
      </c>
      <c r="Y1052" s="46" t="s">
        <v>640</v>
      </c>
      <c r="Z1052" s="46" t="b">
        <v>0</v>
      </c>
      <c r="AA1052" s="46" t="b">
        <v>0</v>
      </c>
    </row>
    <row r="1053">
      <c r="A1053" s="157" t="s">
        <v>562</v>
      </c>
      <c r="B1053" s="158">
        <v>1.0</v>
      </c>
      <c r="C1053" s="157" t="s">
        <v>642</v>
      </c>
      <c r="D1053" s="157" t="s">
        <v>2370</v>
      </c>
      <c r="E1053" s="157" t="s">
        <v>2371</v>
      </c>
      <c r="F1053" s="162" t="s">
        <v>3351</v>
      </c>
      <c r="G1053" s="157" t="s">
        <v>3352</v>
      </c>
      <c r="H1053" s="157"/>
      <c r="I1053" s="158">
        <v>4.34517</v>
      </c>
      <c r="J1053" s="158">
        <v>51.25712</v>
      </c>
      <c r="K1053" s="157" t="s">
        <v>2148</v>
      </c>
      <c r="L1053" s="157" t="s">
        <v>648</v>
      </c>
      <c r="M1053" s="158">
        <v>2022.0</v>
      </c>
      <c r="N1053" s="157" t="s">
        <v>547</v>
      </c>
      <c r="O1053" s="157" t="s">
        <v>2371</v>
      </c>
      <c r="P1053" s="161" t="b">
        <v>1</v>
      </c>
      <c r="Q1053" s="158">
        <v>1.92</v>
      </c>
      <c r="R1053" s="158">
        <v>0.007223476</v>
      </c>
      <c r="S1053" s="158">
        <v>1.912776524</v>
      </c>
      <c r="T1053" s="157" t="s">
        <v>547</v>
      </c>
      <c r="U1053" s="46" t="s">
        <v>651</v>
      </c>
      <c r="V1053" s="46" t="b">
        <v>1</v>
      </c>
      <c r="W1053" s="46">
        <v>0.95</v>
      </c>
      <c r="X1053" s="46">
        <v>0.0068623022</v>
      </c>
      <c r="Y1053" s="46">
        <v>4.37568028642479</v>
      </c>
      <c r="Z1053" s="46" t="b">
        <v>1</v>
      </c>
      <c r="AA1053" s="46" t="b">
        <v>1</v>
      </c>
    </row>
    <row r="1054">
      <c r="A1054" s="157" t="s">
        <v>559</v>
      </c>
      <c r="B1054" s="158">
        <v>3.0</v>
      </c>
      <c r="C1054" s="157" t="s">
        <v>1215</v>
      </c>
      <c r="D1054" s="157" t="s">
        <v>1216</v>
      </c>
      <c r="E1054" s="157" t="s">
        <v>1217</v>
      </c>
      <c r="F1054" s="157" t="s">
        <v>3353</v>
      </c>
      <c r="G1054" s="157" t="s">
        <v>3354</v>
      </c>
      <c r="H1054" s="157"/>
      <c r="I1054" s="158">
        <v>16.4489</v>
      </c>
      <c r="J1054" s="158">
        <v>38.9141</v>
      </c>
      <c r="K1054" s="157" t="s">
        <v>3355</v>
      </c>
      <c r="L1054" s="157" t="s">
        <v>648</v>
      </c>
      <c r="M1054" s="158">
        <v>2022.0</v>
      </c>
      <c r="N1054" s="157" t="s">
        <v>114</v>
      </c>
      <c r="O1054" s="157" t="s">
        <v>1221</v>
      </c>
      <c r="P1054" s="161" t="b">
        <v>1</v>
      </c>
      <c r="Q1054" s="158">
        <v>0.1579583</v>
      </c>
      <c r="R1054" s="158">
        <v>0.007193071</v>
      </c>
      <c r="S1054" s="158">
        <v>0.150765229</v>
      </c>
      <c r="T1054" s="157" t="s">
        <v>114</v>
      </c>
      <c r="U1054" s="46" t="s">
        <v>651</v>
      </c>
      <c r="V1054" s="46" t="b">
        <v>1</v>
      </c>
      <c r="W1054" s="46">
        <v>0.95</v>
      </c>
      <c r="X1054" s="46">
        <v>0.00683341744999999</v>
      </c>
      <c r="Y1054" s="46" t="s">
        <v>640</v>
      </c>
      <c r="Z1054" s="46" t="b">
        <v>0</v>
      </c>
      <c r="AA1054" s="46" t="b">
        <v>0</v>
      </c>
    </row>
    <row r="1055">
      <c r="A1055" s="157" t="s">
        <v>561</v>
      </c>
      <c r="B1055" s="158">
        <v>4.0</v>
      </c>
      <c r="C1055" s="157" t="s">
        <v>1092</v>
      </c>
      <c r="D1055" s="157" t="s">
        <v>2307</v>
      </c>
      <c r="E1055" s="157" t="s">
        <v>2308</v>
      </c>
      <c r="F1055" s="157" t="s">
        <v>3356</v>
      </c>
      <c r="G1055" s="157" t="s">
        <v>3357</v>
      </c>
      <c r="H1055" s="157"/>
      <c r="I1055" s="158">
        <v>-3.780037</v>
      </c>
      <c r="J1055" s="158">
        <v>43.413535</v>
      </c>
      <c r="K1055" s="157" t="s">
        <v>3102</v>
      </c>
      <c r="L1055" s="157" t="s">
        <v>648</v>
      </c>
      <c r="M1055" s="158">
        <v>2022.0</v>
      </c>
      <c r="N1055" s="157" t="s">
        <v>201</v>
      </c>
      <c r="O1055" s="157" t="s">
        <v>1098</v>
      </c>
      <c r="P1055" s="161" t="b">
        <v>1</v>
      </c>
      <c r="Q1055" s="158">
        <v>0.129</v>
      </c>
      <c r="R1055" s="158">
        <v>0.007191638</v>
      </c>
      <c r="S1055" s="158">
        <v>0.121808362</v>
      </c>
      <c r="T1055" s="157" t="s">
        <v>201</v>
      </c>
      <c r="U1055" s="46" t="s">
        <v>651</v>
      </c>
      <c r="V1055" s="46" t="b">
        <v>1</v>
      </c>
      <c r="W1055" s="46">
        <v>0.95</v>
      </c>
      <c r="X1055" s="46">
        <v>0.0068320561</v>
      </c>
      <c r="Y1055" s="46" t="s">
        <v>640</v>
      </c>
      <c r="Z1055" s="46" t="b">
        <v>0</v>
      </c>
      <c r="AA1055" s="46" t="b">
        <v>0</v>
      </c>
    </row>
    <row r="1056">
      <c r="A1056" s="157" t="s">
        <v>556</v>
      </c>
      <c r="B1056" s="158">
        <v>3.0</v>
      </c>
      <c r="C1056" s="157" t="s">
        <v>1215</v>
      </c>
      <c r="D1056" s="157" t="s">
        <v>2348</v>
      </c>
      <c r="E1056" s="157" t="s">
        <v>2349</v>
      </c>
      <c r="F1056" s="157" t="s">
        <v>3358</v>
      </c>
      <c r="G1056" s="157" t="s">
        <v>3359</v>
      </c>
      <c r="H1056" s="157"/>
      <c r="I1056" s="158">
        <v>4.97</v>
      </c>
      <c r="J1056" s="158">
        <v>43.428</v>
      </c>
      <c r="K1056" s="157" t="s">
        <v>1000</v>
      </c>
      <c r="L1056" s="157" t="s">
        <v>648</v>
      </c>
      <c r="M1056" s="158">
        <v>2022.0</v>
      </c>
      <c r="N1056" s="157" t="s">
        <v>114</v>
      </c>
      <c r="O1056" s="157" t="s">
        <v>1221</v>
      </c>
      <c r="P1056" s="161" t="b">
        <v>1</v>
      </c>
      <c r="Q1056" s="158">
        <v>0.157</v>
      </c>
      <c r="R1056" s="158">
        <v>0.007149432</v>
      </c>
      <c r="S1056" s="158">
        <v>0.149850568</v>
      </c>
      <c r="T1056" s="157" t="s">
        <v>114</v>
      </c>
      <c r="U1056" s="46" t="s">
        <v>651</v>
      </c>
      <c r="V1056" s="46" t="b">
        <v>1</v>
      </c>
      <c r="W1056" s="46">
        <v>0.95</v>
      </c>
      <c r="X1056" s="46">
        <v>0.0067919604</v>
      </c>
      <c r="Y1056" s="46">
        <v>22.4493572847328</v>
      </c>
      <c r="Z1056" s="46" t="b">
        <v>1</v>
      </c>
      <c r="AA1056" s="46" t="b">
        <v>1</v>
      </c>
    </row>
    <row r="1057">
      <c r="A1057" s="157" t="s">
        <v>556</v>
      </c>
      <c r="B1057" s="158">
        <v>3.0</v>
      </c>
      <c r="C1057" s="157" t="s">
        <v>1215</v>
      </c>
      <c r="D1057" s="157" t="s">
        <v>1371</v>
      </c>
      <c r="E1057" s="157" t="s">
        <v>1372</v>
      </c>
      <c r="F1057" s="157" t="s">
        <v>3360</v>
      </c>
      <c r="G1057" s="157" t="s">
        <v>2263</v>
      </c>
      <c r="H1057" s="157"/>
      <c r="I1057" s="158">
        <v>5.66991</v>
      </c>
      <c r="J1057" s="158">
        <v>45.2344</v>
      </c>
      <c r="K1057" s="157" t="s">
        <v>3361</v>
      </c>
      <c r="L1057" s="157" t="s">
        <v>648</v>
      </c>
      <c r="M1057" s="158">
        <v>2022.0</v>
      </c>
      <c r="N1057" s="157" t="s">
        <v>114</v>
      </c>
      <c r="O1057" s="157" t="s">
        <v>1376</v>
      </c>
      <c r="P1057" s="161" t="b">
        <v>1</v>
      </c>
      <c r="Q1057" s="158">
        <v>0.183</v>
      </c>
      <c r="R1057" s="158">
        <v>0.007050565</v>
      </c>
      <c r="S1057" s="158">
        <v>0.175949435</v>
      </c>
      <c r="T1057" s="157" t="s">
        <v>114</v>
      </c>
      <c r="U1057" s="46" t="s">
        <v>651</v>
      </c>
      <c r="V1057" s="46" t="b">
        <v>1</v>
      </c>
      <c r="W1057" s="46">
        <v>0.95</v>
      </c>
      <c r="X1057" s="46">
        <v>0.00669803675</v>
      </c>
      <c r="Y1057" s="46">
        <v>68.4561335879028</v>
      </c>
      <c r="Z1057" s="46" t="b">
        <v>0</v>
      </c>
      <c r="AA1057" s="46" t="b">
        <v>1</v>
      </c>
    </row>
    <row r="1058">
      <c r="A1058" s="157" t="s">
        <v>561</v>
      </c>
      <c r="B1058" s="158">
        <v>3.0</v>
      </c>
      <c r="C1058" s="157" t="s">
        <v>1215</v>
      </c>
      <c r="D1058" s="157" t="s">
        <v>2348</v>
      </c>
      <c r="E1058" s="157" t="s">
        <v>2349</v>
      </c>
      <c r="F1058" s="157" t="s">
        <v>3362</v>
      </c>
      <c r="G1058" s="157" t="s">
        <v>3363</v>
      </c>
      <c r="H1058" s="157"/>
      <c r="I1058" s="158">
        <v>-4.857662</v>
      </c>
      <c r="J1058" s="158">
        <v>37.274125</v>
      </c>
      <c r="K1058" s="157" t="s">
        <v>3364</v>
      </c>
      <c r="L1058" s="157" t="s">
        <v>648</v>
      </c>
      <c r="M1058" s="158">
        <v>2022.0</v>
      </c>
      <c r="N1058" s="157" t="s">
        <v>114</v>
      </c>
      <c r="O1058" s="157" t="s">
        <v>1221</v>
      </c>
      <c r="P1058" s="161" t="b">
        <v>1</v>
      </c>
      <c r="Q1058" s="158">
        <v>0.154</v>
      </c>
      <c r="R1058" s="158">
        <v>0.007012819</v>
      </c>
      <c r="S1058" s="158">
        <v>0.146987181</v>
      </c>
      <c r="T1058" s="157" t="s">
        <v>114</v>
      </c>
      <c r="U1058" s="46" t="s">
        <v>651</v>
      </c>
      <c r="V1058" s="46" t="b">
        <v>1</v>
      </c>
      <c r="W1058" s="46">
        <v>0.95</v>
      </c>
      <c r="X1058" s="46">
        <v>0.00666217804999999</v>
      </c>
      <c r="Y1058" s="46" t="s">
        <v>640</v>
      </c>
      <c r="Z1058" s="46" t="b">
        <v>0</v>
      </c>
      <c r="AA1058" s="46" t="b">
        <v>0</v>
      </c>
    </row>
    <row r="1059">
      <c r="A1059" s="157" t="s">
        <v>561</v>
      </c>
      <c r="B1059" s="158">
        <v>2.0</v>
      </c>
      <c r="C1059" s="157" t="s">
        <v>916</v>
      </c>
      <c r="D1059" s="157" t="s">
        <v>1203</v>
      </c>
      <c r="E1059" s="157" t="s">
        <v>1204</v>
      </c>
      <c r="F1059" s="157" t="s">
        <v>3365</v>
      </c>
      <c r="G1059" s="157" t="s">
        <v>3366</v>
      </c>
      <c r="H1059" s="157"/>
      <c r="I1059" s="158">
        <v>-9.08549</v>
      </c>
      <c r="J1059" s="158">
        <v>42.983626</v>
      </c>
      <c r="K1059" s="157" t="s">
        <v>3367</v>
      </c>
      <c r="L1059" s="157" t="s">
        <v>648</v>
      </c>
      <c r="M1059" s="158">
        <v>2022.0</v>
      </c>
      <c r="N1059" s="157" t="s">
        <v>549</v>
      </c>
      <c r="O1059" s="157" t="s">
        <v>1208</v>
      </c>
      <c r="P1059" s="161" t="b">
        <v>1</v>
      </c>
      <c r="Q1059" s="158">
        <v>0.102</v>
      </c>
      <c r="R1059" s="158">
        <v>0.006850277</v>
      </c>
      <c r="S1059" s="158">
        <v>0.095149723</v>
      </c>
      <c r="T1059" s="157" t="s">
        <v>549</v>
      </c>
      <c r="U1059" s="46" t="s">
        <v>651</v>
      </c>
      <c r="V1059" s="46" t="b">
        <v>1</v>
      </c>
      <c r="W1059" s="46">
        <v>0.95</v>
      </c>
      <c r="X1059" s="46">
        <v>0.00650776315</v>
      </c>
      <c r="Y1059" s="46" t="s">
        <v>640</v>
      </c>
      <c r="Z1059" s="46" t="b">
        <v>0</v>
      </c>
      <c r="AA1059" s="46" t="b">
        <v>0</v>
      </c>
    </row>
    <row r="1060">
      <c r="A1060" s="157" t="s">
        <v>556</v>
      </c>
      <c r="B1060" s="158">
        <v>1.0</v>
      </c>
      <c r="C1060" s="157" t="s">
        <v>642</v>
      </c>
      <c r="D1060" s="157" t="s">
        <v>2370</v>
      </c>
      <c r="E1060" s="157" t="s">
        <v>2371</v>
      </c>
      <c r="F1060" s="157" t="s">
        <v>3368</v>
      </c>
      <c r="G1060" s="157" t="s">
        <v>3369</v>
      </c>
      <c r="H1060" s="157"/>
      <c r="I1060" s="158">
        <v>0.22592</v>
      </c>
      <c r="J1060" s="158">
        <v>49.51034</v>
      </c>
      <c r="K1060" s="157" t="s">
        <v>3370</v>
      </c>
      <c r="L1060" s="157" t="s">
        <v>648</v>
      </c>
      <c r="M1060" s="158">
        <v>2022.0</v>
      </c>
      <c r="N1060" s="157" t="s">
        <v>547</v>
      </c>
      <c r="O1060" s="157" t="s">
        <v>2371</v>
      </c>
      <c r="P1060" s="161" t="b">
        <v>1</v>
      </c>
      <c r="Q1060" s="158">
        <v>1.791000064</v>
      </c>
      <c r="R1060" s="158">
        <v>0.006738149</v>
      </c>
      <c r="S1060" s="158">
        <v>1.784261915</v>
      </c>
      <c r="T1060" s="157" t="s">
        <v>547</v>
      </c>
      <c r="U1060" s="46" t="s">
        <v>651</v>
      </c>
      <c r="V1060" s="46" t="b">
        <v>1</v>
      </c>
      <c r="W1060" s="46">
        <v>0.95</v>
      </c>
      <c r="X1060" s="46">
        <v>0.00640124155</v>
      </c>
      <c r="Y1060" s="46">
        <v>2.45242542905509</v>
      </c>
      <c r="Z1060" s="46" t="b">
        <v>1</v>
      </c>
      <c r="AA1060" s="46" t="b">
        <v>1</v>
      </c>
    </row>
    <row r="1061">
      <c r="A1061" s="157" t="s">
        <v>559</v>
      </c>
      <c r="B1061" s="158">
        <v>3.0</v>
      </c>
      <c r="C1061" s="157" t="s">
        <v>1215</v>
      </c>
      <c r="D1061" s="157" t="s">
        <v>1216</v>
      </c>
      <c r="E1061" s="157" t="s">
        <v>1217</v>
      </c>
      <c r="F1061" s="157" t="s">
        <v>3371</v>
      </c>
      <c r="G1061" s="157" t="s">
        <v>3372</v>
      </c>
      <c r="H1061" s="157"/>
      <c r="I1061" s="158">
        <v>10.8333</v>
      </c>
      <c r="J1061" s="158">
        <v>45.5792</v>
      </c>
      <c r="K1061" s="157" t="s">
        <v>3373</v>
      </c>
      <c r="L1061" s="157" t="s">
        <v>648</v>
      </c>
      <c r="M1061" s="158">
        <v>2022.0</v>
      </c>
      <c r="N1061" s="157" t="s">
        <v>114</v>
      </c>
      <c r="O1061" s="157" t="s">
        <v>1221</v>
      </c>
      <c r="P1061" s="161" t="b">
        <v>1</v>
      </c>
      <c r="Q1061" s="158">
        <v>0.147613</v>
      </c>
      <c r="R1061" s="158">
        <v>0.006721969</v>
      </c>
      <c r="S1061" s="158">
        <v>0.140891031</v>
      </c>
      <c r="T1061" s="157" t="s">
        <v>114</v>
      </c>
      <c r="U1061" s="46" t="s">
        <v>651</v>
      </c>
      <c r="V1061" s="46" t="b">
        <v>1</v>
      </c>
      <c r="W1061" s="46">
        <v>0.95</v>
      </c>
      <c r="X1061" s="46">
        <v>0.00638587055</v>
      </c>
      <c r="Y1061" s="46">
        <v>45.6842286614329</v>
      </c>
      <c r="Z1061" s="46" t="b">
        <v>1</v>
      </c>
      <c r="AA1061" s="46" t="b">
        <v>1</v>
      </c>
    </row>
    <row r="1062">
      <c r="A1062" s="157" t="s">
        <v>559</v>
      </c>
      <c r="B1062" s="158">
        <v>3.0</v>
      </c>
      <c r="C1062" s="157" t="s">
        <v>1215</v>
      </c>
      <c r="D1062" s="157" t="s">
        <v>1216</v>
      </c>
      <c r="E1062" s="157" t="s">
        <v>1217</v>
      </c>
      <c r="F1062" s="157" t="s">
        <v>3374</v>
      </c>
      <c r="G1062" s="157" t="s">
        <v>3375</v>
      </c>
      <c r="H1062" s="157"/>
      <c r="I1062" s="158">
        <v>9.7192</v>
      </c>
      <c r="J1062" s="158">
        <v>40.5425</v>
      </c>
      <c r="K1062" s="157" t="s">
        <v>3376</v>
      </c>
      <c r="L1062" s="157" t="s">
        <v>648</v>
      </c>
      <c r="M1062" s="158">
        <v>2022.0</v>
      </c>
      <c r="N1062" s="157" t="s">
        <v>114</v>
      </c>
      <c r="O1062" s="157" t="s">
        <v>1221</v>
      </c>
      <c r="P1062" s="161" t="b">
        <v>1</v>
      </c>
      <c r="Q1062" s="158">
        <v>0.145467</v>
      </c>
      <c r="R1062" s="158">
        <v>0.006624245</v>
      </c>
      <c r="S1062" s="158">
        <v>0.138842755</v>
      </c>
      <c r="T1062" s="157" t="s">
        <v>114</v>
      </c>
      <c r="U1062" s="46" t="s">
        <v>651</v>
      </c>
      <c r="V1062" s="46" t="b">
        <v>1</v>
      </c>
      <c r="W1062" s="46">
        <v>0.95</v>
      </c>
      <c r="X1062" s="46">
        <v>0.00629303275</v>
      </c>
      <c r="Y1062" s="46" t="s">
        <v>640</v>
      </c>
      <c r="Z1062" s="46" t="b">
        <v>0</v>
      </c>
      <c r="AA1062" s="46" t="b">
        <v>0</v>
      </c>
    </row>
    <row r="1063">
      <c r="A1063" s="157" t="s">
        <v>556</v>
      </c>
      <c r="B1063" s="158">
        <v>3.0</v>
      </c>
      <c r="C1063" s="157" t="s">
        <v>1215</v>
      </c>
      <c r="D1063" s="157" t="s">
        <v>2348</v>
      </c>
      <c r="E1063" s="157" t="s">
        <v>2349</v>
      </c>
      <c r="F1063" s="157" t="s">
        <v>3377</v>
      </c>
      <c r="G1063" s="157" t="s">
        <v>3378</v>
      </c>
      <c r="H1063" s="157"/>
      <c r="I1063" s="158">
        <v>2.25864</v>
      </c>
      <c r="J1063" s="158">
        <v>50.9985</v>
      </c>
      <c r="K1063" s="157" t="s">
        <v>912</v>
      </c>
      <c r="L1063" s="157" t="s">
        <v>648</v>
      </c>
      <c r="M1063" s="158">
        <v>2022.0</v>
      </c>
      <c r="N1063" s="157" t="s">
        <v>114</v>
      </c>
      <c r="O1063" s="157" t="s">
        <v>1221</v>
      </c>
      <c r="P1063" s="161" t="b">
        <v>1</v>
      </c>
      <c r="Q1063" s="158">
        <v>0.145</v>
      </c>
      <c r="R1063" s="158">
        <v>0.006602979</v>
      </c>
      <c r="S1063" s="158">
        <v>0.138397021</v>
      </c>
      <c r="T1063" s="157" t="s">
        <v>114</v>
      </c>
      <c r="U1063" s="46" t="s">
        <v>651</v>
      </c>
      <c r="V1063" s="46" t="b">
        <v>1</v>
      </c>
      <c r="W1063" s="46">
        <v>0.95</v>
      </c>
      <c r="X1063" s="46">
        <v>0.00627283005</v>
      </c>
      <c r="Y1063" s="46">
        <v>1.79300313586451</v>
      </c>
      <c r="Z1063" s="46" t="b">
        <v>1</v>
      </c>
      <c r="AA1063" s="46" t="b">
        <v>1</v>
      </c>
    </row>
    <row r="1064">
      <c r="A1064" s="157" t="s">
        <v>572</v>
      </c>
      <c r="B1064" s="158">
        <v>1.0</v>
      </c>
      <c r="C1064" s="157" t="s">
        <v>642</v>
      </c>
      <c r="D1064" s="157" t="s">
        <v>2370</v>
      </c>
      <c r="E1064" s="157" t="s">
        <v>2371</v>
      </c>
      <c r="F1064" s="157" t="s">
        <v>3379</v>
      </c>
      <c r="G1064" s="157" t="s">
        <v>3380</v>
      </c>
      <c r="H1064" s="157"/>
      <c r="I1064" s="158">
        <v>23.51083</v>
      </c>
      <c r="J1064" s="158">
        <v>38.04222</v>
      </c>
      <c r="K1064" s="157" t="s">
        <v>3381</v>
      </c>
      <c r="L1064" s="157" t="s">
        <v>648</v>
      </c>
      <c r="M1064" s="158">
        <v>2022.0</v>
      </c>
      <c r="N1064" s="157" t="s">
        <v>547</v>
      </c>
      <c r="O1064" s="157" t="s">
        <v>2371</v>
      </c>
      <c r="P1064" s="161" t="b">
        <v>1</v>
      </c>
      <c r="Q1064" s="158">
        <v>1.75</v>
      </c>
      <c r="R1064" s="158">
        <v>0.006583898</v>
      </c>
      <c r="S1064" s="158">
        <v>1.743416102</v>
      </c>
      <c r="T1064" s="157" t="s">
        <v>547</v>
      </c>
      <c r="U1064" s="46" t="s">
        <v>651</v>
      </c>
      <c r="V1064" s="46" t="b">
        <v>1</v>
      </c>
      <c r="W1064" s="46">
        <v>0.95</v>
      </c>
      <c r="X1064" s="46">
        <v>0.0062547031</v>
      </c>
      <c r="Y1064" s="46">
        <v>23.7832349491963</v>
      </c>
      <c r="Z1064" s="46" t="b">
        <v>1</v>
      </c>
      <c r="AA1064" s="46" t="b">
        <v>1</v>
      </c>
    </row>
    <row r="1065">
      <c r="A1065" s="157" t="s">
        <v>556</v>
      </c>
      <c r="B1065" s="158">
        <v>1.0</v>
      </c>
      <c r="C1065" s="157" t="s">
        <v>642</v>
      </c>
      <c r="D1065" s="157" t="s">
        <v>2370</v>
      </c>
      <c r="E1065" s="157" t="s">
        <v>2371</v>
      </c>
      <c r="F1065" s="157" t="s">
        <v>3382</v>
      </c>
      <c r="G1065" s="157" t="s">
        <v>3383</v>
      </c>
      <c r="H1065" s="157"/>
      <c r="I1065" s="158">
        <v>0.56521</v>
      </c>
      <c r="J1065" s="158">
        <v>49.4884</v>
      </c>
      <c r="K1065" s="157" t="s">
        <v>3384</v>
      </c>
      <c r="L1065" s="157" t="s">
        <v>648</v>
      </c>
      <c r="M1065" s="158">
        <v>2022.0</v>
      </c>
      <c r="N1065" s="157" t="s">
        <v>547</v>
      </c>
      <c r="O1065" s="157" t="s">
        <v>2371</v>
      </c>
      <c r="P1065" s="161" t="b">
        <v>1</v>
      </c>
      <c r="Q1065" s="158">
        <v>1.73</v>
      </c>
      <c r="R1065" s="158">
        <v>0.006508653</v>
      </c>
      <c r="S1065" s="158">
        <v>1.723491347</v>
      </c>
      <c r="T1065" s="157" t="s">
        <v>547</v>
      </c>
      <c r="U1065" s="46" t="s">
        <v>651</v>
      </c>
      <c r="V1065" s="46" t="b">
        <v>1</v>
      </c>
      <c r="W1065" s="46">
        <v>0.95</v>
      </c>
      <c r="X1065" s="46">
        <v>0.00618322034999999</v>
      </c>
      <c r="Y1065" s="46">
        <v>1.75314640334535</v>
      </c>
      <c r="Z1065" s="46" t="b">
        <v>1</v>
      </c>
      <c r="AA1065" s="46" t="b">
        <v>1</v>
      </c>
    </row>
    <row r="1066">
      <c r="A1066" s="157" t="s">
        <v>566</v>
      </c>
      <c r="B1066" s="158">
        <v>3.0</v>
      </c>
      <c r="C1066" s="157" t="s">
        <v>1215</v>
      </c>
      <c r="D1066" s="157" t="s">
        <v>1216</v>
      </c>
      <c r="E1066" s="157" t="s">
        <v>1217</v>
      </c>
      <c r="F1066" s="157" t="s">
        <v>3385</v>
      </c>
      <c r="G1066" s="157" t="s">
        <v>3386</v>
      </c>
      <c r="H1066" s="157"/>
      <c r="I1066" s="158">
        <v>19.09745979</v>
      </c>
      <c r="J1066" s="158">
        <v>50.76306915</v>
      </c>
      <c r="K1066" s="157" t="s">
        <v>2530</v>
      </c>
      <c r="L1066" s="157" t="s">
        <v>648</v>
      </c>
      <c r="M1066" s="158">
        <v>2022.0</v>
      </c>
      <c r="N1066" s="157" t="s">
        <v>114</v>
      </c>
      <c r="O1066" s="157" t="s">
        <v>1221</v>
      </c>
      <c r="P1066" s="161" t="b">
        <v>1</v>
      </c>
      <c r="Q1066" s="158">
        <v>0.141</v>
      </c>
      <c r="R1066" s="158">
        <v>0.006420828</v>
      </c>
      <c r="S1066" s="158">
        <v>0.134579172</v>
      </c>
      <c r="T1066" s="157" t="s">
        <v>114</v>
      </c>
      <c r="U1066" s="46" t="s">
        <v>651</v>
      </c>
      <c r="V1066" s="46" t="b">
        <v>1</v>
      </c>
      <c r="W1066" s="46">
        <v>0.95</v>
      </c>
      <c r="X1066" s="46">
        <v>0.0060997866</v>
      </c>
      <c r="Y1066" s="46" t="s">
        <v>640</v>
      </c>
      <c r="Z1066" s="46" t="b">
        <v>0</v>
      </c>
      <c r="AA1066" s="46" t="b">
        <v>0</v>
      </c>
    </row>
    <row r="1067">
      <c r="A1067" s="157" t="s">
        <v>564</v>
      </c>
      <c r="B1067" s="158">
        <v>3.0</v>
      </c>
      <c r="C1067" s="157" t="s">
        <v>1215</v>
      </c>
      <c r="D1067" s="157" t="s">
        <v>1371</v>
      </c>
      <c r="E1067" s="157" t="s">
        <v>1372</v>
      </c>
      <c r="F1067" s="157" t="s">
        <v>3387</v>
      </c>
      <c r="G1067" s="157" t="s">
        <v>3388</v>
      </c>
      <c r="H1067" s="157"/>
      <c r="I1067" s="158">
        <v>7.0296</v>
      </c>
      <c r="J1067" s="158">
        <v>47.034</v>
      </c>
      <c r="K1067" s="157" t="s">
        <v>3389</v>
      </c>
      <c r="L1067" s="157" t="s">
        <v>648</v>
      </c>
      <c r="M1067" s="158">
        <v>2021.0</v>
      </c>
      <c r="N1067" s="157" t="s">
        <v>114</v>
      </c>
      <c r="O1067" s="157" t="s">
        <v>1376</v>
      </c>
      <c r="P1067" s="161" t="b">
        <v>1</v>
      </c>
      <c r="Q1067" s="158">
        <v>0.166</v>
      </c>
      <c r="R1067" s="158">
        <v>0.006395595</v>
      </c>
      <c r="S1067" s="158">
        <v>0.159604405</v>
      </c>
      <c r="T1067" s="157" t="s">
        <v>114</v>
      </c>
      <c r="U1067" s="46" t="s">
        <v>651</v>
      </c>
      <c r="V1067" s="46" t="b">
        <v>1</v>
      </c>
      <c r="W1067" s="46">
        <v>0.95</v>
      </c>
      <c r="X1067" s="46">
        <v>0.00607581524999999</v>
      </c>
      <c r="Y1067" s="46">
        <v>81.749840189648</v>
      </c>
      <c r="Z1067" s="46" t="b">
        <v>0</v>
      </c>
      <c r="AA1067" s="46" t="b">
        <v>1</v>
      </c>
    </row>
    <row r="1068">
      <c r="A1068" s="157" t="s">
        <v>559</v>
      </c>
      <c r="B1068" s="158">
        <v>1.0</v>
      </c>
      <c r="C1068" s="157" t="s">
        <v>642</v>
      </c>
      <c r="D1068" s="157" t="s">
        <v>2370</v>
      </c>
      <c r="E1068" s="157" t="s">
        <v>2371</v>
      </c>
      <c r="F1068" s="157" t="s">
        <v>3390</v>
      </c>
      <c r="G1068" s="157" t="s">
        <v>3391</v>
      </c>
      <c r="H1068" s="157"/>
      <c r="I1068" s="158">
        <v>8.8768</v>
      </c>
      <c r="J1068" s="158">
        <v>45.0997</v>
      </c>
      <c r="K1068" s="157" t="s">
        <v>3392</v>
      </c>
      <c r="L1068" s="157" t="s">
        <v>648</v>
      </c>
      <c r="M1068" s="158">
        <v>2022.0</v>
      </c>
      <c r="N1068" s="157" t="s">
        <v>547</v>
      </c>
      <c r="O1068" s="157" t="s">
        <v>2371</v>
      </c>
      <c r="P1068" s="161" t="b">
        <v>1</v>
      </c>
      <c r="Q1068" s="158">
        <v>1.63698039</v>
      </c>
      <c r="R1068" s="158">
        <v>0.006158692</v>
      </c>
      <c r="S1068" s="158">
        <v>1.630821698</v>
      </c>
      <c r="T1068" s="157" t="s">
        <v>547</v>
      </c>
      <c r="U1068" s="46" t="s">
        <v>651</v>
      </c>
      <c r="V1068" s="46" t="b">
        <v>1</v>
      </c>
      <c r="W1068" s="46">
        <v>0.95</v>
      </c>
      <c r="X1068" s="46">
        <v>0.0058507574</v>
      </c>
      <c r="Y1068" s="46">
        <v>13.089552800632</v>
      </c>
      <c r="Z1068" s="46" t="b">
        <v>1</v>
      </c>
      <c r="AA1068" s="46" t="b">
        <v>1</v>
      </c>
    </row>
    <row r="1069">
      <c r="A1069" s="157" t="s">
        <v>579</v>
      </c>
      <c r="B1069" s="158">
        <v>3.0</v>
      </c>
      <c r="C1069" s="157" t="s">
        <v>1215</v>
      </c>
      <c r="D1069" s="157" t="s">
        <v>2348</v>
      </c>
      <c r="E1069" s="157" t="s">
        <v>2349</v>
      </c>
      <c r="F1069" s="157" t="s">
        <v>3393</v>
      </c>
      <c r="G1069" s="157" t="s">
        <v>3394</v>
      </c>
      <c r="H1069" s="157"/>
      <c r="I1069" s="158">
        <v>13.82722</v>
      </c>
      <c r="J1069" s="158">
        <v>44.86378</v>
      </c>
      <c r="K1069" s="157" t="s">
        <v>3395</v>
      </c>
      <c r="L1069" s="157" t="s">
        <v>648</v>
      </c>
      <c r="M1069" s="158">
        <v>2022.0</v>
      </c>
      <c r="N1069" s="157" t="s">
        <v>114</v>
      </c>
      <c r="O1069" s="157" t="s">
        <v>1221</v>
      </c>
      <c r="P1069" s="161" t="b">
        <v>1</v>
      </c>
      <c r="Q1069" s="158">
        <v>0.132</v>
      </c>
      <c r="R1069" s="158">
        <v>0.006010988</v>
      </c>
      <c r="S1069" s="158">
        <v>0.125989012</v>
      </c>
      <c r="T1069" s="157" t="s">
        <v>114</v>
      </c>
      <c r="U1069" s="46" t="s">
        <v>651</v>
      </c>
      <c r="V1069" s="46" t="b">
        <v>1</v>
      </c>
      <c r="W1069" s="46">
        <v>0.95</v>
      </c>
      <c r="X1069" s="46">
        <v>0.0057104386</v>
      </c>
      <c r="Y1069" s="46">
        <v>135.873518387929</v>
      </c>
      <c r="Z1069" s="46" t="b">
        <v>0</v>
      </c>
      <c r="AA1069" s="46" t="b">
        <v>0</v>
      </c>
    </row>
    <row r="1070">
      <c r="A1070" s="157" t="s">
        <v>557</v>
      </c>
      <c r="B1070" s="158">
        <v>3.0</v>
      </c>
      <c r="C1070" s="157" t="s">
        <v>1215</v>
      </c>
      <c r="D1070" s="157" t="s">
        <v>1371</v>
      </c>
      <c r="E1070" s="157" t="s">
        <v>1372</v>
      </c>
      <c r="F1070" s="162" t="s">
        <v>3396</v>
      </c>
      <c r="G1070" s="157" t="s">
        <v>3397</v>
      </c>
      <c r="H1070" s="157"/>
      <c r="I1070" s="158">
        <v>8.25700175444804</v>
      </c>
      <c r="J1070" s="158">
        <v>50.0319095643934</v>
      </c>
      <c r="K1070" s="157" t="s">
        <v>3398</v>
      </c>
      <c r="L1070" s="157" t="s">
        <v>648</v>
      </c>
      <c r="M1070" s="158">
        <v>2022.0</v>
      </c>
      <c r="N1070" s="157" t="s">
        <v>114</v>
      </c>
      <c r="O1070" s="157" t="s">
        <v>1376</v>
      </c>
      <c r="P1070" s="161" t="b">
        <v>1</v>
      </c>
      <c r="Q1070" s="158">
        <v>0.201</v>
      </c>
      <c r="R1070" s="158">
        <v>0.006</v>
      </c>
      <c r="S1070" s="158">
        <v>0.195</v>
      </c>
      <c r="T1070" s="157" t="s">
        <v>114</v>
      </c>
      <c r="U1070" s="46" t="s">
        <v>651</v>
      </c>
      <c r="V1070" s="46" t="b">
        <v>1</v>
      </c>
      <c r="W1070" s="46">
        <v>0.95</v>
      </c>
      <c r="X1070" s="46">
        <v>0.0057</v>
      </c>
      <c r="Y1070" s="46">
        <v>11.0483155313543</v>
      </c>
      <c r="Z1070" s="46" t="b">
        <v>1</v>
      </c>
      <c r="AA1070" s="46" t="b">
        <v>1</v>
      </c>
    </row>
    <row r="1071">
      <c r="A1071" s="157" t="s">
        <v>563</v>
      </c>
      <c r="B1071" s="158">
        <v>3.0</v>
      </c>
      <c r="C1071" s="157" t="s">
        <v>1215</v>
      </c>
      <c r="D1071" s="157" t="s">
        <v>1371</v>
      </c>
      <c r="E1071" s="157" t="s">
        <v>1372</v>
      </c>
      <c r="F1071" s="157" t="s">
        <v>3399</v>
      </c>
      <c r="G1071" s="157" t="s">
        <v>3400</v>
      </c>
      <c r="H1071" s="157"/>
      <c r="I1071" s="158">
        <v>-3.3897</v>
      </c>
      <c r="J1071" s="158">
        <v>51.39407</v>
      </c>
      <c r="K1071" s="157" t="s">
        <v>3401</v>
      </c>
      <c r="L1071" s="157" t="s">
        <v>648</v>
      </c>
      <c r="M1071" s="158">
        <v>2019.0</v>
      </c>
      <c r="N1071" s="157" t="s">
        <v>114</v>
      </c>
      <c r="O1071" s="157" t="s">
        <v>1376</v>
      </c>
      <c r="P1071" s="161" t="b">
        <v>1</v>
      </c>
      <c r="Q1071" s="158">
        <v>0.371</v>
      </c>
      <c r="R1071" s="158">
        <v>0.006</v>
      </c>
      <c r="S1071" s="158">
        <v>0.365</v>
      </c>
      <c r="T1071" s="157" t="s">
        <v>114</v>
      </c>
      <c r="U1071" s="46" t="s">
        <v>651</v>
      </c>
      <c r="V1071" s="46" t="b">
        <v>1</v>
      </c>
      <c r="W1071" s="46">
        <v>0.95</v>
      </c>
      <c r="X1071" s="46">
        <v>0.0057</v>
      </c>
      <c r="Y1071" s="46" t="s">
        <v>640</v>
      </c>
      <c r="Z1071" s="46" t="b">
        <v>0</v>
      </c>
      <c r="AA1071" s="46" t="b">
        <v>0</v>
      </c>
    </row>
    <row r="1072">
      <c r="A1072" s="157" t="s">
        <v>559</v>
      </c>
      <c r="B1072" s="158">
        <v>3.0</v>
      </c>
      <c r="C1072" s="157" t="s">
        <v>1215</v>
      </c>
      <c r="D1072" s="157" t="s">
        <v>1216</v>
      </c>
      <c r="E1072" s="157" t="s">
        <v>1217</v>
      </c>
      <c r="F1072" s="157" t="s">
        <v>3402</v>
      </c>
      <c r="G1072" s="157" t="s">
        <v>3403</v>
      </c>
      <c r="H1072" s="157"/>
      <c r="I1072" s="158">
        <v>7.4175</v>
      </c>
      <c r="J1072" s="158">
        <v>44.3911</v>
      </c>
      <c r="K1072" s="157" t="s">
        <v>3404</v>
      </c>
      <c r="L1072" s="157" t="s">
        <v>648</v>
      </c>
      <c r="M1072" s="158">
        <v>2022.0</v>
      </c>
      <c r="N1072" s="157" t="s">
        <v>114</v>
      </c>
      <c r="O1072" s="157" t="s">
        <v>1221</v>
      </c>
      <c r="P1072" s="161" t="b">
        <v>1</v>
      </c>
      <c r="Q1072" s="158">
        <v>0.130488</v>
      </c>
      <c r="R1072" s="158">
        <v>0.005942135</v>
      </c>
      <c r="S1072" s="158">
        <v>0.124545865</v>
      </c>
      <c r="T1072" s="157" t="s">
        <v>114</v>
      </c>
      <c r="U1072" s="46" t="s">
        <v>651</v>
      </c>
      <c r="V1072" s="46" t="b">
        <v>1</v>
      </c>
      <c r="W1072" s="46">
        <v>0.95</v>
      </c>
      <c r="X1072" s="46">
        <v>0.00564502825</v>
      </c>
      <c r="Y1072" s="46">
        <v>132.651477440879</v>
      </c>
      <c r="Z1072" s="46" t="b">
        <v>0</v>
      </c>
      <c r="AA1072" s="46" t="b">
        <v>0</v>
      </c>
    </row>
    <row r="1073">
      <c r="A1073" s="157" t="s">
        <v>561</v>
      </c>
      <c r="B1073" s="158">
        <v>4.0</v>
      </c>
      <c r="C1073" s="157" t="s">
        <v>1092</v>
      </c>
      <c r="D1073" s="157" t="s">
        <v>2307</v>
      </c>
      <c r="E1073" s="157" t="s">
        <v>2308</v>
      </c>
      <c r="F1073" s="157" t="s">
        <v>3405</v>
      </c>
      <c r="G1073" s="157" t="s">
        <v>3406</v>
      </c>
      <c r="H1073" s="157"/>
      <c r="I1073" s="158">
        <v>-8.494415</v>
      </c>
      <c r="J1073" s="158">
        <v>43.33508</v>
      </c>
      <c r="K1073" s="157" t="s">
        <v>2039</v>
      </c>
      <c r="L1073" s="157" t="s">
        <v>648</v>
      </c>
      <c r="M1073" s="158">
        <v>2022.0</v>
      </c>
      <c r="N1073" s="157" t="s">
        <v>201</v>
      </c>
      <c r="O1073" s="157" t="s">
        <v>1098</v>
      </c>
      <c r="P1073" s="161" t="b">
        <v>1</v>
      </c>
      <c r="Q1073" s="158">
        <v>0.106</v>
      </c>
      <c r="R1073" s="158">
        <v>0.005909408</v>
      </c>
      <c r="S1073" s="158">
        <v>0.100090592</v>
      </c>
      <c r="T1073" s="157" t="s">
        <v>201</v>
      </c>
      <c r="U1073" s="46" t="s">
        <v>651</v>
      </c>
      <c r="V1073" s="46" t="b">
        <v>1</v>
      </c>
      <c r="W1073" s="46">
        <v>0.95</v>
      </c>
      <c r="X1073" s="46">
        <v>0.0056139376</v>
      </c>
      <c r="Y1073" s="46" t="s">
        <v>640</v>
      </c>
      <c r="Z1073" s="46" t="b">
        <v>0</v>
      </c>
      <c r="AA1073" s="46" t="b">
        <v>0</v>
      </c>
    </row>
    <row r="1074">
      <c r="A1074" s="157" t="s">
        <v>572</v>
      </c>
      <c r="B1074" s="158">
        <v>1.0</v>
      </c>
      <c r="C1074" s="157" t="s">
        <v>642</v>
      </c>
      <c r="D1074" s="157" t="s">
        <v>2370</v>
      </c>
      <c r="E1074" s="157" t="s">
        <v>2371</v>
      </c>
      <c r="F1074" s="157" t="s">
        <v>3407</v>
      </c>
      <c r="G1074" s="157" t="s">
        <v>3408</v>
      </c>
      <c r="H1074" s="157"/>
      <c r="I1074" s="158">
        <v>23.60276</v>
      </c>
      <c r="J1074" s="158">
        <v>38.03236</v>
      </c>
      <c r="K1074" s="157" t="s">
        <v>3254</v>
      </c>
      <c r="L1074" s="157" t="s">
        <v>648</v>
      </c>
      <c r="M1074" s="158">
        <v>2022.0</v>
      </c>
      <c r="N1074" s="157" t="s">
        <v>547</v>
      </c>
      <c r="O1074" s="157" t="s">
        <v>2371</v>
      </c>
      <c r="P1074" s="161" t="b">
        <v>1</v>
      </c>
      <c r="Q1074" s="158">
        <v>1.56</v>
      </c>
      <c r="R1074" s="158">
        <v>0.005869074</v>
      </c>
      <c r="S1074" s="158">
        <v>1.554130926</v>
      </c>
      <c r="T1074" s="157" t="s">
        <v>547</v>
      </c>
      <c r="U1074" s="46" t="s">
        <v>651</v>
      </c>
      <c r="V1074" s="46" t="b">
        <v>1</v>
      </c>
      <c r="W1074" s="46">
        <v>0.95</v>
      </c>
      <c r="X1074" s="46">
        <v>0.00557562029999999</v>
      </c>
      <c r="Y1074" s="46">
        <v>22.0801625394502</v>
      </c>
      <c r="Z1074" s="46" t="b">
        <v>1</v>
      </c>
      <c r="AA1074" s="46" t="b">
        <v>1</v>
      </c>
    </row>
    <row r="1075">
      <c r="A1075" s="157" t="s">
        <v>561</v>
      </c>
      <c r="B1075" s="158">
        <v>1.0</v>
      </c>
      <c r="C1075" s="157" t="s">
        <v>642</v>
      </c>
      <c r="D1075" s="157" t="s">
        <v>2370</v>
      </c>
      <c r="E1075" s="157" t="s">
        <v>2371</v>
      </c>
      <c r="F1075" s="157" t="s">
        <v>3409</v>
      </c>
      <c r="G1075" s="157" t="s">
        <v>3410</v>
      </c>
      <c r="H1075" s="157"/>
      <c r="I1075" s="158">
        <v>-5.39647</v>
      </c>
      <c r="J1075" s="158">
        <v>36.185634</v>
      </c>
      <c r="K1075" s="157" t="s">
        <v>3075</v>
      </c>
      <c r="L1075" s="157" t="s">
        <v>648</v>
      </c>
      <c r="M1075" s="158">
        <v>2022.0</v>
      </c>
      <c r="N1075" s="157" t="s">
        <v>547</v>
      </c>
      <c r="O1075" s="157" t="s">
        <v>2371</v>
      </c>
      <c r="P1075" s="161" t="b">
        <v>1</v>
      </c>
      <c r="Q1075" s="158">
        <v>1.53</v>
      </c>
      <c r="R1075" s="158">
        <v>0.005756208</v>
      </c>
      <c r="S1075" s="158">
        <v>1.524243792</v>
      </c>
      <c r="T1075" s="157" t="s">
        <v>547</v>
      </c>
      <c r="U1075" s="46" t="s">
        <v>651</v>
      </c>
      <c r="V1075" s="46" t="b">
        <v>1</v>
      </c>
      <c r="W1075" s="46">
        <v>0.95</v>
      </c>
      <c r="X1075" s="46">
        <v>0.00546839759999999</v>
      </c>
      <c r="Y1075" s="46" t="s">
        <v>640</v>
      </c>
      <c r="Z1075" s="46" t="b">
        <v>0</v>
      </c>
      <c r="AA1075" s="46" t="b">
        <v>0</v>
      </c>
    </row>
    <row r="1076">
      <c r="A1076" s="157" t="s">
        <v>565</v>
      </c>
      <c r="B1076" s="158">
        <v>1.0</v>
      </c>
      <c r="C1076" s="157" t="s">
        <v>642</v>
      </c>
      <c r="D1076" s="157" t="s">
        <v>643</v>
      </c>
      <c r="E1076" s="157" t="s">
        <v>644</v>
      </c>
      <c r="F1076" s="157" t="s">
        <v>3411</v>
      </c>
      <c r="G1076" s="157" t="s">
        <v>3412</v>
      </c>
      <c r="H1076" s="157"/>
      <c r="I1076" s="158">
        <v>18.49604444</v>
      </c>
      <c r="J1076" s="158">
        <v>49.84425556</v>
      </c>
      <c r="K1076" s="157" t="s">
        <v>3413</v>
      </c>
      <c r="L1076" s="157" t="s">
        <v>648</v>
      </c>
      <c r="M1076" s="158">
        <v>2020.0</v>
      </c>
      <c r="N1076" s="157" t="s">
        <v>649</v>
      </c>
      <c r="O1076" s="157" t="s">
        <v>650</v>
      </c>
      <c r="P1076" s="161" t="b">
        <v>0</v>
      </c>
      <c r="Q1076" s="158">
        <v>0.391748641</v>
      </c>
      <c r="R1076" s="158">
        <v>0.005709842</v>
      </c>
      <c r="S1076" s="158">
        <v>0.386038798</v>
      </c>
      <c r="T1076" s="157" t="s">
        <v>117</v>
      </c>
      <c r="U1076" s="46" t="s">
        <v>651</v>
      </c>
      <c r="V1076" s="46" t="b">
        <v>1</v>
      </c>
      <c r="W1076" s="46">
        <v>0.95</v>
      </c>
      <c r="X1076" s="46">
        <v>0.00542434989999999</v>
      </c>
      <c r="Y1076" s="46" t="s">
        <v>640</v>
      </c>
      <c r="Z1076" s="46" t="b">
        <v>0</v>
      </c>
      <c r="AA1076" s="46" t="b">
        <v>0</v>
      </c>
    </row>
    <row r="1077">
      <c r="A1077" s="157" t="s">
        <v>565</v>
      </c>
      <c r="B1077" s="158">
        <v>1.0</v>
      </c>
      <c r="C1077" s="157" t="s">
        <v>642</v>
      </c>
      <c r="D1077" s="157" t="s">
        <v>643</v>
      </c>
      <c r="E1077" s="157" t="s">
        <v>644</v>
      </c>
      <c r="F1077" s="157" t="s">
        <v>3414</v>
      </c>
      <c r="G1077" s="157" t="s">
        <v>3415</v>
      </c>
      <c r="H1077" s="157"/>
      <c r="I1077" s="158">
        <v>18.47851389</v>
      </c>
      <c r="J1077" s="158">
        <v>49.8232</v>
      </c>
      <c r="K1077" s="157" t="s">
        <v>3413</v>
      </c>
      <c r="L1077" s="157" t="s">
        <v>648</v>
      </c>
      <c r="M1077" s="158">
        <v>2020.0</v>
      </c>
      <c r="N1077" s="157" t="s">
        <v>649</v>
      </c>
      <c r="O1077" s="157" t="s">
        <v>650</v>
      </c>
      <c r="P1077" s="161" t="b">
        <v>0</v>
      </c>
      <c r="Q1077" s="158">
        <v>0.276907092</v>
      </c>
      <c r="R1077" s="158">
        <v>0.005709842</v>
      </c>
      <c r="S1077" s="158">
        <v>0.27119725</v>
      </c>
      <c r="T1077" s="157" t="s">
        <v>117</v>
      </c>
      <c r="U1077" s="46" t="s">
        <v>651</v>
      </c>
      <c r="V1077" s="46" t="b">
        <v>1</v>
      </c>
      <c r="W1077" s="46">
        <v>0.95</v>
      </c>
      <c r="X1077" s="46">
        <v>0.00542434989999999</v>
      </c>
      <c r="Y1077" s="46" t="s">
        <v>640</v>
      </c>
      <c r="Z1077" s="46" t="b">
        <v>0</v>
      </c>
      <c r="AA1077" s="46" t="b">
        <v>0</v>
      </c>
    </row>
    <row r="1078">
      <c r="A1078" s="157" t="s">
        <v>571</v>
      </c>
      <c r="B1078" s="158">
        <v>1.0</v>
      </c>
      <c r="C1078" s="157" t="s">
        <v>642</v>
      </c>
      <c r="D1078" s="157" t="s">
        <v>2370</v>
      </c>
      <c r="E1078" s="157" t="s">
        <v>2371</v>
      </c>
      <c r="F1078" s="157" t="s">
        <v>3416</v>
      </c>
      <c r="G1078" s="157" t="s">
        <v>3417</v>
      </c>
      <c r="H1078" s="157"/>
      <c r="I1078" s="158">
        <v>22.176387</v>
      </c>
      <c r="J1078" s="158">
        <v>56.381366</v>
      </c>
      <c r="K1078" s="157" t="s">
        <v>3418</v>
      </c>
      <c r="L1078" s="157" t="s">
        <v>648</v>
      </c>
      <c r="M1078" s="158">
        <v>2022.0</v>
      </c>
      <c r="N1078" s="157" t="s">
        <v>547</v>
      </c>
      <c r="O1078" s="157" t="s">
        <v>2371</v>
      </c>
      <c r="P1078" s="161" t="b">
        <v>1</v>
      </c>
      <c r="Q1078" s="158">
        <v>1.5</v>
      </c>
      <c r="R1078" s="158">
        <v>0.005643341</v>
      </c>
      <c r="S1078" s="158">
        <v>1.494356659</v>
      </c>
      <c r="T1078" s="157" t="s">
        <v>547</v>
      </c>
      <c r="U1078" s="46" t="s">
        <v>651</v>
      </c>
      <c r="V1078" s="46" t="b">
        <v>1</v>
      </c>
      <c r="W1078" s="46">
        <v>0.95</v>
      </c>
      <c r="X1078" s="46">
        <v>0.00536117394999999</v>
      </c>
      <c r="Y1078" s="46">
        <v>1.93313753733577</v>
      </c>
      <c r="Z1078" s="46" t="b">
        <v>1</v>
      </c>
      <c r="AA1078" s="46" t="b">
        <v>1</v>
      </c>
    </row>
    <row r="1079">
      <c r="A1079" s="157" t="s">
        <v>569</v>
      </c>
      <c r="B1079" s="158">
        <v>1.0</v>
      </c>
      <c r="C1079" s="157" t="s">
        <v>642</v>
      </c>
      <c r="D1079" s="157" t="s">
        <v>2370</v>
      </c>
      <c r="E1079" s="157" t="s">
        <v>2371</v>
      </c>
      <c r="F1079" s="157" t="s">
        <v>3419</v>
      </c>
      <c r="G1079" s="157" t="s">
        <v>3420</v>
      </c>
      <c r="H1079" s="157"/>
      <c r="I1079" s="158">
        <v>18.896743</v>
      </c>
      <c r="J1079" s="158">
        <v>47.288829</v>
      </c>
      <c r="K1079" s="157" t="s">
        <v>2279</v>
      </c>
      <c r="L1079" s="157" t="s">
        <v>648</v>
      </c>
      <c r="M1079" s="158">
        <v>2022.0</v>
      </c>
      <c r="N1079" s="157" t="s">
        <v>547</v>
      </c>
      <c r="O1079" s="157" t="s">
        <v>2371</v>
      </c>
      <c r="P1079" s="161" t="b">
        <v>1</v>
      </c>
      <c r="Q1079" s="158">
        <v>1.49279</v>
      </c>
      <c r="R1079" s="158">
        <v>0.005616215</v>
      </c>
      <c r="S1079" s="158">
        <v>1.487173785</v>
      </c>
      <c r="T1079" s="157" t="s">
        <v>547</v>
      </c>
      <c r="U1079" s="46" t="s">
        <v>651</v>
      </c>
      <c r="V1079" s="46" t="b">
        <v>1</v>
      </c>
      <c r="W1079" s="46">
        <v>0.95</v>
      </c>
      <c r="X1079" s="46">
        <v>0.00533540425</v>
      </c>
      <c r="Y1079" s="46" t="s">
        <v>640</v>
      </c>
      <c r="Z1079" s="46" t="b">
        <v>0</v>
      </c>
      <c r="AA1079" s="46" t="b">
        <v>0</v>
      </c>
    </row>
    <row r="1080">
      <c r="A1080" s="157" t="s">
        <v>565</v>
      </c>
      <c r="B1080" s="158">
        <v>1.0</v>
      </c>
      <c r="C1080" s="157" t="s">
        <v>642</v>
      </c>
      <c r="D1080" s="157" t="s">
        <v>643</v>
      </c>
      <c r="E1080" s="157" t="s">
        <v>644</v>
      </c>
      <c r="F1080" s="157" t="s">
        <v>3421</v>
      </c>
      <c r="G1080" s="157" t="s">
        <v>3422</v>
      </c>
      <c r="H1080" s="157"/>
      <c r="I1080" s="158">
        <v>17.52029028</v>
      </c>
      <c r="J1080" s="158">
        <v>49.20472665</v>
      </c>
      <c r="K1080" s="157" t="s">
        <v>3423</v>
      </c>
      <c r="L1080" s="157" t="s">
        <v>648</v>
      </c>
      <c r="M1080" s="158">
        <v>2020.0</v>
      </c>
      <c r="N1080" s="157" t="s">
        <v>649</v>
      </c>
      <c r="O1080" s="157" t="s">
        <v>650</v>
      </c>
      <c r="P1080" s="161" t="b">
        <v>0</v>
      </c>
      <c r="Q1080" s="158">
        <v>0.279066</v>
      </c>
      <c r="R1080" s="158">
        <v>0.005532</v>
      </c>
      <c r="S1080" s="158">
        <v>0.273534</v>
      </c>
      <c r="T1080" s="157" t="s">
        <v>117</v>
      </c>
      <c r="U1080" s="46" t="s">
        <v>651</v>
      </c>
      <c r="V1080" s="46" t="b">
        <v>1</v>
      </c>
      <c r="W1080" s="46">
        <v>0.95</v>
      </c>
      <c r="X1080" s="46">
        <v>0.00525539999999999</v>
      </c>
      <c r="Y1080" s="46" t="s">
        <v>640</v>
      </c>
      <c r="Z1080" s="46" t="b">
        <v>0</v>
      </c>
      <c r="AA1080" s="46" t="b">
        <v>0</v>
      </c>
    </row>
    <row r="1081">
      <c r="A1081" s="157" t="s">
        <v>561</v>
      </c>
      <c r="B1081" s="158">
        <v>1.0</v>
      </c>
      <c r="C1081" s="157" t="s">
        <v>642</v>
      </c>
      <c r="D1081" s="157" t="s">
        <v>2370</v>
      </c>
      <c r="E1081" s="157" t="s">
        <v>2371</v>
      </c>
      <c r="F1081" s="157" t="s">
        <v>3424</v>
      </c>
      <c r="G1081" s="157" t="s">
        <v>3425</v>
      </c>
      <c r="H1081" s="157"/>
      <c r="I1081" s="158">
        <v>-6.894507</v>
      </c>
      <c r="J1081" s="158">
        <v>37.184329</v>
      </c>
      <c r="K1081" s="157" t="s">
        <v>2549</v>
      </c>
      <c r="L1081" s="157" t="s">
        <v>648</v>
      </c>
      <c r="M1081" s="158">
        <v>2022.0</v>
      </c>
      <c r="N1081" s="157" t="s">
        <v>547</v>
      </c>
      <c r="O1081" s="157" t="s">
        <v>2371</v>
      </c>
      <c r="P1081" s="161" t="b">
        <v>1</v>
      </c>
      <c r="Q1081" s="158">
        <v>1.47</v>
      </c>
      <c r="R1081" s="158">
        <v>0.005530474</v>
      </c>
      <c r="S1081" s="158">
        <v>1.464469526</v>
      </c>
      <c r="T1081" s="157" t="s">
        <v>547</v>
      </c>
      <c r="U1081" s="46" t="s">
        <v>651</v>
      </c>
      <c r="V1081" s="46" t="b">
        <v>1</v>
      </c>
      <c r="W1081" s="46">
        <v>0.95</v>
      </c>
      <c r="X1081" s="46">
        <v>0.00525395029999999</v>
      </c>
      <c r="Y1081" s="46" t="s">
        <v>640</v>
      </c>
      <c r="Z1081" s="46" t="b">
        <v>0</v>
      </c>
      <c r="AA1081" s="46" t="b">
        <v>0</v>
      </c>
    </row>
    <row r="1082">
      <c r="A1082" s="157" t="s">
        <v>559</v>
      </c>
      <c r="B1082" s="158">
        <v>1.0</v>
      </c>
      <c r="C1082" s="157" t="s">
        <v>642</v>
      </c>
      <c r="D1082" s="157" t="s">
        <v>2370</v>
      </c>
      <c r="E1082" s="157" t="s">
        <v>2371</v>
      </c>
      <c r="F1082" s="157" t="s">
        <v>3426</v>
      </c>
      <c r="G1082" s="157" t="s">
        <v>3427</v>
      </c>
      <c r="H1082" s="157"/>
      <c r="I1082" s="158">
        <v>15.219444</v>
      </c>
      <c r="J1082" s="158">
        <v>37.135556</v>
      </c>
      <c r="K1082" s="157" t="s">
        <v>1272</v>
      </c>
      <c r="L1082" s="157" t="s">
        <v>648</v>
      </c>
      <c r="M1082" s="158">
        <v>2022.0</v>
      </c>
      <c r="N1082" s="157" t="s">
        <v>547</v>
      </c>
      <c r="O1082" s="157" t="s">
        <v>2371</v>
      </c>
      <c r="P1082" s="161" t="b">
        <v>1</v>
      </c>
      <c r="Q1082" s="158">
        <v>1.46708</v>
      </c>
      <c r="R1082" s="158">
        <v>0.005519488</v>
      </c>
      <c r="S1082" s="158">
        <v>1.461560512</v>
      </c>
      <c r="T1082" s="157" t="s">
        <v>547</v>
      </c>
      <c r="U1082" s="46" t="s">
        <v>651</v>
      </c>
      <c r="V1082" s="46" t="b">
        <v>1</v>
      </c>
      <c r="W1082" s="46">
        <v>0.95</v>
      </c>
      <c r="X1082" s="46">
        <v>0.0052435136</v>
      </c>
      <c r="Y1082" s="46" t="s">
        <v>640</v>
      </c>
      <c r="Z1082" s="46" t="b">
        <v>0</v>
      </c>
      <c r="AA1082" s="46" t="b">
        <v>0</v>
      </c>
    </row>
    <row r="1083">
      <c r="A1083" s="157" t="s">
        <v>559</v>
      </c>
      <c r="B1083" s="158">
        <v>3.0</v>
      </c>
      <c r="C1083" s="157" t="s">
        <v>1215</v>
      </c>
      <c r="D1083" s="157" t="s">
        <v>1216</v>
      </c>
      <c r="E1083" s="157" t="s">
        <v>1217</v>
      </c>
      <c r="F1083" s="157" t="s">
        <v>3428</v>
      </c>
      <c r="G1083" s="157" t="s">
        <v>2477</v>
      </c>
      <c r="H1083" s="157" t="s">
        <v>2478</v>
      </c>
      <c r="I1083" s="158">
        <v>0.0</v>
      </c>
      <c r="J1083" s="158">
        <v>0.0</v>
      </c>
      <c r="K1083" s="157" t="s">
        <v>3429</v>
      </c>
      <c r="L1083" s="157" t="s">
        <v>648</v>
      </c>
      <c r="M1083" s="158">
        <v>2022.0</v>
      </c>
      <c r="N1083" s="157" t="s">
        <v>114</v>
      </c>
      <c r="O1083" s="157" t="s">
        <v>1221</v>
      </c>
      <c r="P1083" s="161" t="b">
        <v>1</v>
      </c>
      <c r="Q1083" s="158">
        <v>0.12095</v>
      </c>
      <c r="R1083" s="158">
        <v>0.005507795</v>
      </c>
      <c r="S1083" s="158">
        <v>0.115442205</v>
      </c>
      <c r="T1083" s="157" t="s">
        <v>114</v>
      </c>
      <c r="U1083" s="46" t="s">
        <v>651</v>
      </c>
      <c r="V1083" s="46" t="b">
        <v>1</v>
      </c>
      <c r="W1083" s="46">
        <v>0.95</v>
      </c>
      <c r="X1083" s="46">
        <v>0.00523240525</v>
      </c>
      <c r="Y1083" s="46" t="s">
        <v>640</v>
      </c>
      <c r="Z1083" s="46" t="b">
        <v>0</v>
      </c>
      <c r="AA1083" s="46" t="b">
        <v>0</v>
      </c>
    </row>
    <row r="1084">
      <c r="A1084" s="157" t="s">
        <v>561</v>
      </c>
      <c r="B1084" s="158">
        <v>1.0</v>
      </c>
      <c r="C1084" s="157" t="s">
        <v>642</v>
      </c>
      <c r="D1084" s="157" t="s">
        <v>2370</v>
      </c>
      <c r="E1084" s="157" t="s">
        <v>2371</v>
      </c>
      <c r="F1084" s="157" t="s">
        <v>3430</v>
      </c>
      <c r="G1084" s="157" t="s">
        <v>3431</v>
      </c>
      <c r="H1084" s="157"/>
      <c r="I1084" s="158">
        <v>-4.0497</v>
      </c>
      <c r="J1084" s="158">
        <v>38.672</v>
      </c>
      <c r="K1084" s="157" t="s">
        <v>2401</v>
      </c>
      <c r="L1084" s="157" t="s">
        <v>648</v>
      </c>
      <c r="M1084" s="158">
        <v>2022.0</v>
      </c>
      <c r="N1084" s="157" t="s">
        <v>547</v>
      </c>
      <c r="O1084" s="157" t="s">
        <v>2371</v>
      </c>
      <c r="P1084" s="161" t="b">
        <v>1</v>
      </c>
      <c r="Q1084" s="158">
        <v>1.46</v>
      </c>
      <c r="R1084" s="158">
        <v>0.005492852</v>
      </c>
      <c r="S1084" s="158">
        <v>1.454507148</v>
      </c>
      <c r="T1084" s="157" t="s">
        <v>547</v>
      </c>
      <c r="U1084" s="46" t="s">
        <v>651</v>
      </c>
      <c r="V1084" s="46" t="b">
        <v>1</v>
      </c>
      <c r="W1084" s="46">
        <v>0.95</v>
      </c>
      <c r="X1084" s="46">
        <v>0.0052182094</v>
      </c>
      <c r="Y1084" s="46" t="s">
        <v>640</v>
      </c>
      <c r="Z1084" s="46" t="b">
        <v>0</v>
      </c>
      <c r="AA1084" s="46" t="b">
        <v>0</v>
      </c>
    </row>
    <row r="1085">
      <c r="A1085" s="157" t="s">
        <v>574</v>
      </c>
      <c r="B1085" s="158">
        <v>3.0</v>
      </c>
      <c r="C1085" s="157" t="s">
        <v>1215</v>
      </c>
      <c r="D1085" s="157" t="s">
        <v>2348</v>
      </c>
      <c r="E1085" s="157" t="s">
        <v>2349</v>
      </c>
      <c r="F1085" s="162" t="s">
        <v>3432</v>
      </c>
      <c r="G1085" s="157" t="s">
        <v>3433</v>
      </c>
      <c r="H1085" s="157"/>
      <c r="I1085" s="158">
        <v>20.45085</v>
      </c>
      <c r="J1085" s="158">
        <v>48.575158</v>
      </c>
      <c r="K1085" s="157" t="s">
        <v>3434</v>
      </c>
      <c r="L1085" s="157" t="s">
        <v>648</v>
      </c>
      <c r="M1085" s="158">
        <v>2017.0</v>
      </c>
      <c r="N1085" s="157" t="s">
        <v>114</v>
      </c>
      <c r="O1085" s="157" t="s">
        <v>1221</v>
      </c>
      <c r="P1085" s="161" t="b">
        <v>1</v>
      </c>
      <c r="Q1085" s="158">
        <v>0.113</v>
      </c>
      <c r="R1085" s="158">
        <v>0.00514577</v>
      </c>
      <c r="S1085" s="158">
        <v>0.10785423</v>
      </c>
      <c r="T1085" s="157" t="s">
        <v>114</v>
      </c>
      <c r="U1085" s="46" t="s">
        <v>651</v>
      </c>
      <c r="V1085" s="46" t="b">
        <v>1</v>
      </c>
      <c r="W1085" s="46">
        <v>0.95</v>
      </c>
      <c r="X1085" s="46">
        <v>0.0048884815</v>
      </c>
      <c r="Y1085" s="46" t="s">
        <v>640</v>
      </c>
      <c r="Z1085" s="46" t="b">
        <v>0</v>
      </c>
      <c r="AA1085" s="46" t="b">
        <v>0</v>
      </c>
    </row>
    <row r="1086">
      <c r="A1086" s="157" t="s">
        <v>556</v>
      </c>
      <c r="B1086" s="158">
        <v>3.0</v>
      </c>
      <c r="C1086" s="157" t="s">
        <v>1215</v>
      </c>
      <c r="D1086" s="157" t="s">
        <v>2348</v>
      </c>
      <c r="E1086" s="157" t="s">
        <v>2349</v>
      </c>
      <c r="F1086" s="157" t="s">
        <v>3435</v>
      </c>
      <c r="G1086" s="157" t="s">
        <v>3436</v>
      </c>
      <c r="H1086" s="157"/>
      <c r="I1086" s="158">
        <v>3.91058</v>
      </c>
      <c r="J1086" s="158">
        <v>50.1149</v>
      </c>
      <c r="K1086" s="157" t="s">
        <v>3437</v>
      </c>
      <c r="L1086" s="157" t="s">
        <v>648</v>
      </c>
      <c r="M1086" s="158">
        <v>2022.0</v>
      </c>
      <c r="N1086" s="157" t="s">
        <v>114</v>
      </c>
      <c r="O1086" s="157" t="s">
        <v>1221</v>
      </c>
      <c r="P1086" s="161" t="b">
        <v>1</v>
      </c>
      <c r="Q1086" s="158">
        <v>0.11</v>
      </c>
      <c r="R1086" s="158">
        <v>0.005009156</v>
      </c>
      <c r="S1086" s="158">
        <v>0.104990844</v>
      </c>
      <c r="T1086" s="157" t="s">
        <v>114</v>
      </c>
      <c r="U1086" s="46" t="s">
        <v>651</v>
      </c>
      <c r="V1086" s="46" t="b">
        <v>1</v>
      </c>
      <c r="W1086" s="46">
        <v>0.95</v>
      </c>
      <c r="X1086" s="46">
        <v>0.0047586982</v>
      </c>
      <c r="Y1086" s="46">
        <v>23.418852657325</v>
      </c>
      <c r="Z1086" s="46" t="b">
        <v>1</v>
      </c>
      <c r="AA1086" s="46" t="b">
        <v>1</v>
      </c>
    </row>
    <row r="1087">
      <c r="A1087" s="157" t="s">
        <v>556</v>
      </c>
      <c r="B1087" s="158">
        <v>3.0</v>
      </c>
      <c r="C1087" s="157" t="s">
        <v>1215</v>
      </c>
      <c r="D1087" s="157" t="s">
        <v>2348</v>
      </c>
      <c r="E1087" s="157" t="s">
        <v>2349</v>
      </c>
      <c r="F1087" s="157" t="s">
        <v>3438</v>
      </c>
      <c r="G1087" s="157" t="s">
        <v>3439</v>
      </c>
      <c r="H1087" s="157"/>
      <c r="I1087" s="158">
        <v>-3.37015</v>
      </c>
      <c r="J1087" s="158">
        <v>48.13967</v>
      </c>
      <c r="K1087" s="157" t="s">
        <v>3440</v>
      </c>
      <c r="L1087" s="157" t="s">
        <v>648</v>
      </c>
      <c r="M1087" s="158">
        <v>2022.0</v>
      </c>
      <c r="N1087" s="157" t="s">
        <v>114</v>
      </c>
      <c r="O1087" s="157" t="s">
        <v>1221</v>
      </c>
      <c r="P1087" s="161" t="b">
        <v>1</v>
      </c>
      <c r="Q1087" s="158">
        <v>0.107</v>
      </c>
      <c r="R1087" s="158">
        <v>0.004872543</v>
      </c>
      <c r="S1087" s="158">
        <v>0.102127457</v>
      </c>
      <c r="T1087" s="157" t="s">
        <v>114</v>
      </c>
      <c r="U1087" s="46" t="s">
        <v>651</v>
      </c>
      <c r="V1087" s="46" t="b">
        <v>1</v>
      </c>
      <c r="W1087" s="46">
        <v>0.95</v>
      </c>
      <c r="X1087" s="46">
        <v>0.00462891585</v>
      </c>
      <c r="Y1087" s="46">
        <v>129.747242624343</v>
      </c>
      <c r="Z1087" s="46" t="b">
        <v>0</v>
      </c>
      <c r="AA1087" s="46" t="b">
        <v>0</v>
      </c>
    </row>
    <row r="1088">
      <c r="A1088" s="157" t="s">
        <v>574</v>
      </c>
      <c r="B1088" s="158">
        <v>3.0</v>
      </c>
      <c r="C1088" s="157" t="s">
        <v>1215</v>
      </c>
      <c r="D1088" s="157" t="s">
        <v>2348</v>
      </c>
      <c r="E1088" s="157" t="s">
        <v>2349</v>
      </c>
      <c r="F1088" s="162" t="s">
        <v>3441</v>
      </c>
      <c r="G1088" s="157" t="s">
        <v>3442</v>
      </c>
      <c r="H1088" s="157"/>
      <c r="I1088" s="158">
        <v>18.847665</v>
      </c>
      <c r="J1088" s="158">
        <v>49.200126</v>
      </c>
      <c r="K1088" s="157" t="s">
        <v>3443</v>
      </c>
      <c r="L1088" s="157" t="s">
        <v>648</v>
      </c>
      <c r="M1088" s="158">
        <v>2017.0</v>
      </c>
      <c r="N1088" s="157" t="s">
        <v>114</v>
      </c>
      <c r="O1088" s="157" t="s">
        <v>1221</v>
      </c>
      <c r="P1088" s="161" t="b">
        <v>1</v>
      </c>
      <c r="Q1088" s="158">
        <v>0.105</v>
      </c>
      <c r="R1088" s="158">
        <v>0.004781467</v>
      </c>
      <c r="S1088" s="158">
        <v>0.100218533</v>
      </c>
      <c r="T1088" s="157" t="s">
        <v>114</v>
      </c>
      <c r="U1088" s="46" t="s">
        <v>651</v>
      </c>
      <c r="V1088" s="46" t="b">
        <v>1</v>
      </c>
      <c r="W1088" s="46">
        <v>0.95</v>
      </c>
      <c r="X1088" s="46">
        <v>0.00454239365</v>
      </c>
      <c r="Y1088" s="46" t="s">
        <v>640</v>
      </c>
      <c r="Z1088" s="46" t="b">
        <v>0</v>
      </c>
      <c r="AA1088" s="46" t="b">
        <v>0</v>
      </c>
    </row>
    <row r="1089">
      <c r="A1089" s="157" t="s">
        <v>564</v>
      </c>
      <c r="B1089" s="158">
        <v>6.0</v>
      </c>
      <c r="C1089" s="157" t="s">
        <v>659</v>
      </c>
      <c r="D1089" s="157" t="s">
        <v>717</v>
      </c>
      <c r="E1089" s="157" t="s">
        <v>718</v>
      </c>
      <c r="F1089" s="157" t="s">
        <v>3444</v>
      </c>
      <c r="G1089" s="157" t="s">
        <v>3445</v>
      </c>
      <c r="H1089" s="157"/>
      <c r="I1089" s="158">
        <v>7.7042</v>
      </c>
      <c r="J1089" s="158">
        <v>47.2747</v>
      </c>
      <c r="K1089" s="157" t="s">
        <v>3446</v>
      </c>
      <c r="L1089" s="157" t="s">
        <v>648</v>
      </c>
      <c r="M1089" s="158">
        <v>2021.0</v>
      </c>
      <c r="N1089" s="157" t="s">
        <v>123</v>
      </c>
      <c r="O1089" s="157" t="s">
        <v>722</v>
      </c>
      <c r="P1089" s="161" t="b">
        <v>1</v>
      </c>
      <c r="Q1089" s="158">
        <v>0.011</v>
      </c>
      <c r="R1089" s="158">
        <v>0.004759657</v>
      </c>
      <c r="S1089" s="158">
        <v>0.006240343</v>
      </c>
      <c r="T1089" s="157" t="s">
        <v>123</v>
      </c>
      <c r="U1089" s="46" t="s">
        <v>651</v>
      </c>
      <c r="V1089" s="46" t="b">
        <v>0</v>
      </c>
      <c r="W1089" s="46">
        <v>0.95</v>
      </c>
      <c r="X1089" s="46">
        <v>0.0</v>
      </c>
      <c r="Y1089" s="46">
        <v>26.9702223436565</v>
      </c>
      <c r="Z1089" s="46" t="b">
        <v>1</v>
      </c>
      <c r="AA1089" s="46" t="b">
        <v>1</v>
      </c>
    </row>
    <row r="1090">
      <c r="A1090" s="157" t="s">
        <v>561</v>
      </c>
      <c r="B1090" s="158">
        <v>1.0</v>
      </c>
      <c r="C1090" s="157" t="s">
        <v>642</v>
      </c>
      <c r="D1090" s="157" t="s">
        <v>2370</v>
      </c>
      <c r="E1090" s="157" t="s">
        <v>2371</v>
      </c>
      <c r="F1090" s="157" t="s">
        <v>3447</v>
      </c>
      <c r="G1090" s="157" t="s">
        <v>3448</v>
      </c>
      <c r="H1090" s="157"/>
      <c r="I1090" s="158">
        <v>0.014574</v>
      </c>
      <c r="J1090" s="158">
        <v>39.976742</v>
      </c>
      <c r="K1090" s="157" t="s">
        <v>3449</v>
      </c>
      <c r="L1090" s="157" t="s">
        <v>648</v>
      </c>
      <c r="M1090" s="158">
        <v>2022.0</v>
      </c>
      <c r="N1090" s="157" t="s">
        <v>547</v>
      </c>
      <c r="O1090" s="157" t="s">
        <v>2371</v>
      </c>
      <c r="P1090" s="161" t="b">
        <v>1</v>
      </c>
      <c r="Q1090" s="158">
        <v>1.24</v>
      </c>
      <c r="R1090" s="158">
        <v>0.004665162</v>
      </c>
      <c r="S1090" s="158">
        <v>1.235334838</v>
      </c>
      <c r="T1090" s="157" t="s">
        <v>547</v>
      </c>
      <c r="U1090" s="46" t="s">
        <v>651</v>
      </c>
      <c r="V1090" s="46" t="b">
        <v>1</v>
      </c>
      <c r="W1090" s="46">
        <v>0.95</v>
      </c>
      <c r="X1090" s="46">
        <v>0.00443190389999999</v>
      </c>
      <c r="Y1090" s="46" t="s">
        <v>640</v>
      </c>
      <c r="Z1090" s="46" t="b">
        <v>0</v>
      </c>
      <c r="AA1090" s="46" t="b">
        <v>0</v>
      </c>
    </row>
    <row r="1091">
      <c r="A1091" s="157" t="s">
        <v>564</v>
      </c>
      <c r="B1091" s="158">
        <v>5.0</v>
      </c>
      <c r="C1091" s="157" t="s">
        <v>652</v>
      </c>
      <c r="D1091" s="157" t="s">
        <v>2585</v>
      </c>
      <c r="E1091" s="157" t="s">
        <v>2586</v>
      </c>
      <c r="F1091" s="157" t="s">
        <v>3450</v>
      </c>
      <c r="G1091" s="157" t="s">
        <v>3451</v>
      </c>
      <c r="H1091" s="157"/>
      <c r="I1091" s="158">
        <v>7.6008</v>
      </c>
      <c r="J1091" s="158">
        <v>47.5833</v>
      </c>
      <c r="K1091" s="157" t="s">
        <v>1260</v>
      </c>
      <c r="L1091" s="157" t="s">
        <v>648</v>
      </c>
      <c r="M1091" s="158">
        <v>2021.0</v>
      </c>
      <c r="N1091" s="157" t="s">
        <v>116</v>
      </c>
      <c r="O1091" s="157" t="s">
        <v>2590</v>
      </c>
      <c r="P1091" s="161" t="b">
        <v>1</v>
      </c>
      <c r="Q1091" s="158">
        <v>0.0255</v>
      </c>
      <c r="R1091" s="158">
        <v>0.004566562</v>
      </c>
      <c r="S1091" s="158">
        <v>0.020933438</v>
      </c>
      <c r="T1091" s="157" t="s">
        <v>116</v>
      </c>
      <c r="U1091" s="46" t="s">
        <v>651</v>
      </c>
      <c r="V1091" s="46" t="b">
        <v>0</v>
      </c>
      <c r="W1091" s="46">
        <v>0.95</v>
      </c>
      <c r="X1091" s="46">
        <v>0.0</v>
      </c>
      <c r="Y1091" s="46">
        <v>33.6187309113002</v>
      </c>
      <c r="Z1091" s="46" t="b">
        <v>1</v>
      </c>
      <c r="AA1091" s="46" t="b">
        <v>1</v>
      </c>
    </row>
    <row r="1092">
      <c r="A1092" s="157" t="s">
        <v>565</v>
      </c>
      <c r="B1092" s="158">
        <v>3.0</v>
      </c>
      <c r="C1092" s="157" t="s">
        <v>1215</v>
      </c>
      <c r="D1092" s="157" t="s">
        <v>2113</v>
      </c>
      <c r="E1092" s="157" t="s">
        <v>2114</v>
      </c>
      <c r="F1092" s="157" t="s">
        <v>3452</v>
      </c>
      <c r="G1092" s="157" t="s">
        <v>1756</v>
      </c>
      <c r="H1092" s="157"/>
      <c r="I1092" s="158">
        <v>16.77406374</v>
      </c>
      <c r="J1092" s="158">
        <v>49.21546634</v>
      </c>
      <c r="K1092" s="157" t="s">
        <v>1757</v>
      </c>
      <c r="L1092" s="157" t="s">
        <v>648</v>
      </c>
      <c r="M1092" s="158">
        <v>2020.0</v>
      </c>
      <c r="N1092" s="157" t="s">
        <v>114</v>
      </c>
      <c r="O1092" s="157" t="s">
        <v>2118</v>
      </c>
      <c r="P1092" s="161" t="b">
        <v>1</v>
      </c>
      <c r="Q1092" s="158">
        <v>0.10069</v>
      </c>
      <c r="R1092" s="158">
        <v>0.004532</v>
      </c>
      <c r="S1092" s="158">
        <v>0.096158</v>
      </c>
      <c r="T1092" s="157" t="s">
        <v>114</v>
      </c>
      <c r="U1092" s="46" t="s">
        <v>651</v>
      </c>
      <c r="V1092" s="46" t="b">
        <v>1</v>
      </c>
      <c r="W1092" s="46">
        <v>0.95</v>
      </c>
      <c r="X1092" s="46">
        <v>0.00430539999999999</v>
      </c>
      <c r="Y1092" s="46" t="s">
        <v>640</v>
      </c>
      <c r="Z1092" s="46" t="b">
        <v>0</v>
      </c>
      <c r="AA1092" s="46" t="b">
        <v>0</v>
      </c>
    </row>
    <row r="1093">
      <c r="A1093" s="157" t="s">
        <v>556</v>
      </c>
      <c r="B1093" s="158">
        <v>1.0</v>
      </c>
      <c r="C1093" s="157" t="s">
        <v>642</v>
      </c>
      <c r="D1093" s="157" t="s">
        <v>2370</v>
      </c>
      <c r="E1093" s="157" t="s">
        <v>2371</v>
      </c>
      <c r="F1093" s="157" t="s">
        <v>3453</v>
      </c>
      <c r="G1093" s="157" t="s">
        <v>3454</v>
      </c>
      <c r="H1093" s="157"/>
      <c r="I1093" s="158">
        <v>5.04725</v>
      </c>
      <c r="J1093" s="158">
        <v>43.40446</v>
      </c>
      <c r="K1093" s="157" t="s">
        <v>1476</v>
      </c>
      <c r="L1093" s="157" t="s">
        <v>648</v>
      </c>
      <c r="M1093" s="158">
        <v>2022.0</v>
      </c>
      <c r="N1093" s="157" t="s">
        <v>547</v>
      </c>
      <c r="O1093" s="157" t="s">
        <v>2371</v>
      </c>
      <c r="P1093" s="161" t="b">
        <v>1</v>
      </c>
      <c r="Q1093" s="158">
        <v>1.116999936</v>
      </c>
      <c r="R1093" s="158">
        <v>0.004202408</v>
      </c>
      <c r="S1093" s="158">
        <v>1.112797528</v>
      </c>
      <c r="T1093" s="157" t="s">
        <v>547</v>
      </c>
      <c r="U1093" s="46" t="s">
        <v>651</v>
      </c>
      <c r="V1093" s="46" t="b">
        <v>1</v>
      </c>
      <c r="W1093" s="46">
        <v>0.95</v>
      </c>
      <c r="X1093" s="46">
        <v>0.0039922876</v>
      </c>
      <c r="Y1093" s="46">
        <v>29.1904622614919</v>
      </c>
      <c r="Z1093" s="46" t="b">
        <v>1</v>
      </c>
      <c r="AA1093" s="46" t="b">
        <v>1</v>
      </c>
    </row>
    <row r="1094">
      <c r="A1094" s="157" t="s">
        <v>554</v>
      </c>
      <c r="B1094" s="158">
        <v>2.0</v>
      </c>
      <c r="C1094" s="157" t="s">
        <v>916</v>
      </c>
      <c r="D1094" s="157" t="s">
        <v>1203</v>
      </c>
      <c r="E1094" s="157" t="s">
        <v>1204</v>
      </c>
      <c r="F1094" s="157" t="s">
        <v>3455</v>
      </c>
      <c r="G1094" s="157" t="s">
        <v>3456</v>
      </c>
      <c r="H1094" s="157"/>
      <c r="I1094" s="158">
        <v>21.26869</v>
      </c>
      <c r="J1094" s="158">
        <v>64.6681</v>
      </c>
      <c r="K1094" s="157" t="s">
        <v>3457</v>
      </c>
      <c r="L1094" s="157" t="s">
        <v>648</v>
      </c>
      <c r="M1094" s="158">
        <v>2022.0</v>
      </c>
      <c r="N1094" s="157" t="s">
        <v>549</v>
      </c>
      <c r="O1094" s="157" t="s">
        <v>1208</v>
      </c>
      <c r="P1094" s="161" t="b">
        <v>1</v>
      </c>
      <c r="Q1094" s="158">
        <v>0.267</v>
      </c>
      <c r="R1094" s="158">
        <v>0.004</v>
      </c>
      <c r="S1094" s="158">
        <v>0.263</v>
      </c>
      <c r="T1094" s="157" t="s">
        <v>549</v>
      </c>
      <c r="U1094" s="46" t="s">
        <v>651</v>
      </c>
      <c r="V1094" s="46" t="b">
        <v>1</v>
      </c>
      <c r="W1094" s="46">
        <v>0.95</v>
      </c>
      <c r="X1094" s="46">
        <v>0.0038</v>
      </c>
      <c r="Y1094" s="46" t="s">
        <v>640</v>
      </c>
      <c r="Z1094" s="46" t="b">
        <v>0</v>
      </c>
      <c r="AA1094" s="46" t="b">
        <v>0</v>
      </c>
    </row>
    <row r="1095">
      <c r="A1095" s="157" t="s">
        <v>557</v>
      </c>
      <c r="B1095" s="158">
        <v>6.0</v>
      </c>
      <c r="C1095" s="157" t="s">
        <v>659</v>
      </c>
      <c r="D1095" s="157" t="s">
        <v>717</v>
      </c>
      <c r="E1095" s="157" t="s">
        <v>718</v>
      </c>
      <c r="F1095" s="162" t="s">
        <v>3458</v>
      </c>
      <c r="G1095" s="157" t="s">
        <v>3459</v>
      </c>
      <c r="H1095" s="157"/>
      <c r="I1095" s="158">
        <v>9.15584927637488</v>
      </c>
      <c r="J1095" s="158">
        <v>49.98816975</v>
      </c>
      <c r="K1095" s="157" t="s">
        <v>3460</v>
      </c>
      <c r="L1095" s="157" t="s">
        <v>648</v>
      </c>
      <c r="M1095" s="158">
        <v>2022.0</v>
      </c>
      <c r="N1095" s="157" t="s">
        <v>123</v>
      </c>
      <c r="O1095" s="157" t="s">
        <v>722</v>
      </c>
      <c r="P1095" s="161" t="b">
        <v>1</v>
      </c>
      <c r="Q1095" s="158">
        <v>0.18</v>
      </c>
      <c r="R1095" s="158">
        <v>0.004</v>
      </c>
      <c r="S1095" s="158">
        <v>0.176</v>
      </c>
      <c r="T1095" s="157" t="s">
        <v>123</v>
      </c>
      <c r="U1095" s="46" t="s">
        <v>651</v>
      </c>
      <c r="V1095" s="46" t="b">
        <v>1</v>
      </c>
      <c r="W1095" s="46">
        <v>0.95</v>
      </c>
      <c r="X1095" s="46">
        <v>0.0038</v>
      </c>
      <c r="Y1095" s="46">
        <v>2.40512387964512</v>
      </c>
      <c r="Z1095" s="46" t="b">
        <v>1</v>
      </c>
      <c r="AA1095" s="46" t="b">
        <v>1</v>
      </c>
    </row>
    <row r="1096">
      <c r="A1096" s="157" t="s">
        <v>559</v>
      </c>
      <c r="B1096" s="158">
        <v>1.0</v>
      </c>
      <c r="C1096" s="157" t="s">
        <v>642</v>
      </c>
      <c r="D1096" s="157" t="s">
        <v>2370</v>
      </c>
      <c r="E1096" s="157" t="s">
        <v>2371</v>
      </c>
      <c r="F1096" s="157" t="s">
        <v>3461</v>
      </c>
      <c r="G1096" s="157" t="s">
        <v>3462</v>
      </c>
      <c r="H1096" s="157"/>
      <c r="I1096" s="158">
        <v>8.7858</v>
      </c>
      <c r="J1096" s="158">
        <v>45.4372</v>
      </c>
      <c r="K1096" s="157" t="s">
        <v>3270</v>
      </c>
      <c r="L1096" s="157" t="s">
        <v>648</v>
      </c>
      <c r="M1096" s="158">
        <v>2022.0</v>
      </c>
      <c r="N1096" s="157" t="s">
        <v>547</v>
      </c>
      <c r="O1096" s="157" t="s">
        <v>2371</v>
      </c>
      <c r="P1096" s="161" t="b">
        <v>1</v>
      </c>
      <c r="Q1096" s="158">
        <v>1.019083</v>
      </c>
      <c r="R1096" s="158">
        <v>0.003834022</v>
      </c>
      <c r="S1096" s="158">
        <v>1.015248978</v>
      </c>
      <c r="T1096" s="157" t="s">
        <v>547</v>
      </c>
      <c r="U1096" s="46" t="s">
        <v>651</v>
      </c>
      <c r="V1096" s="46" t="b">
        <v>1</v>
      </c>
      <c r="W1096" s="46">
        <v>0.95</v>
      </c>
      <c r="X1096" s="46">
        <v>0.00364232089999999</v>
      </c>
      <c r="Y1096" s="46">
        <v>19.5559056749025</v>
      </c>
      <c r="Z1096" s="46" t="b">
        <v>1</v>
      </c>
      <c r="AA1096" s="46" t="b">
        <v>1</v>
      </c>
    </row>
    <row r="1097">
      <c r="A1097" s="157" t="s">
        <v>561</v>
      </c>
      <c r="B1097" s="158">
        <v>1.0</v>
      </c>
      <c r="C1097" s="157" t="s">
        <v>642</v>
      </c>
      <c r="D1097" s="157" t="s">
        <v>2370</v>
      </c>
      <c r="E1097" s="157" t="s">
        <v>2371</v>
      </c>
      <c r="F1097" s="157" t="s">
        <v>3463</v>
      </c>
      <c r="G1097" s="157" t="s">
        <v>3464</v>
      </c>
      <c r="H1097" s="157"/>
      <c r="I1097" s="158">
        <v>-8.446743</v>
      </c>
      <c r="J1097" s="158">
        <v>43.353129</v>
      </c>
      <c r="K1097" s="157" t="s">
        <v>3465</v>
      </c>
      <c r="L1097" s="157" t="s">
        <v>648</v>
      </c>
      <c r="M1097" s="158">
        <v>2022.0</v>
      </c>
      <c r="N1097" s="157" t="s">
        <v>547</v>
      </c>
      <c r="O1097" s="157" t="s">
        <v>2371</v>
      </c>
      <c r="P1097" s="161" t="b">
        <v>1</v>
      </c>
      <c r="Q1097" s="158">
        <v>0.996</v>
      </c>
      <c r="R1097" s="158">
        <v>0.003747178</v>
      </c>
      <c r="S1097" s="158">
        <v>0.992252822</v>
      </c>
      <c r="T1097" s="157" t="s">
        <v>547</v>
      </c>
      <c r="U1097" s="46" t="s">
        <v>651</v>
      </c>
      <c r="V1097" s="46" t="b">
        <v>1</v>
      </c>
      <c r="W1097" s="46">
        <v>0.95</v>
      </c>
      <c r="X1097" s="46">
        <v>0.00355981909999999</v>
      </c>
      <c r="Y1097" s="46" t="s">
        <v>640</v>
      </c>
      <c r="Z1097" s="46" t="b">
        <v>0</v>
      </c>
      <c r="AA1097" s="46" t="b">
        <v>0</v>
      </c>
    </row>
    <row r="1098">
      <c r="A1098" s="157" t="s">
        <v>559</v>
      </c>
      <c r="B1098" s="158">
        <v>1.0</v>
      </c>
      <c r="C1098" s="157" t="s">
        <v>642</v>
      </c>
      <c r="D1098" s="157" t="s">
        <v>2370</v>
      </c>
      <c r="E1098" s="157" t="s">
        <v>2371</v>
      </c>
      <c r="F1098" s="157" t="s">
        <v>3466</v>
      </c>
      <c r="G1098" s="157" t="s">
        <v>3467</v>
      </c>
      <c r="H1098" s="157"/>
      <c r="I1098" s="158">
        <v>17.193</v>
      </c>
      <c r="J1098" s="158">
        <v>40.4892</v>
      </c>
      <c r="K1098" s="157" t="s">
        <v>940</v>
      </c>
      <c r="L1098" s="157" t="s">
        <v>648</v>
      </c>
      <c r="M1098" s="158">
        <v>2022.0</v>
      </c>
      <c r="N1098" s="157" t="s">
        <v>547</v>
      </c>
      <c r="O1098" s="157" t="s">
        <v>2371</v>
      </c>
      <c r="P1098" s="161" t="b">
        <v>1</v>
      </c>
      <c r="Q1098" s="158">
        <v>0.98294246</v>
      </c>
      <c r="R1098" s="158">
        <v>0.003698053</v>
      </c>
      <c r="S1098" s="158">
        <v>0.979244407</v>
      </c>
      <c r="T1098" s="157" t="s">
        <v>547</v>
      </c>
      <c r="U1098" s="46" t="s">
        <v>651</v>
      </c>
      <c r="V1098" s="46" t="b">
        <v>1</v>
      </c>
      <c r="W1098" s="46">
        <v>0.95</v>
      </c>
      <c r="X1098" s="46">
        <v>0.00351315035</v>
      </c>
      <c r="Y1098" s="46" t="s">
        <v>640</v>
      </c>
      <c r="Z1098" s="46" t="b">
        <v>0</v>
      </c>
      <c r="AA1098" s="46" t="b">
        <v>0</v>
      </c>
    </row>
    <row r="1099">
      <c r="A1099" s="157" t="s">
        <v>556</v>
      </c>
      <c r="B1099" s="158">
        <v>1.0</v>
      </c>
      <c r="C1099" s="157" t="s">
        <v>642</v>
      </c>
      <c r="D1099" s="157" t="s">
        <v>2370</v>
      </c>
      <c r="E1099" s="157" t="s">
        <v>2371</v>
      </c>
      <c r="F1099" s="157" t="s">
        <v>3468</v>
      </c>
      <c r="G1099" s="157" t="s">
        <v>3369</v>
      </c>
      <c r="H1099" s="157"/>
      <c r="I1099" s="158">
        <v>4.86113</v>
      </c>
      <c r="J1099" s="158">
        <v>45.6774</v>
      </c>
      <c r="K1099" s="157" t="s">
        <v>3469</v>
      </c>
      <c r="L1099" s="157" t="s">
        <v>648</v>
      </c>
      <c r="M1099" s="158">
        <v>2022.0</v>
      </c>
      <c r="N1099" s="157" t="s">
        <v>547</v>
      </c>
      <c r="O1099" s="157" t="s">
        <v>2371</v>
      </c>
      <c r="P1099" s="161" t="b">
        <v>1</v>
      </c>
      <c r="Q1099" s="158">
        <v>0.857</v>
      </c>
      <c r="R1099" s="158">
        <v>0.003224229</v>
      </c>
      <c r="S1099" s="158">
        <v>0.853775771</v>
      </c>
      <c r="T1099" s="157" t="s">
        <v>547</v>
      </c>
      <c r="U1099" s="46" t="s">
        <v>651</v>
      </c>
      <c r="V1099" s="46" t="b">
        <v>1</v>
      </c>
      <c r="W1099" s="46">
        <v>0.95</v>
      </c>
      <c r="X1099" s="46">
        <v>0.00306301755</v>
      </c>
      <c r="Y1099" s="46">
        <v>3.48471089784965</v>
      </c>
      <c r="Z1099" s="46" t="b">
        <v>1</v>
      </c>
      <c r="AA1099" s="46" t="b">
        <v>1</v>
      </c>
    </row>
    <row r="1100">
      <c r="A1100" s="157" t="s">
        <v>566</v>
      </c>
      <c r="B1100" s="158">
        <v>4.0</v>
      </c>
      <c r="C1100" s="157" t="s">
        <v>1092</v>
      </c>
      <c r="D1100" s="157" t="s">
        <v>3470</v>
      </c>
      <c r="E1100" s="157" t="s">
        <v>3471</v>
      </c>
      <c r="F1100" s="157" t="s">
        <v>3472</v>
      </c>
      <c r="G1100" s="157" t="s">
        <v>3473</v>
      </c>
      <c r="H1100" s="157"/>
      <c r="I1100" s="158">
        <v>16.73537445</v>
      </c>
      <c r="J1100" s="158">
        <v>51.2689209</v>
      </c>
      <c r="K1100" s="157" t="s">
        <v>3474</v>
      </c>
      <c r="L1100" s="157" t="s">
        <v>648</v>
      </c>
      <c r="M1100" s="158">
        <v>2022.0</v>
      </c>
      <c r="N1100" s="157" t="s">
        <v>201</v>
      </c>
      <c r="O1100" s="157" t="s">
        <v>3471</v>
      </c>
      <c r="P1100" s="161" t="b">
        <v>1</v>
      </c>
      <c r="Q1100" s="158">
        <v>0.351</v>
      </c>
      <c r="R1100" s="158">
        <v>0.003165727</v>
      </c>
      <c r="S1100" s="158">
        <v>0.347834273</v>
      </c>
      <c r="T1100" s="157" t="s">
        <v>201</v>
      </c>
      <c r="U1100" s="46" t="s">
        <v>651</v>
      </c>
      <c r="V1100" s="46" t="b">
        <v>1</v>
      </c>
      <c r="W1100" s="46">
        <v>0.95</v>
      </c>
      <c r="X1100" s="46">
        <v>0.00300744065</v>
      </c>
      <c r="Y1100" s="46" t="s">
        <v>640</v>
      </c>
      <c r="Z1100" s="46" t="b">
        <v>0</v>
      </c>
      <c r="AA1100" s="46" t="b">
        <v>0</v>
      </c>
    </row>
    <row r="1101">
      <c r="A1101" s="157" t="s">
        <v>568</v>
      </c>
      <c r="B1101" s="158">
        <v>1.0</v>
      </c>
      <c r="C1101" s="157" t="s">
        <v>642</v>
      </c>
      <c r="D1101" s="157" t="s">
        <v>643</v>
      </c>
      <c r="E1101" s="157" t="s">
        <v>644</v>
      </c>
      <c r="F1101" s="157" t="s">
        <v>3475</v>
      </c>
      <c r="G1101" s="157" t="s">
        <v>3476</v>
      </c>
      <c r="H1101" s="157"/>
      <c r="I1101" s="158">
        <v>9.00644860042782</v>
      </c>
      <c r="J1101" s="158">
        <v>56.1217343151864</v>
      </c>
      <c r="K1101" s="157" t="s">
        <v>3477</v>
      </c>
      <c r="L1101" s="157" t="s">
        <v>648</v>
      </c>
      <c r="M1101" s="158">
        <v>2022.0</v>
      </c>
      <c r="N1101" s="157" t="s">
        <v>649</v>
      </c>
      <c r="O1101" s="157" t="s">
        <v>650</v>
      </c>
      <c r="P1101" s="161" t="b">
        <v>0</v>
      </c>
      <c r="Q1101" s="158">
        <v>0.0</v>
      </c>
      <c r="R1101" s="158">
        <v>0.00290984</v>
      </c>
      <c r="S1101" s="158">
        <v>-0.00290984</v>
      </c>
      <c r="T1101" s="157" t="s">
        <v>117</v>
      </c>
      <c r="U1101" s="46" t="s">
        <v>651</v>
      </c>
      <c r="V1101" s="46" t="b">
        <v>0</v>
      </c>
      <c r="W1101" s="46">
        <v>0.95</v>
      </c>
      <c r="X1101" s="46">
        <v>0.0</v>
      </c>
      <c r="Y1101" s="46">
        <v>29.2852801149966</v>
      </c>
      <c r="Z1101" s="46" t="b">
        <v>1</v>
      </c>
      <c r="AA1101" s="46" t="b">
        <v>1</v>
      </c>
    </row>
    <row r="1102">
      <c r="A1102" s="157" t="s">
        <v>579</v>
      </c>
      <c r="B1102" s="158">
        <v>1.0</v>
      </c>
      <c r="C1102" s="157" t="s">
        <v>642</v>
      </c>
      <c r="D1102" s="157" t="s">
        <v>2370</v>
      </c>
      <c r="E1102" s="157" t="s">
        <v>2371</v>
      </c>
      <c r="F1102" s="157" t="s">
        <v>3478</v>
      </c>
      <c r="G1102" s="157" t="s">
        <v>3479</v>
      </c>
      <c r="H1102" s="157"/>
      <c r="I1102" s="158">
        <v>14.5342</v>
      </c>
      <c r="J1102" s="158">
        <v>45.28543</v>
      </c>
      <c r="K1102" s="157" t="s">
        <v>3480</v>
      </c>
      <c r="L1102" s="157" t="s">
        <v>648</v>
      </c>
      <c r="M1102" s="158">
        <v>2022.0</v>
      </c>
      <c r="N1102" s="157" t="s">
        <v>547</v>
      </c>
      <c r="O1102" s="157" t="s">
        <v>2371</v>
      </c>
      <c r="P1102" s="161" t="b">
        <v>1</v>
      </c>
      <c r="Q1102" s="158">
        <v>0.699</v>
      </c>
      <c r="R1102" s="158">
        <v>0.002629797</v>
      </c>
      <c r="S1102" s="158">
        <v>0.696370203</v>
      </c>
      <c r="T1102" s="157" t="s">
        <v>547</v>
      </c>
      <c r="U1102" s="46" t="s">
        <v>651</v>
      </c>
      <c r="V1102" s="46" t="b">
        <v>1</v>
      </c>
      <c r="W1102" s="46">
        <v>0.95</v>
      </c>
      <c r="X1102" s="46">
        <v>0.00249830715</v>
      </c>
      <c r="Y1102" s="46" t="s">
        <v>640</v>
      </c>
      <c r="Z1102" s="46" t="b">
        <v>0</v>
      </c>
      <c r="AA1102" s="46" t="b">
        <v>0</v>
      </c>
    </row>
    <row r="1103">
      <c r="A1103" s="157" t="s">
        <v>556</v>
      </c>
      <c r="B1103" s="158">
        <v>1.0</v>
      </c>
      <c r="C1103" s="157" t="s">
        <v>642</v>
      </c>
      <c r="D1103" s="157" t="s">
        <v>2370</v>
      </c>
      <c r="E1103" s="157" t="s">
        <v>2371</v>
      </c>
      <c r="F1103" s="157" t="s">
        <v>3481</v>
      </c>
      <c r="G1103" s="157" t="s">
        <v>3369</v>
      </c>
      <c r="H1103" s="157"/>
      <c r="I1103" s="158">
        <v>-2.12806</v>
      </c>
      <c r="J1103" s="158">
        <v>47.3723</v>
      </c>
      <c r="K1103" s="157" t="s">
        <v>3482</v>
      </c>
      <c r="L1103" s="157" t="s">
        <v>648</v>
      </c>
      <c r="M1103" s="158">
        <v>2022.0</v>
      </c>
      <c r="N1103" s="157" t="s">
        <v>547</v>
      </c>
      <c r="O1103" s="157" t="s">
        <v>2371</v>
      </c>
      <c r="P1103" s="161" t="b">
        <v>1</v>
      </c>
      <c r="Q1103" s="158">
        <v>0.695</v>
      </c>
      <c r="R1103" s="158">
        <v>0.002614748</v>
      </c>
      <c r="S1103" s="158">
        <v>0.692385252</v>
      </c>
      <c r="T1103" s="157" t="s">
        <v>547</v>
      </c>
      <c r="U1103" s="46" t="s">
        <v>651</v>
      </c>
      <c r="V1103" s="46" t="b">
        <v>1</v>
      </c>
      <c r="W1103" s="46">
        <v>0.95</v>
      </c>
      <c r="X1103" s="46">
        <v>0.0024840106</v>
      </c>
      <c r="Y1103" s="46">
        <v>3.81468104283657</v>
      </c>
      <c r="Z1103" s="46" t="b">
        <v>1</v>
      </c>
      <c r="AA1103" s="46" t="b">
        <v>1</v>
      </c>
    </row>
    <row r="1104">
      <c r="A1104" s="157" t="s">
        <v>556</v>
      </c>
      <c r="B1104" s="158">
        <v>1.0</v>
      </c>
      <c r="C1104" s="157" t="s">
        <v>642</v>
      </c>
      <c r="D1104" s="157" t="s">
        <v>2370</v>
      </c>
      <c r="E1104" s="157" t="s">
        <v>2371</v>
      </c>
      <c r="F1104" s="157" t="s">
        <v>3483</v>
      </c>
      <c r="G1104" s="157" t="s">
        <v>3484</v>
      </c>
      <c r="H1104" s="157"/>
      <c r="I1104" s="158">
        <v>4.93111</v>
      </c>
      <c r="J1104" s="158">
        <v>43.4483</v>
      </c>
      <c r="K1104" s="157" t="s">
        <v>1000</v>
      </c>
      <c r="L1104" s="157" t="s">
        <v>648</v>
      </c>
      <c r="M1104" s="158">
        <v>2022.0</v>
      </c>
      <c r="N1104" s="157" t="s">
        <v>547</v>
      </c>
      <c r="O1104" s="157" t="s">
        <v>2371</v>
      </c>
      <c r="P1104" s="161" t="b">
        <v>1</v>
      </c>
      <c r="Q1104" s="158">
        <v>0.677</v>
      </c>
      <c r="R1104" s="158">
        <v>0.002547028</v>
      </c>
      <c r="S1104" s="158">
        <v>0.674452972</v>
      </c>
      <c r="T1104" s="157" t="s">
        <v>547</v>
      </c>
      <c r="U1104" s="46" t="s">
        <v>651</v>
      </c>
      <c r="V1104" s="46" t="b">
        <v>1</v>
      </c>
      <c r="W1104" s="46">
        <v>0.95</v>
      </c>
      <c r="X1104" s="46">
        <v>0.00241967659999999</v>
      </c>
      <c r="Y1104" s="46">
        <v>18.6017167010911</v>
      </c>
      <c r="Z1104" s="46" t="b">
        <v>1</v>
      </c>
      <c r="AA1104" s="46" t="b">
        <v>1</v>
      </c>
    </row>
    <row r="1105">
      <c r="A1105" s="157" t="s">
        <v>559</v>
      </c>
      <c r="B1105" s="158">
        <v>1.0</v>
      </c>
      <c r="C1105" s="157" t="s">
        <v>642</v>
      </c>
      <c r="D1105" s="157" t="s">
        <v>2370</v>
      </c>
      <c r="E1105" s="157" t="s">
        <v>2371</v>
      </c>
      <c r="F1105" s="157" t="s">
        <v>3485</v>
      </c>
      <c r="G1105" s="157" t="s">
        <v>3486</v>
      </c>
      <c r="H1105" s="157"/>
      <c r="I1105" s="158">
        <v>15.1825</v>
      </c>
      <c r="J1105" s="158">
        <v>37.1791</v>
      </c>
      <c r="K1105" s="157" t="s">
        <v>1272</v>
      </c>
      <c r="L1105" s="157" t="s">
        <v>648</v>
      </c>
      <c r="M1105" s="158">
        <v>2022.0</v>
      </c>
      <c r="N1105" s="157" t="s">
        <v>547</v>
      </c>
      <c r="O1105" s="157" t="s">
        <v>2371</v>
      </c>
      <c r="P1105" s="161" t="b">
        <v>1</v>
      </c>
      <c r="Q1105" s="158">
        <v>0.535059</v>
      </c>
      <c r="R1105" s="158">
        <v>0.002013014</v>
      </c>
      <c r="S1105" s="158">
        <v>0.533045986</v>
      </c>
      <c r="T1105" s="157" t="s">
        <v>547</v>
      </c>
      <c r="U1105" s="46" t="s">
        <v>651</v>
      </c>
      <c r="V1105" s="46" t="b">
        <v>1</v>
      </c>
      <c r="W1105" s="46">
        <v>0.95</v>
      </c>
      <c r="X1105" s="46">
        <v>0.0019123633</v>
      </c>
      <c r="Y1105" s="46" t="s">
        <v>640</v>
      </c>
      <c r="Z1105" s="46" t="b">
        <v>0</v>
      </c>
      <c r="AA1105" s="46" t="b">
        <v>0</v>
      </c>
    </row>
    <row r="1106">
      <c r="A1106" s="157" t="s">
        <v>556</v>
      </c>
      <c r="B1106" s="158">
        <v>2.0</v>
      </c>
      <c r="C1106" s="157" t="s">
        <v>916</v>
      </c>
      <c r="D1106" s="157" t="s">
        <v>3487</v>
      </c>
      <c r="E1106" s="157" t="s">
        <v>3488</v>
      </c>
      <c r="F1106" s="157" t="s">
        <v>3489</v>
      </c>
      <c r="G1106" s="157" t="s">
        <v>3490</v>
      </c>
      <c r="H1106" s="157"/>
      <c r="I1106" s="158">
        <v>4.93663</v>
      </c>
      <c r="J1106" s="158">
        <v>43.4655</v>
      </c>
      <c r="K1106" s="157" t="s">
        <v>1000</v>
      </c>
      <c r="L1106" s="157" t="s">
        <v>648</v>
      </c>
      <c r="M1106" s="158">
        <v>2022.0</v>
      </c>
      <c r="N1106" s="157" t="s">
        <v>549</v>
      </c>
      <c r="O1106" s="157" t="s">
        <v>3491</v>
      </c>
      <c r="P1106" s="161" t="b">
        <v>1</v>
      </c>
      <c r="Q1106" s="158">
        <v>6.447000064</v>
      </c>
      <c r="R1106" s="158">
        <v>0.001847807</v>
      </c>
      <c r="S1106" s="158">
        <v>6.445152257</v>
      </c>
      <c r="T1106" s="157" t="s">
        <v>549</v>
      </c>
      <c r="U1106" s="46" t="s">
        <v>651</v>
      </c>
      <c r="V1106" s="46" t="b">
        <v>1</v>
      </c>
      <c r="W1106" s="46">
        <v>0.95</v>
      </c>
      <c r="X1106" s="46">
        <v>0.00175541664999999</v>
      </c>
      <c r="Y1106" s="46">
        <v>18.182876965423</v>
      </c>
      <c r="Z1106" s="46" t="b">
        <v>1</v>
      </c>
      <c r="AA1106" s="46" t="b">
        <v>1</v>
      </c>
    </row>
    <row r="1107">
      <c r="A1107" s="157" t="s">
        <v>574</v>
      </c>
      <c r="B1107" s="158">
        <v>2.0</v>
      </c>
      <c r="C1107" s="157" t="s">
        <v>916</v>
      </c>
      <c r="D1107" s="157" t="s">
        <v>3487</v>
      </c>
      <c r="E1107" s="157" t="s">
        <v>3488</v>
      </c>
      <c r="F1107" s="162" t="s">
        <v>3492</v>
      </c>
      <c r="G1107" s="157" t="s">
        <v>3493</v>
      </c>
      <c r="H1107" s="157"/>
      <c r="I1107" s="158">
        <v>21.198325</v>
      </c>
      <c r="J1107" s="158">
        <v>48.617783</v>
      </c>
      <c r="K1107" s="157" t="s">
        <v>994</v>
      </c>
      <c r="L1107" s="157" t="s">
        <v>648</v>
      </c>
      <c r="M1107" s="158">
        <v>2017.0</v>
      </c>
      <c r="N1107" s="157" t="s">
        <v>549</v>
      </c>
      <c r="O1107" s="157" t="s">
        <v>3491</v>
      </c>
      <c r="P1107" s="161" t="b">
        <v>1</v>
      </c>
      <c r="Q1107" s="158">
        <v>5.96</v>
      </c>
      <c r="R1107" s="158">
        <v>0.001708226</v>
      </c>
      <c r="S1107" s="158">
        <v>5.958291774</v>
      </c>
      <c r="T1107" s="157" t="s">
        <v>549</v>
      </c>
      <c r="U1107" s="46" t="s">
        <v>651</v>
      </c>
      <c r="V1107" s="46" t="b">
        <v>1</v>
      </c>
      <c r="W1107" s="46">
        <v>0.95</v>
      </c>
      <c r="X1107" s="46">
        <v>0.0016228147</v>
      </c>
      <c r="Y1107" s="46" t="s">
        <v>640</v>
      </c>
      <c r="Z1107" s="46" t="b">
        <v>0</v>
      </c>
      <c r="AA1107" s="46" t="b">
        <v>0</v>
      </c>
    </row>
    <row r="1108">
      <c r="A1108" s="157" t="s">
        <v>565</v>
      </c>
      <c r="B1108" s="158">
        <v>1.0</v>
      </c>
      <c r="C1108" s="157" t="s">
        <v>642</v>
      </c>
      <c r="D1108" s="157" t="s">
        <v>643</v>
      </c>
      <c r="E1108" s="157" t="s">
        <v>644</v>
      </c>
      <c r="F1108" s="157" t="s">
        <v>3494</v>
      </c>
      <c r="G1108" s="157" t="s">
        <v>3495</v>
      </c>
      <c r="H1108" s="157"/>
      <c r="I1108" s="158">
        <v>17.428525</v>
      </c>
      <c r="J1108" s="158">
        <v>49.44506111</v>
      </c>
      <c r="K1108" s="157" t="s">
        <v>3496</v>
      </c>
      <c r="L1108" s="157" t="s">
        <v>648</v>
      </c>
      <c r="M1108" s="158">
        <v>2020.0</v>
      </c>
      <c r="N1108" s="157" t="s">
        <v>649</v>
      </c>
      <c r="O1108" s="157" t="s">
        <v>650</v>
      </c>
      <c r="P1108" s="161" t="b">
        <v>0</v>
      </c>
      <c r="Q1108" s="158">
        <v>0.173863439</v>
      </c>
      <c r="R1108" s="158">
        <v>0.001637095</v>
      </c>
      <c r="S1108" s="158">
        <v>0.172226345</v>
      </c>
      <c r="T1108" s="157" t="s">
        <v>117</v>
      </c>
      <c r="U1108" s="46" t="s">
        <v>651</v>
      </c>
      <c r="V1108" s="46" t="b">
        <v>1</v>
      </c>
      <c r="W1108" s="46">
        <v>0.95</v>
      </c>
      <c r="X1108" s="46">
        <v>0.00155524025</v>
      </c>
      <c r="Y1108" s="46" t="s">
        <v>640</v>
      </c>
      <c r="Z1108" s="46" t="b">
        <v>0</v>
      </c>
      <c r="AA1108" s="46" t="b">
        <v>0</v>
      </c>
    </row>
    <row r="1109">
      <c r="A1109" s="157" t="s">
        <v>559</v>
      </c>
      <c r="B1109" s="158">
        <v>1.0</v>
      </c>
      <c r="C1109" s="157" t="s">
        <v>642</v>
      </c>
      <c r="D1109" s="157" t="s">
        <v>2370</v>
      </c>
      <c r="E1109" s="157" t="s">
        <v>2371</v>
      </c>
      <c r="F1109" s="157" t="s">
        <v>3497</v>
      </c>
      <c r="G1109" s="157" t="s">
        <v>3498</v>
      </c>
      <c r="H1109" s="157"/>
      <c r="I1109" s="158">
        <v>10.3365</v>
      </c>
      <c r="J1109" s="158">
        <v>43.5872</v>
      </c>
      <c r="K1109" s="157" t="s">
        <v>3499</v>
      </c>
      <c r="L1109" s="157" t="s">
        <v>648</v>
      </c>
      <c r="M1109" s="158">
        <v>2022.0</v>
      </c>
      <c r="N1109" s="157" t="s">
        <v>547</v>
      </c>
      <c r="O1109" s="157" t="s">
        <v>2371</v>
      </c>
      <c r="P1109" s="161" t="b">
        <v>1</v>
      </c>
      <c r="Q1109" s="158">
        <v>0.42912781</v>
      </c>
      <c r="R1109" s="158">
        <v>0.001614476</v>
      </c>
      <c r="S1109" s="158">
        <v>0.427513334</v>
      </c>
      <c r="T1109" s="157" t="s">
        <v>547</v>
      </c>
      <c r="U1109" s="46" t="s">
        <v>651</v>
      </c>
      <c r="V1109" s="46" t="b">
        <v>1</v>
      </c>
      <c r="W1109" s="46">
        <v>0.95</v>
      </c>
      <c r="X1109" s="46">
        <v>0.0015337522</v>
      </c>
      <c r="Y1109" s="46">
        <v>112.777974705192</v>
      </c>
      <c r="Z1109" s="46" t="b">
        <v>0</v>
      </c>
      <c r="AA1109" s="46" t="b">
        <v>0</v>
      </c>
    </row>
    <row r="1110">
      <c r="A1110" s="157" t="s">
        <v>561</v>
      </c>
      <c r="B1110" s="158">
        <v>2.0</v>
      </c>
      <c r="C1110" s="157" t="s">
        <v>916</v>
      </c>
      <c r="D1110" s="157" t="s">
        <v>3487</v>
      </c>
      <c r="E1110" s="157" t="s">
        <v>3488</v>
      </c>
      <c r="F1110" s="157" t="s">
        <v>3500</v>
      </c>
      <c r="G1110" s="157" t="s">
        <v>3501</v>
      </c>
      <c r="H1110" s="157"/>
      <c r="I1110" s="158">
        <v>-5.91113</v>
      </c>
      <c r="J1110" s="158">
        <v>43.55611</v>
      </c>
      <c r="K1110" s="157" t="s">
        <v>3502</v>
      </c>
      <c r="L1110" s="157" t="s">
        <v>648</v>
      </c>
      <c r="M1110" s="158">
        <v>2022.0</v>
      </c>
      <c r="N1110" s="157" t="s">
        <v>549</v>
      </c>
      <c r="O1110" s="157" t="s">
        <v>3491</v>
      </c>
      <c r="P1110" s="161" t="b">
        <v>1</v>
      </c>
      <c r="Q1110" s="158">
        <v>4.81</v>
      </c>
      <c r="R1110" s="158">
        <v>0.001378619</v>
      </c>
      <c r="S1110" s="158">
        <v>4.808621381</v>
      </c>
      <c r="T1110" s="157" t="s">
        <v>549</v>
      </c>
      <c r="U1110" s="46" t="s">
        <v>651</v>
      </c>
      <c r="V1110" s="46" t="b">
        <v>1</v>
      </c>
      <c r="W1110" s="46">
        <v>0.95</v>
      </c>
      <c r="X1110" s="46">
        <v>0.00130968804999999</v>
      </c>
      <c r="Y1110" s="46" t="s">
        <v>640</v>
      </c>
      <c r="Z1110" s="46" t="b">
        <v>0</v>
      </c>
      <c r="AA1110" s="46" t="b">
        <v>0</v>
      </c>
    </row>
    <row r="1111">
      <c r="A1111" s="157" t="s">
        <v>559</v>
      </c>
      <c r="B1111" s="158">
        <v>2.0</v>
      </c>
      <c r="C1111" s="157" t="s">
        <v>916</v>
      </c>
      <c r="D1111" s="157" t="s">
        <v>3487</v>
      </c>
      <c r="E1111" s="157" t="s">
        <v>3488</v>
      </c>
      <c r="F1111" s="157" t="s">
        <v>3503</v>
      </c>
      <c r="G1111" s="157" t="s">
        <v>3504</v>
      </c>
      <c r="H1111" s="157"/>
      <c r="I1111" s="158">
        <v>17.1999</v>
      </c>
      <c r="J1111" s="158">
        <v>40.5167</v>
      </c>
      <c r="K1111" s="157" t="s">
        <v>940</v>
      </c>
      <c r="L1111" s="157" t="s">
        <v>648</v>
      </c>
      <c r="M1111" s="158">
        <v>2022.0</v>
      </c>
      <c r="N1111" s="157" t="s">
        <v>549</v>
      </c>
      <c r="O1111" s="157" t="s">
        <v>3491</v>
      </c>
      <c r="P1111" s="161" t="b">
        <v>1</v>
      </c>
      <c r="Q1111" s="158">
        <v>4.70312487</v>
      </c>
      <c r="R1111" s="158">
        <v>0.001347986</v>
      </c>
      <c r="S1111" s="158">
        <v>4.701776884</v>
      </c>
      <c r="T1111" s="157" t="s">
        <v>549</v>
      </c>
      <c r="U1111" s="46" t="s">
        <v>651</v>
      </c>
      <c r="V1111" s="46" t="b">
        <v>1</v>
      </c>
      <c r="W1111" s="46">
        <v>0.95</v>
      </c>
      <c r="X1111" s="46">
        <v>0.0012805867</v>
      </c>
      <c r="Y1111" s="46" t="s">
        <v>640</v>
      </c>
      <c r="Z1111" s="46" t="b">
        <v>0</v>
      </c>
      <c r="AA1111" s="46" t="b">
        <v>0</v>
      </c>
    </row>
    <row r="1112">
      <c r="A1112" s="157" t="s">
        <v>559</v>
      </c>
      <c r="B1112" s="158">
        <v>1.0</v>
      </c>
      <c r="C1112" s="157" t="s">
        <v>642</v>
      </c>
      <c r="D1112" s="157" t="s">
        <v>2370</v>
      </c>
      <c r="E1112" s="157" t="s">
        <v>2371</v>
      </c>
      <c r="F1112" s="157" t="s">
        <v>3505</v>
      </c>
      <c r="G1112" s="157" t="s">
        <v>3506</v>
      </c>
      <c r="H1112" s="157"/>
      <c r="I1112" s="158">
        <v>12.2667</v>
      </c>
      <c r="J1112" s="158">
        <v>45.4594</v>
      </c>
      <c r="K1112" s="157" t="s">
        <v>1045</v>
      </c>
      <c r="L1112" s="157" t="s">
        <v>648</v>
      </c>
      <c r="M1112" s="158">
        <v>2022.0</v>
      </c>
      <c r="N1112" s="157" t="s">
        <v>547</v>
      </c>
      <c r="O1112" s="157" t="s">
        <v>2371</v>
      </c>
      <c r="P1112" s="161" t="b">
        <v>1</v>
      </c>
      <c r="Q1112" s="158">
        <v>0.337514</v>
      </c>
      <c r="R1112" s="158">
        <v>0.001269804</v>
      </c>
      <c r="S1112" s="158">
        <v>0.336244196</v>
      </c>
      <c r="T1112" s="157" t="s">
        <v>547</v>
      </c>
      <c r="U1112" s="46" t="s">
        <v>651</v>
      </c>
      <c r="V1112" s="46" t="b">
        <v>1</v>
      </c>
      <c r="W1112" s="46">
        <v>0.95</v>
      </c>
      <c r="X1112" s="46">
        <v>0.0012063138</v>
      </c>
      <c r="Y1112" s="46">
        <v>2.02057711234389</v>
      </c>
      <c r="Z1112" s="46" t="b">
        <v>1</v>
      </c>
      <c r="AA1112" s="46" t="b">
        <v>1</v>
      </c>
    </row>
    <row r="1113">
      <c r="A1113" s="157" t="s">
        <v>579</v>
      </c>
      <c r="B1113" s="158">
        <v>1.0</v>
      </c>
      <c r="C1113" s="157" t="s">
        <v>642</v>
      </c>
      <c r="D1113" s="157" t="s">
        <v>2370</v>
      </c>
      <c r="E1113" s="157" t="s">
        <v>2371</v>
      </c>
      <c r="F1113" s="157" t="s">
        <v>3507</v>
      </c>
      <c r="G1113" s="157" t="s">
        <v>3508</v>
      </c>
      <c r="H1113" s="157"/>
      <c r="I1113" s="158">
        <v>17.00142</v>
      </c>
      <c r="J1113" s="158">
        <v>46.10825</v>
      </c>
      <c r="K1113" s="157" t="s">
        <v>3509</v>
      </c>
      <c r="L1113" s="157" t="s">
        <v>648</v>
      </c>
      <c r="M1113" s="158">
        <v>2022.0</v>
      </c>
      <c r="N1113" s="157" t="s">
        <v>547</v>
      </c>
      <c r="O1113" s="157" t="s">
        <v>2371</v>
      </c>
      <c r="P1113" s="161" t="b">
        <v>1</v>
      </c>
      <c r="Q1113" s="158">
        <v>0.319</v>
      </c>
      <c r="R1113" s="158">
        <v>0.00120015</v>
      </c>
      <c r="S1113" s="158">
        <v>0.31779985</v>
      </c>
      <c r="T1113" s="157" t="s">
        <v>547</v>
      </c>
      <c r="U1113" s="46" t="s">
        <v>651</v>
      </c>
      <c r="V1113" s="46" t="b">
        <v>1</v>
      </c>
      <c r="W1113" s="46">
        <v>0.95</v>
      </c>
      <c r="X1113" s="46">
        <v>0.0011401425</v>
      </c>
      <c r="Y1113" s="46">
        <v>108.755767313441</v>
      </c>
      <c r="Z1113" s="46" t="b">
        <v>0</v>
      </c>
      <c r="AA1113" s="46" t="b">
        <v>0</v>
      </c>
    </row>
    <row r="1114">
      <c r="A1114" s="157" t="s">
        <v>571</v>
      </c>
      <c r="B1114" s="158">
        <v>1.0</v>
      </c>
      <c r="C1114" s="157" t="s">
        <v>642</v>
      </c>
      <c r="D1114" s="157" t="s">
        <v>2370</v>
      </c>
      <c r="E1114" s="157" t="s">
        <v>2371</v>
      </c>
      <c r="F1114" s="157" t="s">
        <v>3510</v>
      </c>
      <c r="G1114" s="157" t="s">
        <v>3511</v>
      </c>
      <c r="H1114" s="157"/>
      <c r="I1114" s="158">
        <v>24.647993</v>
      </c>
      <c r="J1114" s="158">
        <v>54.773398</v>
      </c>
      <c r="K1114" s="157" t="s">
        <v>3512</v>
      </c>
      <c r="L1114" s="157" t="s">
        <v>648</v>
      </c>
      <c r="M1114" s="158">
        <v>2022.0</v>
      </c>
      <c r="N1114" s="157" t="s">
        <v>547</v>
      </c>
      <c r="O1114" s="157" t="s">
        <v>2371</v>
      </c>
      <c r="P1114" s="161" t="b">
        <v>1</v>
      </c>
      <c r="Q1114" s="158">
        <v>0.305</v>
      </c>
      <c r="R1114" s="158">
        <v>0.001147479</v>
      </c>
      <c r="S1114" s="158">
        <v>0.303852521</v>
      </c>
      <c r="T1114" s="157" t="s">
        <v>547</v>
      </c>
      <c r="U1114" s="46" t="s">
        <v>651</v>
      </c>
      <c r="V1114" s="46" t="b">
        <v>1</v>
      </c>
      <c r="W1114" s="46">
        <v>0.95</v>
      </c>
      <c r="X1114" s="46">
        <v>0.00109010505</v>
      </c>
      <c r="Y1114" s="46" t="s">
        <v>640</v>
      </c>
      <c r="Z1114" s="46" t="b">
        <v>0</v>
      </c>
      <c r="AA1114" s="46" t="b">
        <v>0</v>
      </c>
    </row>
    <row r="1115">
      <c r="A1115" s="157" t="s">
        <v>564</v>
      </c>
      <c r="B1115" s="158">
        <v>1.0</v>
      </c>
      <c r="C1115" s="157" t="s">
        <v>642</v>
      </c>
      <c r="D1115" s="157" t="s">
        <v>2370</v>
      </c>
      <c r="E1115" s="157" t="s">
        <v>2371</v>
      </c>
      <c r="F1115" s="157" t="s">
        <v>3513</v>
      </c>
      <c r="G1115" s="157" t="s">
        <v>3514</v>
      </c>
      <c r="H1115" s="157"/>
      <c r="I1115" s="158">
        <v>7.0358</v>
      </c>
      <c r="J1115" s="158">
        <v>47.04</v>
      </c>
      <c r="K1115" s="157" t="s">
        <v>3515</v>
      </c>
      <c r="L1115" s="157" t="s">
        <v>648</v>
      </c>
      <c r="M1115" s="158">
        <v>2021.0</v>
      </c>
      <c r="N1115" s="157" t="s">
        <v>547</v>
      </c>
      <c r="O1115" s="157" t="s">
        <v>2371</v>
      </c>
      <c r="P1115" s="161" t="b">
        <v>1</v>
      </c>
      <c r="Q1115" s="158">
        <v>0.304</v>
      </c>
      <c r="R1115" s="158">
        <v>0.001143717</v>
      </c>
      <c r="S1115" s="158">
        <v>0.302856283</v>
      </c>
      <c r="T1115" s="157" t="s">
        <v>547</v>
      </c>
      <c r="U1115" s="46" t="s">
        <v>651</v>
      </c>
      <c r="V1115" s="46" t="b">
        <v>1</v>
      </c>
      <c r="W1115" s="46">
        <v>0.95</v>
      </c>
      <c r="X1115" s="46">
        <v>0.00108653115</v>
      </c>
      <c r="Y1115" s="46">
        <v>81.1052473697211</v>
      </c>
      <c r="Z1115" s="46" t="b">
        <v>0</v>
      </c>
      <c r="AA1115" s="46" t="b">
        <v>1</v>
      </c>
    </row>
    <row r="1116">
      <c r="A1116" s="157" t="s">
        <v>572</v>
      </c>
      <c r="B1116" s="158">
        <v>1.0</v>
      </c>
      <c r="C1116" s="157" t="s">
        <v>642</v>
      </c>
      <c r="D1116" s="157" t="s">
        <v>2370</v>
      </c>
      <c r="E1116" s="157" t="s">
        <v>2371</v>
      </c>
      <c r="F1116" s="157" t="s">
        <v>3516</v>
      </c>
      <c r="G1116" s="157" t="s">
        <v>3517</v>
      </c>
      <c r="H1116" s="157"/>
      <c r="I1116" s="158">
        <v>22.87819</v>
      </c>
      <c r="J1116" s="158">
        <v>40.67952</v>
      </c>
      <c r="K1116" s="157" t="s">
        <v>3518</v>
      </c>
      <c r="L1116" s="157" t="s">
        <v>648</v>
      </c>
      <c r="M1116" s="158">
        <v>2022.0</v>
      </c>
      <c r="N1116" s="157" t="s">
        <v>547</v>
      </c>
      <c r="O1116" s="157" t="s">
        <v>2371</v>
      </c>
      <c r="P1116" s="161" t="b">
        <v>1</v>
      </c>
      <c r="Q1116" s="158">
        <v>0.3025</v>
      </c>
      <c r="R1116" s="158">
        <v>0.001138074</v>
      </c>
      <c r="S1116" s="158">
        <v>0.301361926</v>
      </c>
      <c r="T1116" s="157" t="s">
        <v>547</v>
      </c>
      <c r="U1116" s="46" t="s">
        <v>651</v>
      </c>
      <c r="V1116" s="46" t="b">
        <v>1</v>
      </c>
      <c r="W1116" s="46">
        <v>0.95</v>
      </c>
      <c r="X1116" s="46">
        <v>0.00108117029999999</v>
      </c>
      <c r="Y1116" s="46" t="s">
        <v>640</v>
      </c>
      <c r="Z1116" s="46" t="b">
        <v>0</v>
      </c>
      <c r="AA1116" s="46" t="b">
        <v>0</v>
      </c>
    </row>
    <row r="1117">
      <c r="A1117" s="157" t="s">
        <v>559</v>
      </c>
      <c r="B1117" s="158">
        <v>1.0</v>
      </c>
      <c r="C1117" s="157" t="s">
        <v>642</v>
      </c>
      <c r="D1117" s="157" t="s">
        <v>2370</v>
      </c>
      <c r="E1117" s="157" t="s">
        <v>2371</v>
      </c>
      <c r="F1117" s="157" t="s">
        <v>3519</v>
      </c>
      <c r="G1117" s="157" t="s">
        <v>3520</v>
      </c>
      <c r="H1117" s="157"/>
      <c r="I1117" s="158">
        <v>8.9466</v>
      </c>
      <c r="J1117" s="158">
        <v>44.5752</v>
      </c>
      <c r="K1117" s="157" t="s">
        <v>3521</v>
      </c>
      <c r="L1117" s="157" t="s">
        <v>648</v>
      </c>
      <c r="M1117" s="158">
        <v>2022.0</v>
      </c>
      <c r="N1117" s="157" t="s">
        <v>547</v>
      </c>
      <c r="O1117" s="157" t="s">
        <v>2371</v>
      </c>
      <c r="P1117" s="161" t="b">
        <v>1</v>
      </c>
      <c r="Q1117" s="158">
        <v>0.275269312</v>
      </c>
      <c r="R1117" s="158">
        <v>0.001035626</v>
      </c>
      <c r="S1117" s="158">
        <v>0.274233686</v>
      </c>
      <c r="T1117" s="157" t="s">
        <v>547</v>
      </c>
      <c r="U1117" s="46" t="s">
        <v>651</v>
      </c>
      <c r="V1117" s="46" t="b">
        <v>1</v>
      </c>
      <c r="W1117" s="46">
        <v>0.95</v>
      </c>
      <c r="X1117" s="46">
        <v>9.838447E-4</v>
      </c>
      <c r="Y1117" s="46">
        <v>45.2115569988516</v>
      </c>
      <c r="Z1117" s="46" t="b">
        <v>1</v>
      </c>
      <c r="AA1117" s="46" t="b">
        <v>1</v>
      </c>
    </row>
    <row r="1118">
      <c r="A1118" s="157" t="s">
        <v>562</v>
      </c>
      <c r="B1118" s="158">
        <v>2.0</v>
      </c>
      <c r="C1118" s="157" t="s">
        <v>916</v>
      </c>
      <c r="D1118" s="157" t="s">
        <v>3487</v>
      </c>
      <c r="E1118" s="157" t="s">
        <v>3488</v>
      </c>
      <c r="F1118" s="162" t="s">
        <v>3522</v>
      </c>
      <c r="G1118" s="157" t="s">
        <v>3523</v>
      </c>
      <c r="H1118" s="157"/>
      <c r="I1118" s="158">
        <v>3.81872</v>
      </c>
      <c r="J1118" s="158">
        <v>51.18184</v>
      </c>
      <c r="K1118" s="157" t="s">
        <v>855</v>
      </c>
      <c r="L1118" s="157" t="s">
        <v>648</v>
      </c>
      <c r="M1118" s="158">
        <v>2022.0</v>
      </c>
      <c r="N1118" s="157" t="s">
        <v>549</v>
      </c>
      <c r="O1118" s="157" t="s">
        <v>3491</v>
      </c>
      <c r="P1118" s="161" t="b">
        <v>1</v>
      </c>
      <c r="Q1118" s="158">
        <v>3.58</v>
      </c>
      <c r="R1118" s="158">
        <v>0.001026082</v>
      </c>
      <c r="S1118" s="158">
        <v>3.578973918</v>
      </c>
      <c r="T1118" s="157" t="s">
        <v>549</v>
      </c>
      <c r="U1118" s="46" t="s">
        <v>651</v>
      </c>
      <c r="V1118" s="46" t="b">
        <v>1</v>
      </c>
      <c r="W1118" s="46">
        <v>0.95</v>
      </c>
      <c r="X1118" s="46">
        <v>9.74777899999999E-4</v>
      </c>
      <c r="Y1118" s="46">
        <v>7.55379631089108</v>
      </c>
      <c r="Z1118" s="46" t="b">
        <v>1</v>
      </c>
      <c r="AA1118" s="46" t="b">
        <v>1</v>
      </c>
    </row>
    <row r="1119">
      <c r="A1119" s="157" t="s">
        <v>554</v>
      </c>
      <c r="B1119" s="158">
        <v>2.0</v>
      </c>
      <c r="C1119" s="157" t="s">
        <v>916</v>
      </c>
      <c r="D1119" s="157" t="s">
        <v>917</v>
      </c>
      <c r="E1119" s="157" t="s">
        <v>918</v>
      </c>
      <c r="F1119" s="157" t="s">
        <v>3524</v>
      </c>
      <c r="G1119" s="157" t="s">
        <v>3525</v>
      </c>
      <c r="H1119" s="157"/>
      <c r="I1119" s="158">
        <v>21.01035</v>
      </c>
      <c r="J1119" s="158">
        <v>67.63903</v>
      </c>
      <c r="K1119" s="157" t="s">
        <v>3526</v>
      </c>
      <c r="L1119" s="157" t="s">
        <v>648</v>
      </c>
      <c r="M1119" s="158">
        <v>2022.0</v>
      </c>
      <c r="N1119" s="157" t="s">
        <v>549</v>
      </c>
      <c r="O1119" s="157" t="s">
        <v>922</v>
      </c>
      <c r="P1119" s="161" t="b">
        <v>1</v>
      </c>
      <c r="Q1119" s="158">
        <v>0.137</v>
      </c>
      <c r="R1119" s="158">
        <v>0.001</v>
      </c>
      <c r="S1119" s="158">
        <v>0.136</v>
      </c>
      <c r="T1119" s="157" t="s">
        <v>549</v>
      </c>
      <c r="U1119" s="46" t="s">
        <v>651</v>
      </c>
      <c r="V1119" s="46" t="b">
        <v>1</v>
      </c>
      <c r="W1119" s="46">
        <v>0.95</v>
      </c>
      <c r="X1119" s="46">
        <v>9.5E-4</v>
      </c>
      <c r="Y1119" s="46" t="s">
        <v>640</v>
      </c>
      <c r="Z1119" s="46" t="b">
        <v>0</v>
      </c>
      <c r="AA1119" s="46" t="b">
        <v>0</v>
      </c>
    </row>
    <row r="1120">
      <c r="A1120" s="157" t="s">
        <v>554</v>
      </c>
      <c r="B1120" s="158">
        <v>2.0</v>
      </c>
      <c r="C1120" s="157" t="s">
        <v>916</v>
      </c>
      <c r="D1120" s="157" t="s">
        <v>3487</v>
      </c>
      <c r="E1120" s="157" t="s">
        <v>3488</v>
      </c>
      <c r="F1120" s="157" t="s">
        <v>3527</v>
      </c>
      <c r="G1120" s="157" t="s">
        <v>3528</v>
      </c>
      <c r="H1120" s="157"/>
      <c r="I1120" s="158">
        <v>12.54737</v>
      </c>
      <c r="J1120" s="158">
        <v>56.20871</v>
      </c>
      <c r="K1120" s="157" t="s">
        <v>3529</v>
      </c>
      <c r="L1120" s="157" t="s">
        <v>648</v>
      </c>
      <c r="M1120" s="158">
        <v>2022.0</v>
      </c>
      <c r="N1120" s="157" t="s">
        <v>549</v>
      </c>
      <c r="O1120" s="157" t="s">
        <v>3491</v>
      </c>
      <c r="P1120" s="161" t="b">
        <v>1</v>
      </c>
      <c r="Q1120" s="158">
        <v>0.176</v>
      </c>
      <c r="R1120" s="158">
        <v>0.001</v>
      </c>
      <c r="S1120" s="158">
        <v>0.175</v>
      </c>
      <c r="T1120" s="157" t="s">
        <v>549</v>
      </c>
      <c r="U1120" s="46" t="s">
        <v>651</v>
      </c>
      <c r="V1120" s="46" t="b">
        <v>1</v>
      </c>
      <c r="W1120" s="46">
        <v>0.95</v>
      </c>
      <c r="X1120" s="46">
        <v>9.5E-4</v>
      </c>
      <c r="Y1120" s="46">
        <v>55.3065835674704</v>
      </c>
      <c r="Z1120" s="46" t="b">
        <v>0</v>
      </c>
      <c r="AA1120" s="46" t="b">
        <v>1</v>
      </c>
    </row>
    <row r="1121">
      <c r="A1121" s="157" t="s">
        <v>563</v>
      </c>
      <c r="B1121" s="158">
        <v>1.0</v>
      </c>
      <c r="C1121" s="157" t="s">
        <v>642</v>
      </c>
      <c r="D1121" s="157" t="s">
        <v>643</v>
      </c>
      <c r="E1121" s="157" t="s">
        <v>644</v>
      </c>
      <c r="F1121" s="157" t="s">
        <v>3530</v>
      </c>
      <c r="G1121" s="157" t="s">
        <v>3531</v>
      </c>
      <c r="H1121" s="157"/>
      <c r="I1121" s="158">
        <v>-3.39504</v>
      </c>
      <c r="J1121" s="158">
        <v>51.39005</v>
      </c>
      <c r="K1121" s="157" t="s">
        <v>3532</v>
      </c>
      <c r="L1121" s="157" t="s">
        <v>648</v>
      </c>
      <c r="M1121" s="158">
        <v>2019.0</v>
      </c>
      <c r="N1121" s="157" t="s">
        <v>649</v>
      </c>
      <c r="O1121" s="157" t="s">
        <v>650</v>
      </c>
      <c r="P1121" s="161" t="b">
        <v>0</v>
      </c>
      <c r="Q1121" s="158">
        <v>0.66</v>
      </c>
      <c r="R1121" s="158">
        <v>0.001</v>
      </c>
      <c r="S1121" s="158">
        <v>0.659</v>
      </c>
      <c r="T1121" s="157" t="s">
        <v>117</v>
      </c>
      <c r="U1121" s="46" t="s">
        <v>651</v>
      </c>
      <c r="V1121" s="46" t="b">
        <v>1</v>
      </c>
      <c r="W1121" s="46">
        <v>0.95</v>
      </c>
      <c r="X1121" s="46">
        <v>9.5E-4</v>
      </c>
      <c r="Y1121" s="46" t="s">
        <v>640</v>
      </c>
      <c r="Z1121" s="46" t="b">
        <v>0</v>
      </c>
      <c r="AA1121" s="46" t="b">
        <v>0</v>
      </c>
    </row>
    <row r="1122">
      <c r="A1122" s="157" t="s">
        <v>564</v>
      </c>
      <c r="B1122" s="158">
        <v>8.0</v>
      </c>
      <c r="C1122" s="157" t="s">
        <v>1175</v>
      </c>
      <c r="D1122" s="157" t="s">
        <v>3533</v>
      </c>
      <c r="E1122" s="157" t="s">
        <v>3534</v>
      </c>
      <c r="F1122" s="157" t="s">
        <v>3535</v>
      </c>
      <c r="G1122" s="157" t="s">
        <v>3536</v>
      </c>
      <c r="H1122" s="157"/>
      <c r="I1122" s="158">
        <v>7.1244</v>
      </c>
      <c r="J1122" s="158">
        <v>46.7992</v>
      </c>
      <c r="K1122" s="157" t="s">
        <v>3537</v>
      </c>
      <c r="L1122" s="157" t="s">
        <v>648</v>
      </c>
      <c r="M1122" s="158">
        <v>2021.0</v>
      </c>
      <c r="N1122" s="157" t="s">
        <v>552</v>
      </c>
      <c r="O1122" s="157" t="s">
        <v>3538</v>
      </c>
      <c r="P1122" s="161" t="b">
        <v>1</v>
      </c>
      <c r="Q1122" s="158">
        <v>0.00758</v>
      </c>
      <c r="R1122" s="158">
        <v>9.96715E-4</v>
      </c>
      <c r="S1122" s="158">
        <v>0.006583285</v>
      </c>
      <c r="T1122" s="157" t="s">
        <v>552</v>
      </c>
      <c r="U1122" s="46" t="s">
        <v>651</v>
      </c>
      <c r="V1122" s="46" t="b">
        <v>0</v>
      </c>
      <c r="W1122" s="46">
        <v>0.95</v>
      </c>
      <c r="X1122" s="46">
        <v>0.0</v>
      </c>
      <c r="Y1122" s="46">
        <v>86.8171730744769</v>
      </c>
      <c r="Z1122" s="46" t="b">
        <v>0</v>
      </c>
      <c r="AA1122" s="46" t="b">
        <v>1</v>
      </c>
    </row>
    <row r="1123">
      <c r="A1123" s="157" t="s">
        <v>564</v>
      </c>
      <c r="B1123" s="158">
        <v>2.0</v>
      </c>
      <c r="C1123" s="157" t="s">
        <v>916</v>
      </c>
      <c r="D1123" s="157" t="s">
        <v>3294</v>
      </c>
      <c r="E1123" s="157" t="s">
        <v>3295</v>
      </c>
      <c r="F1123" s="157" t="s">
        <v>3539</v>
      </c>
      <c r="G1123" s="157" t="s">
        <v>3540</v>
      </c>
      <c r="H1123" s="157"/>
      <c r="I1123" s="158">
        <v>7.755</v>
      </c>
      <c r="J1123" s="158">
        <v>46.3117</v>
      </c>
      <c r="K1123" s="157" t="s">
        <v>3541</v>
      </c>
      <c r="L1123" s="157" t="s">
        <v>648</v>
      </c>
      <c r="M1123" s="158">
        <v>2021.0</v>
      </c>
      <c r="N1123" s="157" t="s">
        <v>549</v>
      </c>
      <c r="O1123" s="157" t="s">
        <v>1208</v>
      </c>
      <c r="P1123" s="161" t="b">
        <v>1</v>
      </c>
      <c r="Q1123" s="158">
        <v>0.0139</v>
      </c>
      <c r="R1123" s="158">
        <v>9.33518E-4</v>
      </c>
      <c r="S1123" s="158">
        <v>0.012966482</v>
      </c>
      <c r="T1123" s="157" t="s">
        <v>549</v>
      </c>
      <c r="U1123" s="46" t="s">
        <v>651</v>
      </c>
      <c r="V1123" s="46" t="b">
        <v>0</v>
      </c>
      <c r="W1123" s="46">
        <v>0.95</v>
      </c>
      <c r="X1123" s="46">
        <v>0.0</v>
      </c>
      <c r="Y1123" s="46">
        <v>104.155127114778</v>
      </c>
      <c r="Z1123" s="46" t="b">
        <v>0</v>
      </c>
      <c r="AA1123" s="46" t="b">
        <v>0</v>
      </c>
    </row>
    <row r="1124">
      <c r="A1124" s="157" t="s">
        <v>560</v>
      </c>
      <c r="B1124" s="158">
        <v>2.0</v>
      </c>
      <c r="C1124" s="157" t="s">
        <v>916</v>
      </c>
      <c r="D1124" s="157" t="s">
        <v>3487</v>
      </c>
      <c r="E1124" s="157" t="s">
        <v>3488</v>
      </c>
      <c r="F1124" s="157" t="s">
        <v>3542</v>
      </c>
      <c r="G1124" s="157" t="s">
        <v>3543</v>
      </c>
      <c r="H1124" s="157"/>
      <c r="I1124" s="158">
        <v>15.067</v>
      </c>
      <c r="J1124" s="158">
        <v>47.379</v>
      </c>
      <c r="K1124" s="157" t="s">
        <v>3544</v>
      </c>
      <c r="L1124" s="157" t="s">
        <v>648</v>
      </c>
      <c r="M1124" s="158">
        <v>2022.0</v>
      </c>
      <c r="N1124" s="157" t="s">
        <v>549</v>
      </c>
      <c r="O1124" s="157" t="s">
        <v>3491</v>
      </c>
      <c r="P1124" s="161" t="b">
        <v>1</v>
      </c>
      <c r="Q1124" s="158">
        <v>2.78</v>
      </c>
      <c r="R1124" s="158">
        <v>7.9679E-4</v>
      </c>
      <c r="S1124" s="158">
        <v>2.77920321</v>
      </c>
      <c r="T1124" s="157" t="s">
        <v>549</v>
      </c>
      <c r="U1124" s="46" t="s">
        <v>651</v>
      </c>
      <c r="V1124" s="46" t="b">
        <v>1</v>
      </c>
      <c r="W1124" s="46">
        <v>0.95</v>
      </c>
      <c r="X1124" s="46">
        <v>7.569505E-4</v>
      </c>
      <c r="Y1124" s="46">
        <v>131.561348835063</v>
      </c>
      <c r="Z1124" s="46" t="b">
        <v>0</v>
      </c>
      <c r="AA1124" s="46" t="b">
        <v>0</v>
      </c>
    </row>
    <row r="1125">
      <c r="A1125" s="157" t="s">
        <v>556</v>
      </c>
      <c r="B1125" s="158">
        <v>1.0</v>
      </c>
      <c r="C1125" s="157" t="s">
        <v>642</v>
      </c>
      <c r="D1125" s="157" t="s">
        <v>2370</v>
      </c>
      <c r="E1125" s="157" t="s">
        <v>2371</v>
      </c>
      <c r="F1125" s="157" t="s">
        <v>3545</v>
      </c>
      <c r="G1125" s="157" t="s">
        <v>3369</v>
      </c>
      <c r="H1125" s="157"/>
      <c r="I1125" s="158">
        <v>5.10169</v>
      </c>
      <c r="J1125" s="158">
        <v>43.39831</v>
      </c>
      <c r="K1125" s="157" t="s">
        <v>3440</v>
      </c>
      <c r="L1125" s="157" t="s">
        <v>648</v>
      </c>
      <c r="M1125" s="158">
        <v>2022.0</v>
      </c>
      <c r="N1125" s="157" t="s">
        <v>547</v>
      </c>
      <c r="O1125" s="157" t="s">
        <v>2371</v>
      </c>
      <c r="P1125" s="161" t="b">
        <v>1</v>
      </c>
      <c r="Q1125" s="158">
        <v>0.199</v>
      </c>
      <c r="R1125" s="158">
        <v>7.48683E-4</v>
      </c>
      <c r="S1125" s="158">
        <v>0.198251317</v>
      </c>
      <c r="T1125" s="157" t="s">
        <v>547</v>
      </c>
      <c r="U1125" s="46" t="s">
        <v>651</v>
      </c>
      <c r="V1125" s="46" t="b">
        <v>1</v>
      </c>
      <c r="W1125" s="46">
        <v>0.95</v>
      </c>
      <c r="X1125" s="46">
        <v>7.11248849999999E-4</v>
      </c>
      <c r="Y1125" s="46">
        <v>33.4338122874224</v>
      </c>
      <c r="Z1125" s="46" t="b">
        <v>1</v>
      </c>
      <c r="AA1125" s="46" t="b">
        <v>1</v>
      </c>
    </row>
    <row r="1126">
      <c r="A1126" s="157" t="s">
        <v>564</v>
      </c>
      <c r="B1126" s="158">
        <v>8.0</v>
      </c>
      <c r="C1126" s="157" t="s">
        <v>1175</v>
      </c>
      <c r="D1126" s="157" t="s">
        <v>3533</v>
      </c>
      <c r="E1126" s="157" t="s">
        <v>3534</v>
      </c>
      <c r="F1126" s="157" t="s">
        <v>3546</v>
      </c>
      <c r="G1126" s="157" t="s">
        <v>3547</v>
      </c>
      <c r="H1126" s="157"/>
      <c r="I1126" s="158">
        <v>6.8516</v>
      </c>
      <c r="J1126" s="158">
        <v>46.846</v>
      </c>
      <c r="K1126" s="157" t="s">
        <v>3548</v>
      </c>
      <c r="L1126" s="157" t="s">
        <v>648</v>
      </c>
      <c r="M1126" s="158">
        <v>2021.0</v>
      </c>
      <c r="N1126" s="157" t="s">
        <v>552</v>
      </c>
      <c r="O1126" s="157" t="s">
        <v>3538</v>
      </c>
      <c r="P1126" s="161" t="b">
        <v>1</v>
      </c>
      <c r="Q1126" s="158">
        <v>0.00484</v>
      </c>
      <c r="R1126" s="158">
        <v>6.36425E-4</v>
      </c>
      <c r="S1126" s="158">
        <v>0.004203575</v>
      </c>
      <c r="T1126" s="157" t="s">
        <v>552</v>
      </c>
      <c r="U1126" s="46" t="s">
        <v>651</v>
      </c>
      <c r="V1126" s="46" t="b">
        <v>0</v>
      </c>
      <c r="W1126" s="46">
        <v>0.95</v>
      </c>
      <c r="X1126" s="46">
        <v>0.0</v>
      </c>
      <c r="Y1126" s="46">
        <v>102.11352068368</v>
      </c>
      <c r="Z1126" s="46" t="b">
        <v>0</v>
      </c>
      <c r="AA1126" s="46" t="b">
        <v>0</v>
      </c>
    </row>
    <row r="1127">
      <c r="A1127" s="157" t="s">
        <v>559</v>
      </c>
      <c r="B1127" s="158">
        <v>1.0</v>
      </c>
      <c r="C1127" s="157" t="s">
        <v>642</v>
      </c>
      <c r="D1127" s="157" t="s">
        <v>2370</v>
      </c>
      <c r="E1127" s="157" t="s">
        <v>2371</v>
      </c>
      <c r="F1127" s="157" t="s">
        <v>3549</v>
      </c>
      <c r="G1127" s="157" t="s">
        <v>3550</v>
      </c>
      <c r="H1127" s="157"/>
      <c r="I1127" s="158">
        <v>14.2772</v>
      </c>
      <c r="J1127" s="158">
        <v>37.0554</v>
      </c>
      <c r="K1127" s="157" t="s">
        <v>3551</v>
      </c>
      <c r="L1127" s="157" t="s">
        <v>648</v>
      </c>
      <c r="M1127" s="158">
        <v>2022.0</v>
      </c>
      <c r="N1127" s="157" t="s">
        <v>547</v>
      </c>
      <c r="O1127" s="157" t="s">
        <v>2371</v>
      </c>
      <c r="P1127" s="161" t="b">
        <v>1</v>
      </c>
      <c r="Q1127" s="158">
        <v>0.164466</v>
      </c>
      <c r="R1127" s="158">
        <v>6.18758E-4</v>
      </c>
      <c r="S1127" s="158">
        <v>0.163847242</v>
      </c>
      <c r="T1127" s="157" t="s">
        <v>547</v>
      </c>
      <c r="U1127" s="46" t="s">
        <v>651</v>
      </c>
      <c r="V1127" s="46" t="b">
        <v>1</v>
      </c>
      <c r="W1127" s="46">
        <v>0.95</v>
      </c>
      <c r="X1127" s="46">
        <v>5.87820099999999E-4</v>
      </c>
      <c r="Y1127" s="46" t="s">
        <v>640</v>
      </c>
      <c r="Z1127" s="46" t="b">
        <v>0</v>
      </c>
      <c r="AA1127" s="46" t="b">
        <v>0</v>
      </c>
    </row>
    <row r="1128">
      <c r="A1128" s="157" t="s">
        <v>579</v>
      </c>
      <c r="B1128" s="158">
        <v>1.0</v>
      </c>
      <c r="C1128" s="157" t="s">
        <v>642</v>
      </c>
      <c r="D1128" s="157" t="s">
        <v>2370</v>
      </c>
      <c r="E1128" s="157" t="s">
        <v>2371</v>
      </c>
      <c r="F1128" s="157" t="s">
        <v>3552</v>
      </c>
      <c r="G1128" s="157" t="s">
        <v>3553</v>
      </c>
      <c r="H1128" s="157"/>
      <c r="I1128" s="158">
        <v>16.39852</v>
      </c>
      <c r="J1128" s="158">
        <v>45.71722</v>
      </c>
      <c r="K1128" s="157" t="s">
        <v>3554</v>
      </c>
      <c r="L1128" s="157" t="s">
        <v>648</v>
      </c>
      <c r="M1128" s="158">
        <v>2022.0</v>
      </c>
      <c r="N1128" s="157" t="s">
        <v>547</v>
      </c>
      <c r="O1128" s="157" t="s">
        <v>2371</v>
      </c>
      <c r="P1128" s="161" t="b">
        <v>1</v>
      </c>
      <c r="Q1128" s="158">
        <v>0.125</v>
      </c>
      <c r="R1128" s="158">
        <v>4.70278E-4</v>
      </c>
      <c r="S1128" s="158">
        <v>0.124529722</v>
      </c>
      <c r="T1128" s="157" t="s">
        <v>547</v>
      </c>
      <c r="U1128" s="46" t="s">
        <v>651</v>
      </c>
      <c r="V1128" s="46" t="b">
        <v>1</v>
      </c>
      <c r="W1128" s="46">
        <v>0.95</v>
      </c>
      <c r="X1128" s="46">
        <v>4.467641E-4</v>
      </c>
      <c r="Y1128" s="46" t="s">
        <v>640</v>
      </c>
      <c r="Z1128" s="46" t="b">
        <v>0</v>
      </c>
      <c r="AA1128" s="46" t="b">
        <v>0</v>
      </c>
    </row>
    <row r="1129">
      <c r="A1129" s="157" t="s">
        <v>560</v>
      </c>
      <c r="B1129" s="158">
        <v>1.0</v>
      </c>
      <c r="C1129" s="157" t="s">
        <v>642</v>
      </c>
      <c r="D1129" s="157" t="s">
        <v>2370</v>
      </c>
      <c r="E1129" s="157" t="s">
        <v>2371</v>
      </c>
      <c r="F1129" s="157" t="s">
        <v>3555</v>
      </c>
      <c r="G1129" s="157" t="s">
        <v>3556</v>
      </c>
      <c r="H1129" s="157"/>
      <c r="I1129" s="158">
        <v>16.547028</v>
      </c>
      <c r="J1129" s="158">
        <v>48.284</v>
      </c>
      <c r="K1129" s="157" t="s">
        <v>3557</v>
      </c>
      <c r="L1129" s="157" t="s">
        <v>648</v>
      </c>
      <c r="M1129" s="158">
        <v>2022.0</v>
      </c>
      <c r="N1129" s="157" t="s">
        <v>547</v>
      </c>
      <c r="O1129" s="157" t="s">
        <v>2371</v>
      </c>
      <c r="P1129" s="161" t="b">
        <v>1</v>
      </c>
      <c r="Q1129" s="158">
        <v>0.122</v>
      </c>
      <c r="R1129" s="158">
        <v>4.58992E-4</v>
      </c>
      <c r="S1129" s="158">
        <v>0.121541008</v>
      </c>
      <c r="T1129" s="157" t="s">
        <v>547</v>
      </c>
      <c r="U1129" s="46" t="s">
        <v>651</v>
      </c>
      <c r="V1129" s="46" t="b">
        <v>1</v>
      </c>
      <c r="W1129" s="46">
        <v>0.95</v>
      </c>
      <c r="X1129" s="46">
        <v>4.360424E-4</v>
      </c>
      <c r="Y1129" s="46" t="s">
        <v>640</v>
      </c>
      <c r="Z1129" s="46" t="b">
        <v>0</v>
      </c>
      <c r="AA1129" s="46" t="b">
        <v>0</v>
      </c>
    </row>
    <row r="1130">
      <c r="A1130" s="157" t="s">
        <v>556</v>
      </c>
      <c r="B1130" s="158">
        <v>1.0</v>
      </c>
      <c r="C1130" s="157" t="s">
        <v>642</v>
      </c>
      <c r="D1130" s="157" t="s">
        <v>2370</v>
      </c>
      <c r="E1130" s="157" t="s">
        <v>2371</v>
      </c>
      <c r="F1130" s="157" t="s">
        <v>3558</v>
      </c>
      <c r="G1130" s="157" t="s">
        <v>3559</v>
      </c>
      <c r="H1130" s="157"/>
      <c r="I1130" s="158">
        <v>-61.03075</v>
      </c>
      <c r="J1130" s="158">
        <v>14.61007</v>
      </c>
      <c r="K1130" s="157" t="s">
        <v>3560</v>
      </c>
      <c r="L1130" s="157" t="s">
        <v>648</v>
      </c>
      <c r="M1130" s="158">
        <v>2022.0</v>
      </c>
      <c r="N1130" s="157" t="s">
        <v>547</v>
      </c>
      <c r="O1130" s="157" t="s">
        <v>2371</v>
      </c>
      <c r="P1130" s="161" t="b">
        <v>1</v>
      </c>
      <c r="Q1130" s="158">
        <v>0.108</v>
      </c>
      <c r="R1130" s="158">
        <v>4.06321E-4</v>
      </c>
      <c r="S1130" s="158">
        <v>0.107593679</v>
      </c>
      <c r="T1130" s="157" t="s">
        <v>547</v>
      </c>
      <c r="U1130" s="46" t="s">
        <v>651</v>
      </c>
      <c r="V1130" s="46" t="b">
        <v>1</v>
      </c>
      <c r="W1130" s="46">
        <v>0.95</v>
      </c>
      <c r="X1130" s="46">
        <v>3.8600495E-4</v>
      </c>
      <c r="Y1130" s="46" t="s">
        <v>640</v>
      </c>
      <c r="Z1130" s="46" t="b">
        <v>0</v>
      </c>
      <c r="AA1130" s="46" t="b">
        <v>0</v>
      </c>
    </row>
    <row r="1131">
      <c r="A1131" s="157" t="s">
        <v>564</v>
      </c>
      <c r="B1131" s="158">
        <v>8.0</v>
      </c>
      <c r="C1131" s="157" t="s">
        <v>1175</v>
      </c>
      <c r="D1131" s="157" t="s">
        <v>3533</v>
      </c>
      <c r="E1131" s="157" t="s">
        <v>3534</v>
      </c>
      <c r="F1131" s="157" t="s">
        <v>3561</v>
      </c>
      <c r="G1131" s="157" t="s">
        <v>3562</v>
      </c>
      <c r="H1131" s="157"/>
      <c r="I1131" s="158">
        <v>7.6194</v>
      </c>
      <c r="J1131" s="158">
        <v>46.7628</v>
      </c>
      <c r="K1131" s="157" t="s">
        <v>1781</v>
      </c>
      <c r="L1131" s="157" t="s">
        <v>648</v>
      </c>
      <c r="M1131" s="158">
        <v>2021.0</v>
      </c>
      <c r="N1131" s="157" t="s">
        <v>552</v>
      </c>
      <c r="O1131" s="157" t="s">
        <v>3538</v>
      </c>
      <c r="P1131" s="161" t="b">
        <v>1</v>
      </c>
      <c r="Q1131" s="158">
        <v>0.0029</v>
      </c>
      <c r="R1131" s="158">
        <v>3.81329E-4</v>
      </c>
      <c r="S1131" s="158">
        <v>0.002518671</v>
      </c>
      <c r="T1131" s="157" t="s">
        <v>552</v>
      </c>
      <c r="U1131" s="46" t="s">
        <v>651</v>
      </c>
      <c r="V1131" s="46" t="b">
        <v>0</v>
      </c>
      <c r="W1131" s="46">
        <v>0.95</v>
      </c>
      <c r="X1131" s="46">
        <v>0.0</v>
      </c>
      <c r="Y1131" s="46">
        <v>63.3066823516978</v>
      </c>
      <c r="Z1131" s="46" t="b">
        <v>0</v>
      </c>
      <c r="AA1131" s="46" t="b">
        <v>1</v>
      </c>
    </row>
    <row r="1132">
      <c r="A1132" s="157" t="s">
        <v>582</v>
      </c>
      <c r="B1132" s="158">
        <v>5.0</v>
      </c>
      <c r="C1132" s="157" t="s">
        <v>652</v>
      </c>
      <c r="D1132" s="157" t="s">
        <v>2502</v>
      </c>
      <c r="E1132" s="157" t="s">
        <v>2503</v>
      </c>
      <c r="F1132" s="157" t="s">
        <v>3563</v>
      </c>
      <c r="G1132" s="157" t="s">
        <v>3564</v>
      </c>
      <c r="H1132" s="157"/>
      <c r="I1132" s="158">
        <v>-17.723</v>
      </c>
      <c r="J1132" s="158">
        <v>65.67783</v>
      </c>
      <c r="K1132" s="157" t="s">
        <v>3565</v>
      </c>
      <c r="L1132" s="157" t="s">
        <v>648</v>
      </c>
      <c r="M1132" s="158">
        <v>2020.0</v>
      </c>
      <c r="N1132" s="157" t="s">
        <v>116</v>
      </c>
      <c r="O1132" s="157" t="s">
        <v>2507</v>
      </c>
      <c r="P1132" s="161" t="b">
        <v>1</v>
      </c>
      <c r="Q1132" s="158">
        <v>0.002026332</v>
      </c>
      <c r="R1132" s="158">
        <v>3.62877E-4</v>
      </c>
      <c r="S1132" s="158">
        <v>0.001663455</v>
      </c>
      <c r="T1132" s="157" t="s">
        <v>116</v>
      </c>
      <c r="U1132" s="46" t="s">
        <v>651</v>
      </c>
      <c r="V1132" s="46" t="b">
        <v>0</v>
      </c>
      <c r="W1132" s="46">
        <v>0.95</v>
      </c>
      <c r="X1132" s="46">
        <v>0.0</v>
      </c>
      <c r="Y1132" s="46" t="s">
        <v>640</v>
      </c>
      <c r="Z1132" s="46" t="b">
        <v>0</v>
      </c>
      <c r="AA1132" s="46" t="b">
        <v>0</v>
      </c>
    </row>
    <row r="1133">
      <c r="A1133" s="157" t="s">
        <v>564</v>
      </c>
      <c r="B1133" s="158">
        <v>8.0</v>
      </c>
      <c r="C1133" s="157" t="s">
        <v>1175</v>
      </c>
      <c r="D1133" s="157" t="s">
        <v>3533</v>
      </c>
      <c r="E1133" s="157" t="s">
        <v>3534</v>
      </c>
      <c r="F1133" s="157" t="s">
        <v>3566</v>
      </c>
      <c r="G1133" s="157" t="s">
        <v>3567</v>
      </c>
      <c r="H1133" s="157"/>
      <c r="I1133" s="158">
        <v>6.8469</v>
      </c>
      <c r="J1133" s="158">
        <v>46.7117</v>
      </c>
      <c r="K1133" s="157" t="s">
        <v>3568</v>
      </c>
      <c r="L1133" s="157" t="s">
        <v>648</v>
      </c>
      <c r="M1133" s="158">
        <v>2021.0</v>
      </c>
      <c r="N1133" s="157" t="s">
        <v>552</v>
      </c>
      <c r="O1133" s="157" t="s">
        <v>3538</v>
      </c>
      <c r="P1133" s="161" t="b">
        <v>1</v>
      </c>
      <c r="Q1133" s="158">
        <v>0.00255</v>
      </c>
      <c r="R1133" s="158">
        <v>3.35307E-4</v>
      </c>
      <c r="S1133" s="158">
        <v>0.002214693</v>
      </c>
      <c r="T1133" s="157" t="s">
        <v>552</v>
      </c>
      <c r="U1133" s="46" t="s">
        <v>651</v>
      </c>
      <c r="V1133" s="46" t="b">
        <v>0</v>
      </c>
      <c r="W1133" s="46">
        <v>0.95</v>
      </c>
      <c r="X1133" s="46">
        <v>0.0</v>
      </c>
      <c r="Y1133" s="46">
        <v>109.826085943969</v>
      </c>
      <c r="Z1133" s="46" t="b">
        <v>0</v>
      </c>
      <c r="AA1133" s="46" t="b">
        <v>0</v>
      </c>
    </row>
    <row r="1134">
      <c r="A1134" s="157" t="s">
        <v>564</v>
      </c>
      <c r="B1134" s="158">
        <v>2.0</v>
      </c>
      <c r="C1134" s="157" t="s">
        <v>916</v>
      </c>
      <c r="D1134" s="157" t="s">
        <v>3294</v>
      </c>
      <c r="E1134" s="157" t="s">
        <v>3295</v>
      </c>
      <c r="F1134" s="157" t="s">
        <v>3569</v>
      </c>
      <c r="G1134" s="157" t="s">
        <v>3540</v>
      </c>
      <c r="H1134" s="157"/>
      <c r="I1134" s="158">
        <v>7.5416</v>
      </c>
      <c r="J1134" s="158">
        <v>46.2819</v>
      </c>
      <c r="K1134" s="157" t="s">
        <v>3570</v>
      </c>
      <c r="L1134" s="157" t="s">
        <v>648</v>
      </c>
      <c r="M1134" s="158">
        <v>2021.0</v>
      </c>
      <c r="N1134" s="157" t="s">
        <v>549</v>
      </c>
      <c r="O1134" s="157" t="s">
        <v>1208</v>
      </c>
      <c r="P1134" s="161" t="b">
        <v>1</v>
      </c>
      <c r="Q1134" s="158">
        <v>0.00419</v>
      </c>
      <c r="R1134" s="158">
        <v>2.81399E-4</v>
      </c>
      <c r="S1134" s="158">
        <v>0.003908601</v>
      </c>
      <c r="T1134" s="157" t="s">
        <v>549</v>
      </c>
      <c r="U1134" s="46" t="s">
        <v>651</v>
      </c>
      <c r="V1134" s="46" t="b">
        <v>0</v>
      </c>
      <c r="W1134" s="46">
        <v>0.95</v>
      </c>
      <c r="X1134" s="46">
        <v>0.0</v>
      </c>
      <c r="Y1134" s="46">
        <v>114.200511377595</v>
      </c>
      <c r="Z1134" s="46" t="b">
        <v>0</v>
      </c>
      <c r="AA1134" s="46" t="b">
        <v>0</v>
      </c>
    </row>
    <row r="1135">
      <c r="A1135" s="157" t="s">
        <v>564</v>
      </c>
      <c r="B1135" s="158">
        <v>8.0</v>
      </c>
      <c r="C1135" s="157" t="s">
        <v>1175</v>
      </c>
      <c r="D1135" s="157" t="s">
        <v>3533</v>
      </c>
      <c r="E1135" s="157" t="s">
        <v>3534</v>
      </c>
      <c r="F1135" s="157" t="s">
        <v>3571</v>
      </c>
      <c r="G1135" s="157" t="s">
        <v>3536</v>
      </c>
      <c r="H1135" s="157"/>
      <c r="I1135" s="158">
        <v>6.6286</v>
      </c>
      <c r="J1135" s="158">
        <v>46.5442</v>
      </c>
      <c r="K1135" s="157" t="s">
        <v>3572</v>
      </c>
      <c r="L1135" s="157" t="s">
        <v>648</v>
      </c>
      <c r="M1135" s="158">
        <v>2021.0</v>
      </c>
      <c r="N1135" s="157" t="s">
        <v>552</v>
      </c>
      <c r="O1135" s="157" t="s">
        <v>3538</v>
      </c>
      <c r="P1135" s="161" t="b">
        <v>1</v>
      </c>
      <c r="Q1135" s="158">
        <v>0.00192</v>
      </c>
      <c r="R1135" s="158">
        <v>2.52466E-4</v>
      </c>
      <c r="S1135" s="158">
        <v>0.001667534</v>
      </c>
      <c r="T1135" s="157" t="s">
        <v>552</v>
      </c>
      <c r="U1135" s="46" t="s">
        <v>651</v>
      </c>
      <c r="V1135" s="46" t="b">
        <v>0</v>
      </c>
      <c r="W1135" s="46">
        <v>0.95</v>
      </c>
      <c r="X1135" s="46">
        <v>0.0</v>
      </c>
      <c r="Y1135" s="46">
        <v>134.163342684187</v>
      </c>
      <c r="Z1135" s="46" t="b">
        <v>0</v>
      </c>
      <c r="AA1135" s="46" t="b">
        <v>0</v>
      </c>
    </row>
    <row r="1136">
      <c r="A1136" s="157" t="s">
        <v>564</v>
      </c>
      <c r="B1136" s="158">
        <v>2.0</v>
      </c>
      <c r="C1136" s="157" t="s">
        <v>916</v>
      </c>
      <c r="D1136" s="157" t="s">
        <v>3294</v>
      </c>
      <c r="E1136" s="157" t="s">
        <v>3295</v>
      </c>
      <c r="F1136" s="157" t="s">
        <v>3573</v>
      </c>
      <c r="G1136" s="157" t="s">
        <v>3574</v>
      </c>
      <c r="H1136" s="157"/>
      <c r="I1136" s="158">
        <v>7.3608</v>
      </c>
      <c r="J1136" s="158">
        <v>47.3658</v>
      </c>
      <c r="K1136" s="157" t="s">
        <v>3575</v>
      </c>
      <c r="L1136" s="157" t="s">
        <v>648</v>
      </c>
      <c r="M1136" s="158">
        <v>2021.0</v>
      </c>
      <c r="N1136" s="157" t="s">
        <v>549</v>
      </c>
      <c r="O1136" s="157" t="s">
        <v>1208</v>
      </c>
      <c r="P1136" s="161" t="b">
        <v>1</v>
      </c>
      <c r="Q1136" s="158">
        <v>0.00198</v>
      </c>
      <c r="R1136" s="158">
        <v>1.32976E-4</v>
      </c>
      <c r="S1136" s="158">
        <v>0.001847024</v>
      </c>
      <c r="T1136" s="157" t="s">
        <v>549</v>
      </c>
      <c r="U1136" s="46" t="s">
        <v>651</v>
      </c>
      <c r="V1136" s="46" t="b">
        <v>0</v>
      </c>
      <c r="W1136" s="46">
        <v>0.95</v>
      </c>
      <c r="X1136" s="46">
        <v>0.0</v>
      </c>
      <c r="Y1136" s="46">
        <v>52.5554956965809</v>
      </c>
      <c r="Z1136" s="46" t="b">
        <v>0</v>
      </c>
      <c r="AA1136" s="46" t="b">
        <v>1</v>
      </c>
    </row>
    <row r="1137">
      <c r="A1137" s="157" t="s">
        <v>556</v>
      </c>
      <c r="B1137" s="158">
        <v>2.0</v>
      </c>
      <c r="C1137" s="157" t="s">
        <v>916</v>
      </c>
      <c r="D1137" s="157" t="s">
        <v>3487</v>
      </c>
      <c r="E1137" s="157" t="s">
        <v>3488</v>
      </c>
      <c r="F1137" s="157" t="s">
        <v>3576</v>
      </c>
      <c r="G1137" s="157" t="s">
        <v>3577</v>
      </c>
      <c r="H1137" s="157"/>
      <c r="I1137" s="158">
        <v>6.05194</v>
      </c>
      <c r="J1137" s="158">
        <v>48.89616</v>
      </c>
      <c r="K1137" s="157" t="s">
        <v>3578</v>
      </c>
      <c r="L1137" s="157" t="s">
        <v>648</v>
      </c>
      <c r="M1137" s="158">
        <v>2022.0</v>
      </c>
      <c r="N1137" s="157" t="s">
        <v>549</v>
      </c>
      <c r="O1137" s="157" t="s">
        <v>3491</v>
      </c>
      <c r="P1137" s="161" t="b">
        <v>1</v>
      </c>
      <c r="Q1137" s="158">
        <v>0.438</v>
      </c>
      <c r="R1137" s="158">
        <v>1.25537E-4</v>
      </c>
      <c r="S1137" s="158">
        <v>0.437874463</v>
      </c>
      <c r="T1137" s="157" t="s">
        <v>549</v>
      </c>
      <c r="U1137" s="46" t="s">
        <v>651</v>
      </c>
      <c r="V1137" s="46" t="b">
        <v>1</v>
      </c>
      <c r="W1137" s="46">
        <v>0.95</v>
      </c>
      <c r="X1137" s="46">
        <v>1.19260149999999E-4</v>
      </c>
      <c r="Y1137" s="46">
        <v>62.8765127325729</v>
      </c>
      <c r="Z1137" s="46" t="b">
        <v>0</v>
      </c>
      <c r="AA1137" s="46" t="b">
        <v>1</v>
      </c>
    </row>
    <row r="1138">
      <c r="A1138" s="157" t="s">
        <v>559</v>
      </c>
      <c r="B1138" s="158">
        <v>2.0</v>
      </c>
      <c r="C1138" s="157" t="s">
        <v>916</v>
      </c>
      <c r="D1138" s="157" t="s">
        <v>3487</v>
      </c>
      <c r="E1138" s="157" t="s">
        <v>3488</v>
      </c>
      <c r="F1138" s="157" t="s">
        <v>3579</v>
      </c>
      <c r="G1138" s="157" t="s">
        <v>3580</v>
      </c>
      <c r="H1138" s="157"/>
      <c r="I1138" s="158">
        <v>9.5969</v>
      </c>
      <c r="J1138" s="158">
        <v>45.6425</v>
      </c>
      <c r="K1138" s="157" t="s">
        <v>1437</v>
      </c>
      <c r="L1138" s="157" t="s">
        <v>648</v>
      </c>
      <c r="M1138" s="158">
        <v>2022.0</v>
      </c>
      <c r="N1138" s="157" t="s">
        <v>549</v>
      </c>
      <c r="O1138" s="157" t="s">
        <v>3491</v>
      </c>
      <c r="P1138" s="161" t="b">
        <v>1</v>
      </c>
      <c r="Q1138" s="158">
        <v>0.3464989</v>
      </c>
      <c r="R1138" s="163">
        <v>9.93118E-5</v>
      </c>
      <c r="S1138" s="158">
        <v>0.346399588</v>
      </c>
      <c r="T1138" s="157" t="s">
        <v>549</v>
      </c>
      <c r="U1138" s="46" t="s">
        <v>651</v>
      </c>
      <c r="V1138" s="46" t="b">
        <v>1</v>
      </c>
      <c r="W1138" s="46">
        <v>0.95</v>
      </c>
      <c r="X1138" s="164">
        <v>9.4335E-5</v>
      </c>
      <c r="Y1138" s="46">
        <v>19.2509838914771</v>
      </c>
      <c r="Z1138" s="46" t="b">
        <v>1</v>
      </c>
      <c r="AA1138" s="46" t="b">
        <v>1</v>
      </c>
    </row>
    <row r="1139">
      <c r="A1139" s="157" t="s">
        <v>559</v>
      </c>
      <c r="B1139" s="158">
        <v>2.0</v>
      </c>
      <c r="C1139" s="157" t="s">
        <v>916</v>
      </c>
      <c r="D1139" s="157" t="s">
        <v>3487</v>
      </c>
      <c r="E1139" s="157" t="s">
        <v>3488</v>
      </c>
      <c r="F1139" s="157" t="s">
        <v>3581</v>
      </c>
      <c r="G1139" s="157" t="s">
        <v>3582</v>
      </c>
      <c r="H1139" s="157"/>
      <c r="I1139" s="158">
        <v>12.6667</v>
      </c>
      <c r="J1139" s="158">
        <v>42.5667</v>
      </c>
      <c r="K1139" s="157" t="s">
        <v>1644</v>
      </c>
      <c r="L1139" s="157" t="s">
        <v>648</v>
      </c>
      <c r="M1139" s="158">
        <v>2022.0</v>
      </c>
      <c r="N1139" s="157" t="s">
        <v>549</v>
      </c>
      <c r="O1139" s="157" t="s">
        <v>3491</v>
      </c>
      <c r="P1139" s="161" t="b">
        <v>1</v>
      </c>
      <c r="Q1139" s="158">
        <v>0.3464777</v>
      </c>
      <c r="R1139" s="163">
        <v>9.93057E-5</v>
      </c>
      <c r="S1139" s="158">
        <v>0.346378394</v>
      </c>
      <c r="T1139" s="157" t="s">
        <v>549</v>
      </c>
      <c r="U1139" s="46" t="s">
        <v>651</v>
      </c>
      <c r="V1139" s="46" t="b">
        <v>1</v>
      </c>
      <c r="W1139" s="46">
        <v>0.95</v>
      </c>
      <c r="X1139" s="164">
        <v>9.4335E-5</v>
      </c>
      <c r="Y1139" s="46" t="s">
        <v>640</v>
      </c>
      <c r="Z1139" s="46" t="b">
        <v>0</v>
      </c>
      <c r="AA1139" s="46" t="b">
        <v>0</v>
      </c>
    </row>
    <row r="1140">
      <c r="A1140" s="157" t="s">
        <v>566</v>
      </c>
      <c r="B1140" s="158">
        <v>2.0</v>
      </c>
      <c r="C1140" s="157" t="s">
        <v>916</v>
      </c>
      <c r="D1140" s="157" t="s">
        <v>3487</v>
      </c>
      <c r="E1140" s="157" t="s">
        <v>3488</v>
      </c>
      <c r="F1140" s="157" t="s">
        <v>3583</v>
      </c>
      <c r="G1140" s="157" t="s">
        <v>3584</v>
      </c>
      <c r="H1140" s="157"/>
      <c r="I1140" s="158">
        <v>18.83472252</v>
      </c>
      <c r="J1140" s="158">
        <v>50.14944458</v>
      </c>
      <c r="K1140" s="157" t="s">
        <v>3585</v>
      </c>
      <c r="L1140" s="157" t="s">
        <v>648</v>
      </c>
      <c r="M1140" s="158">
        <v>2022.0</v>
      </c>
      <c r="N1140" s="157" t="s">
        <v>549</v>
      </c>
      <c r="O1140" s="157" t="s">
        <v>3491</v>
      </c>
      <c r="P1140" s="161" t="b">
        <v>1</v>
      </c>
      <c r="Q1140" s="158">
        <v>0.262</v>
      </c>
      <c r="R1140" s="163">
        <v>7.50931E-5</v>
      </c>
      <c r="S1140" s="158">
        <v>0.261924907</v>
      </c>
      <c r="T1140" s="157" t="s">
        <v>549</v>
      </c>
      <c r="U1140" s="46" t="s">
        <v>651</v>
      </c>
      <c r="V1140" s="46" t="b">
        <v>1</v>
      </c>
      <c r="W1140" s="46">
        <v>0.95</v>
      </c>
      <c r="X1140" s="164">
        <v>7.13449999999999E-5</v>
      </c>
      <c r="Y1140" s="46" t="s">
        <v>640</v>
      </c>
      <c r="Z1140" s="46" t="b">
        <v>0</v>
      </c>
      <c r="AA1140" s="46" t="b">
        <v>0</v>
      </c>
    </row>
    <row r="1141">
      <c r="A1141" s="157" t="s">
        <v>559</v>
      </c>
      <c r="B1141" s="158">
        <v>2.0</v>
      </c>
      <c r="C1141" s="157" t="s">
        <v>916</v>
      </c>
      <c r="D1141" s="157" t="s">
        <v>3487</v>
      </c>
      <c r="E1141" s="157" t="s">
        <v>3488</v>
      </c>
      <c r="F1141" s="157" t="s">
        <v>3586</v>
      </c>
      <c r="G1141" s="157" t="s">
        <v>3587</v>
      </c>
      <c r="H1141" s="157"/>
      <c r="I1141" s="158">
        <v>13.2534</v>
      </c>
      <c r="J1141" s="158">
        <v>46.0067</v>
      </c>
      <c r="K1141" s="157" t="s">
        <v>3588</v>
      </c>
      <c r="L1141" s="157" t="s">
        <v>648</v>
      </c>
      <c r="M1141" s="158">
        <v>2022.0</v>
      </c>
      <c r="N1141" s="157" t="s">
        <v>549</v>
      </c>
      <c r="O1141" s="157" t="s">
        <v>3491</v>
      </c>
      <c r="P1141" s="161" t="b">
        <v>1</v>
      </c>
      <c r="Q1141" s="158">
        <v>0.2389565</v>
      </c>
      <c r="R1141" s="163">
        <v>6.84885E-5</v>
      </c>
      <c r="S1141" s="158">
        <v>0.238888011</v>
      </c>
      <c r="T1141" s="157" t="s">
        <v>549</v>
      </c>
      <c r="U1141" s="46" t="s">
        <v>651</v>
      </c>
      <c r="V1141" s="46" t="b">
        <v>1</v>
      </c>
      <c r="W1141" s="46">
        <v>0.95</v>
      </c>
      <c r="X1141" s="164">
        <v>6.5075E-5</v>
      </c>
      <c r="Y1141" s="46">
        <v>96.1357062787023</v>
      </c>
      <c r="Z1141" s="46" t="b">
        <v>0</v>
      </c>
      <c r="AA1141" s="46" t="b">
        <v>1</v>
      </c>
    </row>
    <row r="1142">
      <c r="A1142" s="157" t="s">
        <v>556</v>
      </c>
      <c r="B1142" s="158">
        <v>2.0</v>
      </c>
      <c r="C1142" s="157" t="s">
        <v>916</v>
      </c>
      <c r="D1142" s="157" t="s">
        <v>3487</v>
      </c>
      <c r="E1142" s="157" t="s">
        <v>3488</v>
      </c>
      <c r="F1142" s="157" t="s">
        <v>3589</v>
      </c>
      <c r="G1142" s="157" t="s">
        <v>3590</v>
      </c>
      <c r="H1142" s="157"/>
      <c r="I1142" s="158">
        <v>4.27594</v>
      </c>
      <c r="J1142" s="158">
        <v>48.70933</v>
      </c>
      <c r="K1142" s="157" t="s">
        <v>3591</v>
      </c>
      <c r="L1142" s="157" t="s">
        <v>648</v>
      </c>
      <c r="M1142" s="158">
        <v>2022.0</v>
      </c>
      <c r="N1142" s="157" t="s">
        <v>549</v>
      </c>
      <c r="O1142" s="157" t="s">
        <v>3491</v>
      </c>
      <c r="P1142" s="161" t="b">
        <v>1</v>
      </c>
      <c r="Q1142" s="158">
        <v>0.21</v>
      </c>
      <c r="R1142" s="163">
        <v>6.01892E-5</v>
      </c>
      <c r="S1142" s="158">
        <v>0.209939811</v>
      </c>
      <c r="T1142" s="157" t="s">
        <v>549</v>
      </c>
      <c r="U1142" s="46" t="s">
        <v>651</v>
      </c>
      <c r="V1142" s="46" t="b">
        <v>1</v>
      </c>
      <c r="W1142" s="46">
        <v>0.95</v>
      </c>
      <c r="X1142" s="164">
        <v>5.719E-5</v>
      </c>
      <c r="Y1142" s="46">
        <v>101.711059685194</v>
      </c>
      <c r="Z1142" s="46" t="b">
        <v>0</v>
      </c>
      <c r="AA1142" s="46" t="b">
        <v>0</v>
      </c>
    </row>
    <row r="1143">
      <c r="A1143" s="157" t="s">
        <v>575</v>
      </c>
      <c r="B1143" s="158">
        <v>2.0</v>
      </c>
      <c r="C1143" s="157" t="s">
        <v>916</v>
      </c>
      <c r="D1143" s="157" t="s">
        <v>3487</v>
      </c>
      <c r="E1143" s="157" t="s">
        <v>3488</v>
      </c>
      <c r="F1143" s="157" t="s">
        <v>3592</v>
      </c>
      <c r="G1143" s="157" t="s">
        <v>3593</v>
      </c>
      <c r="H1143" s="157"/>
      <c r="I1143" s="158">
        <v>5.95579</v>
      </c>
      <c r="J1143" s="158">
        <v>49.5019</v>
      </c>
      <c r="K1143" s="157" t="s">
        <v>3594</v>
      </c>
      <c r="L1143" s="157" t="s">
        <v>648</v>
      </c>
      <c r="M1143" s="158">
        <v>2021.0</v>
      </c>
      <c r="N1143" s="157" t="s">
        <v>549</v>
      </c>
      <c r="O1143" s="157" t="s">
        <v>3491</v>
      </c>
      <c r="P1143" s="161" t="b">
        <v>1</v>
      </c>
      <c r="Q1143" s="158">
        <v>0.182</v>
      </c>
      <c r="R1143" s="163">
        <v>5.21639E-5</v>
      </c>
      <c r="S1143" s="158">
        <v>0.181947836</v>
      </c>
      <c r="T1143" s="157" t="s">
        <v>549</v>
      </c>
      <c r="U1143" s="46" t="s">
        <v>651</v>
      </c>
      <c r="V1143" s="46" t="b">
        <v>1</v>
      </c>
      <c r="W1143" s="46">
        <v>0.95</v>
      </c>
      <c r="X1143" s="164">
        <v>4.959E-5</v>
      </c>
      <c r="Y1143" s="46">
        <v>74.2846634848243</v>
      </c>
      <c r="Z1143" s="46" t="b">
        <v>0</v>
      </c>
      <c r="AA1143" s="46" t="b">
        <v>1</v>
      </c>
    </row>
    <row r="1144">
      <c r="A1144" s="157" t="s">
        <v>561</v>
      </c>
      <c r="B1144" s="158">
        <v>2.0</v>
      </c>
      <c r="C1144" s="157" t="s">
        <v>916</v>
      </c>
      <c r="D1144" s="157" t="s">
        <v>3487</v>
      </c>
      <c r="E1144" s="157" t="s">
        <v>3488</v>
      </c>
      <c r="F1144" s="157" t="s">
        <v>3595</v>
      </c>
      <c r="G1144" s="157" t="s">
        <v>3596</v>
      </c>
      <c r="H1144" s="157"/>
      <c r="I1144" s="158">
        <v>-5.421245</v>
      </c>
      <c r="J1144" s="158">
        <v>36.183927</v>
      </c>
      <c r="K1144" s="157" t="s">
        <v>1337</v>
      </c>
      <c r="L1144" s="157" t="s">
        <v>648</v>
      </c>
      <c r="M1144" s="158">
        <v>2022.0</v>
      </c>
      <c r="N1144" s="157" t="s">
        <v>549</v>
      </c>
      <c r="O1144" s="157" t="s">
        <v>3491</v>
      </c>
      <c r="P1144" s="161" t="b">
        <v>1</v>
      </c>
      <c r="Q1144" s="158">
        <v>0.182</v>
      </c>
      <c r="R1144" s="163">
        <v>5.21639E-5</v>
      </c>
      <c r="S1144" s="158">
        <v>0.181947836</v>
      </c>
      <c r="T1144" s="157" t="s">
        <v>549</v>
      </c>
      <c r="U1144" s="46" t="s">
        <v>651</v>
      </c>
      <c r="V1144" s="46" t="b">
        <v>1</v>
      </c>
      <c r="W1144" s="46">
        <v>0.95</v>
      </c>
      <c r="X1144" s="164">
        <v>4.959E-5</v>
      </c>
      <c r="Y1144" s="46" t="s">
        <v>640</v>
      </c>
      <c r="Z1144" s="46" t="b">
        <v>0</v>
      </c>
      <c r="AA1144" s="46" t="b">
        <v>0</v>
      </c>
    </row>
    <row r="1145">
      <c r="A1145" s="157" t="s">
        <v>559</v>
      </c>
      <c r="B1145" s="158">
        <v>2.0</v>
      </c>
      <c r="C1145" s="157" t="s">
        <v>916</v>
      </c>
      <c r="D1145" s="157" t="s">
        <v>3487</v>
      </c>
      <c r="E1145" s="157" t="s">
        <v>3488</v>
      </c>
      <c r="F1145" s="157" t="s">
        <v>3597</v>
      </c>
      <c r="G1145" s="157" t="s">
        <v>3598</v>
      </c>
      <c r="H1145" s="157"/>
      <c r="I1145" s="158">
        <v>13.0778</v>
      </c>
      <c r="J1145" s="158">
        <v>46.2306</v>
      </c>
      <c r="K1145" s="157" t="s">
        <v>3599</v>
      </c>
      <c r="L1145" s="157" t="s">
        <v>648</v>
      </c>
      <c r="M1145" s="158">
        <v>2022.0</v>
      </c>
      <c r="N1145" s="157" t="s">
        <v>549</v>
      </c>
      <c r="O1145" s="157" t="s">
        <v>3491</v>
      </c>
      <c r="P1145" s="161" t="b">
        <v>1</v>
      </c>
      <c r="Q1145" s="158">
        <v>0.173952</v>
      </c>
      <c r="R1145" s="163">
        <v>4.98573E-5</v>
      </c>
      <c r="S1145" s="158">
        <v>0.173902143</v>
      </c>
      <c r="T1145" s="157" t="s">
        <v>549</v>
      </c>
      <c r="U1145" s="46" t="s">
        <v>651</v>
      </c>
      <c r="V1145" s="46" t="b">
        <v>1</v>
      </c>
      <c r="W1145" s="46">
        <v>0.95</v>
      </c>
      <c r="X1145" s="164">
        <v>4.7405E-5</v>
      </c>
      <c r="Y1145" s="46">
        <v>105.417146677652</v>
      </c>
      <c r="Z1145" s="46" t="b">
        <v>0</v>
      </c>
      <c r="AA1145" s="46" t="b">
        <v>0</v>
      </c>
    </row>
    <row r="1146">
      <c r="A1146" s="157" t="s">
        <v>575</v>
      </c>
      <c r="B1146" s="158">
        <v>2.0</v>
      </c>
      <c r="C1146" s="157" t="s">
        <v>916</v>
      </c>
      <c r="D1146" s="157" t="s">
        <v>3487</v>
      </c>
      <c r="E1146" s="157" t="s">
        <v>3488</v>
      </c>
      <c r="F1146" s="157" t="s">
        <v>3600</v>
      </c>
      <c r="G1146" s="157" t="s">
        <v>3593</v>
      </c>
      <c r="H1146" s="157"/>
      <c r="I1146" s="158">
        <v>5.89753</v>
      </c>
      <c r="J1146" s="158">
        <v>49.52597</v>
      </c>
      <c r="K1146" s="157" t="s">
        <v>3594</v>
      </c>
      <c r="L1146" s="157" t="s">
        <v>648</v>
      </c>
      <c r="M1146" s="158">
        <v>2021.0</v>
      </c>
      <c r="N1146" s="157" t="s">
        <v>549</v>
      </c>
      <c r="O1146" s="157" t="s">
        <v>3491</v>
      </c>
      <c r="P1146" s="161" t="b">
        <v>1</v>
      </c>
      <c r="Q1146" s="158">
        <v>0.159</v>
      </c>
      <c r="R1146" s="163">
        <v>4.55718E-5</v>
      </c>
      <c r="S1146" s="158">
        <v>0.158954428</v>
      </c>
      <c r="T1146" s="157" t="s">
        <v>549</v>
      </c>
      <c r="U1146" s="46" t="s">
        <v>651</v>
      </c>
      <c r="V1146" s="46" t="b">
        <v>1</v>
      </c>
      <c r="W1146" s="46">
        <v>0.95</v>
      </c>
      <c r="X1146" s="164">
        <v>4.332E-5</v>
      </c>
      <c r="Y1146" s="46">
        <v>79.2816820112575</v>
      </c>
      <c r="Z1146" s="46" t="b">
        <v>0</v>
      </c>
      <c r="AA1146" s="46" t="b">
        <v>1</v>
      </c>
    </row>
    <row r="1147">
      <c r="A1147" s="157" t="s">
        <v>566</v>
      </c>
      <c r="B1147" s="158">
        <v>2.0</v>
      </c>
      <c r="C1147" s="157" t="s">
        <v>916</v>
      </c>
      <c r="D1147" s="157" t="s">
        <v>3487</v>
      </c>
      <c r="E1147" s="157" t="s">
        <v>3488</v>
      </c>
      <c r="F1147" s="157" t="s">
        <v>3601</v>
      </c>
      <c r="G1147" s="157" t="s">
        <v>3602</v>
      </c>
      <c r="H1147" s="157"/>
      <c r="I1147" s="158">
        <v>20.09319305</v>
      </c>
      <c r="J1147" s="158">
        <v>50.08074188</v>
      </c>
      <c r="K1147" s="157" t="s">
        <v>1303</v>
      </c>
      <c r="L1147" s="157" t="s">
        <v>648</v>
      </c>
      <c r="M1147" s="158">
        <v>2022.0</v>
      </c>
      <c r="N1147" s="157" t="s">
        <v>549</v>
      </c>
      <c r="O1147" s="157" t="s">
        <v>3491</v>
      </c>
      <c r="P1147" s="161" t="b">
        <v>1</v>
      </c>
      <c r="Q1147" s="158">
        <v>0.159</v>
      </c>
      <c r="R1147" s="163">
        <v>4.55718E-5</v>
      </c>
      <c r="S1147" s="158">
        <v>0.158954428</v>
      </c>
      <c r="T1147" s="157" t="s">
        <v>549</v>
      </c>
      <c r="U1147" s="46" t="s">
        <v>651</v>
      </c>
      <c r="V1147" s="46" t="b">
        <v>1</v>
      </c>
      <c r="W1147" s="46">
        <v>0.95</v>
      </c>
      <c r="X1147" s="164">
        <v>4.332E-5</v>
      </c>
      <c r="Y1147" s="46" t="s">
        <v>640</v>
      </c>
      <c r="Z1147" s="46" t="b">
        <v>0</v>
      </c>
      <c r="AA1147" s="46" t="b">
        <v>0</v>
      </c>
    </row>
    <row r="1148">
      <c r="A1148" s="157" t="s">
        <v>562</v>
      </c>
      <c r="B1148" s="158">
        <v>2.0</v>
      </c>
      <c r="C1148" s="157" t="s">
        <v>916</v>
      </c>
      <c r="D1148" s="157" t="s">
        <v>3487</v>
      </c>
      <c r="E1148" s="157" t="s">
        <v>3488</v>
      </c>
      <c r="F1148" s="157" t="s">
        <v>3603</v>
      </c>
      <c r="G1148" s="157" t="s">
        <v>3604</v>
      </c>
      <c r="H1148" s="157"/>
      <c r="I1148" s="158">
        <v>4.5354776</v>
      </c>
      <c r="J1148" s="158">
        <v>50.415962</v>
      </c>
      <c r="K1148" s="157" t="s">
        <v>3605</v>
      </c>
      <c r="L1148" s="157" t="s">
        <v>648</v>
      </c>
      <c r="M1148" s="158">
        <v>2022.0</v>
      </c>
      <c r="N1148" s="157" t="s">
        <v>549</v>
      </c>
      <c r="O1148" s="157" t="s">
        <v>3491</v>
      </c>
      <c r="P1148" s="161" t="b">
        <v>1</v>
      </c>
      <c r="Q1148" s="158">
        <v>0.15</v>
      </c>
      <c r="R1148" s="163">
        <v>4.29923E-5</v>
      </c>
      <c r="S1148" s="158">
        <v>0.149957008</v>
      </c>
      <c r="T1148" s="157" t="s">
        <v>549</v>
      </c>
      <c r="U1148" s="46" t="s">
        <v>651</v>
      </c>
      <c r="V1148" s="46" t="b">
        <v>1</v>
      </c>
      <c r="W1148" s="46">
        <v>0.95</v>
      </c>
      <c r="X1148" s="164">
        <v>4.085E-5</v>
      </c>
      <c r="Y1148" s="46">
        <v>11.4615161548576</v>
      </c>
      <c r="Z1148" s="46" t="b">
        <v>1</v>
      </c>
      <c r="AA1148" s="46" t="b">
        <v>1</v>
      </c>
    </row>
    <row r="1149">
      <c r="A1149" s="157" t="s">
        <v>562</v>
      </c>
      <c r="B1149" s="158">
        <v>2.0</v>
      </c>
      <c r="C1149" s="157" t="s">
        <v>916</v>
      </c>
      <c r="D1149" s="157" t="s">
        <v>3487</v>
      </c>
      <c r="E1149" s="157" t="s">
        <v>3488</v>
      </c>
      <c r="F1149" s="162" t="s">
        <v>3606</v>
      </c>
      <c r="G1149" s="157" t="s">
        <v>3607</v>
      </c>
      <c r="H1149" s="157"/>
      <c r="I1149" s="158">
        <v>5.50021</v>
      </c>
      <c r="J1149" s="158">
        <v>50.93828</v>
      </c>
      <c r="K1149" s="157" t="s">
        <v>3608</v>
      </c>
      <c r="L1149" s="157" t="s">
        <v>648</v>
      </c>
      <c r="M1149" s="158">
        <v>2022.0</v>
      </c>
      <c r="N1149" s="157" t="s">
        <v>549</v>
      </c>
      <c r="O1149" s="157" t="s">
        <v>3491</v>
      </c>
      <c r="P1149" s="161" t="b">
        <v>1</v>
      </c>
      <c r="Q1149" s="158">
        <v>0.139</v>
      </c>
      <c r="R1149" s="163">
        <v>3.98395E-5</v>
      </c>
      <c r="S1149" s="158">
        <v>0.138960161</v>
      </c>
      <c r="T1149" s="157" t="s">
        <v>549</v>
      </c>
      <c r="U1149" s="46" t="s">
        <v>651</v>
      </c>
      <c r="V1149" s="46" t="b">
        <v>1</v>
      </c>
      <c r="W1149" s="46">
        <v>0.95</v>
      </c>
      <c r="X1149" s="164">
        <v>3.781E-5</v>
      </c>
      <c r="Y1149" s="46">
        <v>6.96482574496083</v>
      </c>
      <c r="Z1149" s="46" t="b">
        <v>1</v>
      </c>
      <c r="AA1149" s="46" t="b">
        <v>1</v>
      </c>
    </row>
    <row r="1150">
      <c r="A1150" s="157" t="s">
        <v>561</v>
      </c>
      <c r="B1150" s="158">
        <v>2.0</v>
      </c>
      <c r="C1150" s="157" t="s">
        <v>916</v>
      </c>
      <c r="D1150" s="157" t="s">
        <v>3487</v>
      </c>
      <c r="E1150" s="157" t="s">
        <v>3488</v>
      </c>
      <c r="F1150" s="157" t="s">
        <v>3609</v>
      </c>
      <c r="G1150" s="157" t="s">
        <v>3610</v>
      </c>
      <c r="H1150" s="157"/>
      <c r="I1150" s="158">
        <v>1.979523</v>
      </c>
      <c r="J1150" s="158">
        <v>41.457531</v>
      </c>
      <c r="K1150" s="157" t="s">
        <v>3611</v>
      </c>
      <c r="L1150" s="157" t="s">
        <v>648</v>
      </c>
      <c r="M1150" s="158">
        <v>2022.0</v>
      </c>
      <c r="N1150" s="157" t="s">
        <v>549</v>
      </c>
      <c r="O1150" s="157" t="s">
        <v>3491</v>
      </c>
      <c r="P1150" s="161" t="b">
        <v>1</v>
      </c>
      <c r="Q1150" s="158">
        <v>0.13</v>
      </c>
      <c r="R1150" s="163">
        <v>3.726E-5</v>
      </c>
      <c r="S1150" s="158">
        <v>0.12996274</v>
      </c>
      <c r="T1150" s="157" t="s">
        <v>549</v>
      </c>
      <c r="U1150" s="46" t="s">
        <v>651</v>
      </c>
      <c r="V1150" s="46" t="b">
        <v>1</v>
      </c>
      <c r="W1150" s="46">
        <v>0.95</v>
      </c>
      <c r="X1150" s="164">
        <v>3.54349999999999E-5</v>
      </c>
      <c r="Y1150" s="46" t="s">
        <v>640</v>
      </c>
      <c r="Z1150" s="46" t="b">
        <v>0</v>
      </c>
      <c r="AA1150" s="46" t="b">
        <v>0</v>
      </c>
    </row>
    <row r="1151">
      <c r="A1151" s="157" t="s">
        <v>582</v>
      </c>
      <c r="B1151" s="158">
        <v>2.0</v>
      </c>
      <c r="C1151" s="157" t="s">
        <v>916</v>
      </c>
      <c r="D1151" s="157" t="s">
        <v>1203</v>
      </c>
      <c r="E1151" s="157" t="s">
        <v>1204</v>
      </c>
      <c r="F1151" s="157" t="s">
        <v>3612</v>
      </c>
      <c r="G1151" s="157" t="s">
        <v>3613</v>
      </c>
      <c r="H1151" s="157"/>
      <c r="I1151" s="158">
        <v>-14.099652</v>
      </c>
      <c r="J1151" s="158">
        <v>65.033756</v>
      </c>
      <c r="K1151" s="157" t="s">
        <v>3614</v>
      </c>
      <c r="L1151" s="157" t="s">
        <v>648</v>
      </c>
      <c r="M1151" s="158">
        <v>2020.0</v>
      </c>
      <c r="N1151" s="157" t="s">
        <v>549</v>
      </c>
      <c r="O1151" s="157" t="s">
        <v>1208</v>
      </c>
      <c r="P1151" s="161" t="b">
        <v>1</v>
      </c>
      <c r="Q1151" s="158">
        <v>5.28E-4</v>
      </c>
      <c r="R1151" s="163">
        <v>3.54603E-5</v>
      </c>
      <c r="S1151" s="158">
        <v>4.9254E-4</v>
      </c>
      <c r="T1151" s="157" t="s">
        <v>549</v>
      </c>
      <c r="U1151" s="46" t="s">
        <v>651</v>
      </c>
      <c r="V1151" s="46" t="b">
        <v>0</v>
      </c>
      <c r="W1151" s="46">
        <v>0.95</v>
      </c>
      <c r="X1151" s="46">
        <v>0.0</v>
      </c>
      <c r="Y1151" s="46" t="s">
        <v>640</v>
      </c>
      <c r="Z1151" s="46" t="b">
        <v>0</v>
      </c>
      <c r="AA1151" s="46" t="b">
        <v>0</v>
      </c>
    </row>
    <row r="1152">
      <c r="A1152" s="157" t="s">
        <v>558</v>
      </c>
      <c r="B1152" s="158">
        <v>2.0</v>
      </c>
      <c r="C1152" s="157" t="s">
        <v>916</v>
      </c>
      <c r="D1152" s="157" t="s">
        <v>3487</v>
      </c>
      <c r="E1152" s="157" t="s">
        <v>3488</v>
      </c>
      <c r="F1152" s="157" t="s">
        <v>3615</v>
      </c>
      <c r="G1152" s="157" t="s">
        <v>3616</v>
      </c>
      <c r="H1152" s="157"/>
      <c r="I1152" s="158">
        <v>-9.082164</v>
      </c>
      <c r="J1152" s="158">
        <v>38.629948</v>
      </c>
      <c r="K1152" s="157" t="s">
        <v>3617</v>
      </c>
      <c r="L1152" s="157" t="s">
        <v>648</v>
      </c>
      <c r="M1152" s="158">
        <v>2020.0</v>
      </c>
      <c r="N1152" s="157" t="s">
        <v>549</v>
      </c>
      <c r="O1152" s="157" t="s">
        <v>3491</v>
      </c>
      <c r="P1152" s="161" t="b">
        <v>1</v>
      </c>
      <c r="Q1152" s="158">
        <v>0.103</v>
      </c>
      <c r="R1152" s="163">
        <v>2.95214E-5</v>
      </c>
      <c r="S1152" s="158">
        <v>0.102970479</v>
      </c>
      <c r="T1152" s="157" t="s">
        <v>549</v>
      </c>
      <c r="U1152" s="46" t="s">
        <v>651</v>
      </c>
      <c r="V1152" s="46" t="b">
        <v>1</v>
      </c>
      <c r="W1152" s="46">
        <v>0.95</v>
      </c>
      <c r="X1152" s="164">
        <v>2.80249999999999E-5</v>
      </c>
      <c r="Y1152" s="46" t="s">
        <v>640</v>
      </c>
      <c r="Z1152" s="46" t="b">
        <v>0</v>
      </c>
      <c r="AA1152" s="46" t="b">
        <v>0</v>
      </c>
    </row>
    <row r="1153">
      <c r="A1153" s="157" t="s">
        <v>582</v>
      </c>
      <c r="B1153" s="158">
        <v>2.0</v>
      </c>
      <c r="C1153" s="157" t="s">
        <v>916</v>
      </c>
      <c r="D1153" s="157" t="s">
        <v>3294</v>
      </c>
      <c r="E1153" s="157" t="s">
        <v>3295</v>
      </c>
      <c r="F1153" s="157" t="s">
        <v>3618</v>
      </c>
      <c r="G1153" s="157" t="s">
        <v>3619</v>
      </c>
      <c r="H1153" s="157"/>
      <c r="I1153" s="158">
        <v>-21.785483</v>
      </c>
      <c r="J1153" s="158">
        <v>64.357596</v>
      </c>
      <c r="K1153" s="157" t="s">
        <v>2317</v>
      </c>
      <c r="L1153" s="157" t="s">
        <v>648</v>
      </c>
      <c r="M1153" s="158">
        <v>2020.0</v>
      </c>
      <c r="N1153" s="157" t="s">
        <v>549</v>
      </c>
      <c r="O1153" s="157" t="s">
        <v>1208</v>
      </c>
      <c r="P1153" s="161" t="b">
        <v>1</v>
      </c>
      <c r="Q1153" s="158">
        <v>3.58E-4</v>
      </c>
      <c r="R1153" s="163">
        <v>2.40431E-5</v>
      </c>
      <c r="S1153" s="158">
        <v>3.33957E-4</v>
      </c>
      <c r="T1153" s="157" t="s">
        <v>549</v>
      </c>
      <c r="U1153" s="46" t="s">
        <v>651</v>
      </c>
      <c r="V1153" s="46" t="b">
        <v>0</v>
      </c>
      <c r="W1153" s="46">
        <v>0.95</v>
      </c>
      <c r="X1153" s="46">
        <v>0.0</v>
      </c>
      <c r="Y1153" s="46" t="s">
        <v>640</v>
      </c>
      <c r="Z1153" s="46" t="b">
        <v>0</v>
      </c>
      <c r="AA1153" s="46" t="b">
        <v>0</v>
      </c>
    </row>
    <row r="1154">
      <c r="A1154" s="157" t="s">
        <v>565</v>
      </c>
      <c r="B1154" s="158">
        <v>8.0</v>
      </c>
      <c r="C1154" s="157" t="s">
        <v>1175</v>
      </c>
      <c r="D1154" s="157" t="s">
        <v>1176</v>
      </c>
      <c r="E1154" s="157" t="s">
        <v>1177</v>
      </c>
      <c r="F1154" s="157" t="s">
        <v>3620</v>
      </c>
      <c r="G1154" s="157" t="s">
        <v>3621</v>
      </c>
      <c r="H1154" s="157"/>
      <c r="I1154" s="158">
        <v>17.86922797</v>
      </c>
      <c r="J1154" s="158">
        <v>49.95909306</v>
      </c>
      <c r="K1154" s="157" t="s">
        <v>3622</v>
      </c>
      <c r="L1154" s="157" t="s">
        <v>648</v>
      </c>
      <c r="M1154" s="158">
        <v>2020.0</v>
      </c>
      <c r="N1154" s="157" t="s">
        <v>552</v>
      </c>
      <c r="O1154" s="157" t="s">
        <v>1181</v>
      </c>
      <c r="P1154" s="161" t="b">
        <v>1</v>
      </c>
      <c r="Q1154" s="158">
        <v>5.252E-5</v>
      </c>
      <c r="R1154" s="158">
        <v>6.906E-6</v>
      </c>
      <c r="S1154" s="158">
        <v>4.5614E-5</v>
      </c>
      <c r="T1154" s="157" t="s">
        <v>552</v>
      </c>
      <c r="U1154" s="46" t="s">
        <v>651</v>
      </c>
      <c r="V1154" s="46" t="b">
        <v>0</v>
      </c>
      <c r="W1154" s="46">
        <v>0.95</v>
      </c>
      <c r="X1154" s="46">
        <v>0.0</v>
      </c>
      <c r="Y1154" s="46" t="s">
        <v>640</v>
      </c>
      <c r="Z1154" s="46" t="b">
        <v>0</v>
      </c>
      <c r="AA1154" s="46" t="b">
        <v>0</v>
      </c>
    </row>
    <row r="1155">
      <c r="A1155" s="157" t="s">
        <v>564</v>
      </c>
      <c r="B1155" s="158">
        <v>4.0</v>
      </c>
      <c r="C1155" s="157" t="s">
        <v>1092</v>
      </c>
      <c r="D1155" s="157" t="s">
        <v>3623</v>
      </c>
      <c r="E1155" s="157" t="s">
        <v>3624</v>
      </c>
      <c r="F1155" s="157" t="s">
        <v>3625</v>
      </c>
      <c r="G1155" s="157" t="s">
        <v>3626</v>
      </c>
      <c r="H1155" s="157"/>
      <c r="I1155" s="158">
        <v>7.8729</v>
      </c>
      <c r="J1155" s="158">
        <v>47.3065</v>
      </c>
      <c r="K1155" s="157" t="s">
        <v>3627</v>
      </c>
      <c r="L1155" s="157" t="s">
        <v>648</v>
      </c>
      <c r="M1155" s="158">
        <v>2021.0</v>
      </c>
      <c r="N1155" s="157" t="s">
        <v>201</v>
      </c>
      <c r="O1155" s="157" t="s">
        <v>3628</v>
      </c>
      <c r="P1155" s="161" t="b">
        <v>1</v>
      </c>
      <c r="Q1155" s="158">
        <v>7.45E-4</v>
      </c>
      <c r="R1155" s="163">
        <v>6.71928E-6</v>
      </c>
      <c r="S1155" s="158">
        <v>7.38281E-4</v>
      </c>
      <c r="T1155" s="157" t="s">
        <v>201</v>
      </c>
      <c r="U1155" s="46" t="s">
        <v>651</v>
      </c>
      <c r="V1155" s="46" t="b">
        <v>0</v>
      </c>
      <c r="W1155" s="46">
        <v>0.95</v>
      </c>
      <c r="X1155" s="46">
        <v>0.0</v>
      </c>
      <c r="Y1155" s="46">
        <v>14.1076961366441</v>
      </c>
      <c r="Z1155" s="46" t="b">
        <v>1</v>
      </c>
      <c r="AA1155" s="46" t="b">
        <v>1</v>
      </c>
    </row>
    <row r="1156">
      <c r="A1156" s="157" t="s">
        <v>564</v>
      </c>
      <c r="B1156" s="158">
        <v>2.0</v>
      </c>
      <c r="C1156" s="157" t="s">
        <v>916</v>
      </c>
      <c r="D1156" s="157" t="s">
        <v>3294</v>
      </c>
      <c r="E1156" s="157" t="s">
        <v>3295</v>
      </c>
      <c r="F1156" s="157" t="s">
        <v>3629</v>
      </c>
      <c r="G1156" s="157" t="s">
        <v>3630</v>
      </c>
      <c r="H1156" s="157"/>
      <c r="I1156" s="158">
        <v>9.3028</v>
      </c>
      <c r="J1156" s="158">
        <v>47.4051</v>
      </c>
      <c r="K1156" s="157" t="s">
        <v>3631</v>
      </c>
      <c r="L1156" s="157" t="s">
        <v>648</v>
      </c>
      <c r="M1156" s="158">
        <v>2021.0</v>
      </c>
      <c r="N1156" s="157" t="s">
        <v>549</v>
      </c>
      <c r="O1156" s="157" t="s">
        <v>1208</v>
      </c>
      <c r="P1156" s="161" t="b">
        <v>1</v>
      </c>
      <c r="Q1156" s="158">
        <v>3.21E-6</v>
      </c>
      <c r="R1156" s="163">
        <v>2.15582E-7</v>
      </c>
      <c r="S1156" s="163">
        <v>2.99442E-6</v>
      </c>
      <c r="T1156" s="157" t="s">
        <v>549</v>
      </c>
      <c r="U1156" s="46" t="s">
        <v>651</v>
      </c>
      <c r="V1156" s="46" t="b">
        <v>0</v>
      </c>
      <c r="W1156" s="46">
        <v>0.95</v>
      </c>
      <c r="X1156" s="46">
        <v>0.0</v>
      </c>
      <c r="Y1156" s="46">
        <v>94.0881724640854</v>
      </c>
      <c r="Z1156" s="46" t="b">
        <v>0</v>
      </c>
      <c r="AA1156" s="46" t="b">
        <v>1</v>
      </c>
    </row>
    <row r="1157">
      <c r="A1157" s="157" t="s">
        <v>562</v>
      </c>
      <c r="B1157" s="158">
        <v>4.0</v>
      </c>
      <c r="C1157" s="157" t="s">
        <v>1092</v>
      </c>
      <c r="D1157" s="157" t="s">
        <v>3632</v>
      </c>
      <c r="E1157" s="157" t="s">
        <v>3633</v>
      </c>
      <c r="F1157" s="162" t="s">
        <v>3634</v>
      </c>
      <c r="G1157" s="157" t="s">
        <v>3635</v>
      </c>
      <c r="H1157" s="157"/>
      <c r="I1157" s="158">
        <v>4.28916</v>
      </c>
      <c r="J1157" s="158">
        <v>51.31566</v>
      </c>
      <c r="K1157" s="157" t="s">
        <v>2148</v>
      </c>
      <c r="L1157" s="157" t="s">
        <v>648</v>
      </c>
      <c r="M1157" s="158">
        <v>2022.0</v>
      </c>
      <c r="N1157" s="157" t="s">
        <v>201</v>
      </c>
      <c r="O1157" s="157" t="s">
        <v>3636</v>
      </c>
      <c r="P1157" s="161" t="b">
        <v>1</v>
      </c>
      <c r="Q1157" s="158">
        <v>0.198</v>
      </c>
      <c r="R1157" s="158">
        <v>0.0</v>
      </c>
      <c r="S1157" s="158">
        <v>0.198</v>
      </c>
      <c r="T1157" s="157" t="s">
        <v>201</v>
      </c>
      <c r="U1157" s="46" t="s">
        <v>651</v>
      </c>
      <c r="V1157" s="46" t="b">
        <v>1</v>
      </c>
      <c r="W1157" s="46">
        <v>0.95</v>
      </c>
      <c r="X1157" s="46">
        <v>0.0</v>
      </c>
      <c r="Y1157" s="46">
        <v>1.37389258033094</v>
      </c>
      <c r="Z1157" s="46" t="b">
        <v>1</v>
      </c>
      <c r="AA1157" s="46" t="b">
        <v>1</v>
      </c>
    </row>
    <row r="1158">
      <c r="A1158" s="157" t="s">
        <v>562</v>
      </c>
      <c r="B1158" s="158">
        <v>4.0</v>
      </c>
      <c r="C1158" s="157" t="s">
        <v>1092</v>
      </c>
      <c r="D1158" s="157" t="s">
        <v>3632</v>
      </c>
      <c r="E1158" s="157" t="s">
        <v>3633</v>
      </c>
      <c r="F1158" s="162" t="s">
        <v>3637</v>
      </c>
      <c r="G1158" s="157" t="s">
        <v>3638</v>
      </c>
      <c r="H1158" s="157"/>
      <c r="I1158" s="158">
        <v>4.271</v>
      </c>
      <c r="J1158" s="158">
        <v>51.26858</v>
      </c>
      <c r="K1158" s="157" t="s">
        <v>3639</v>
      </c>
      <c r="L1158" s="157" t="s">
        <v>648</v>
      </c>
      <c r="M1158" s="158">
        <v>2022.0</v>
      </c>
      <c r="N1158" s="157" t="s">
        <v>201</v>
      </c>
      <c r="O1158" s="157" t="s">
        <v>3636</v>
      </c>
      <c r="P1158" s="161" t="b">
        <v>1</v>
      </c>
      <c r="Q1158" s="158">
        <v>0.191</v>
      </c>
      <c r="R1158" s="158">
        <v>0.0</v>
      </c>
      <c r="S1158" s="158">
        <v>0.191</v>
      </c>
      <c r="T1158" s="157" t="s">
        <v>201</v>
      </c>
      <c r="U1158" s="46" t="s">
        <v>651</v>
      </c>
      <c r="V1158" s="46" t="b">
        <v>1</v>
      </c>
      <c r="W1158" s="46">
        <v>0.95</v>
      </c>
      <c r="X1158" s="46">
        <v>0.0</v>
      </c>
      <c r="Y1158" s="46">
        <v>2.25373417664623</v>
      </c>
      <c r="Z1158" s="46" t="b">
        <v>1</v>
      </c>
      <c r="AA1158" s="46" t="b">
        <v>1</v>
      </c>
    </row>
    <row r="1159">
      <c r="A1159" s="157" t="s">
        <v>562</v>
      </c>
      <c r="B1159" s="158">
        <v>4.0</v>
      </c>
      <c r="C1159" s="157" t="s">
        <v>1092</v>
      </c>
      <c r="D1159" s="157" t="s">
        <v>3632</v>
      </c>
      <c r="E1159" s="157" t="s">
        <v>3633</v>
      </c>
      <c r="F1159" s="157" t="s">
        <v>3640</v>
      </c>
      <c r="G1159" s="157" t="s">
        <v>3641</v>
      </c>
      <c r="H1159" s="157"/>
      <c r="I1159" s="158">
        <v>4.2185373</v>
      </c>
      <c r="J1159" s="158">
        <v>50.54922</v>
      </c>
      <c r="K1159" s="157" t="s">
        <v>3642</v>
      </c>
      <c r="L1159" s="157" t="s">
        <v>648</v>
      </c>
      <c r="M1159" s="158">
        <v>2022.0</v>
      </c>
      <c r="N1159" s="157" t="s">
        <v>201</v>
      </c>
      <c r="O1159" s="157" t="s">
        <v>3636</v>
      </c>
      <c r="P1159" s="161" t="b">
        <v>1</v>
      </c>
      <c r="Q1159" s="158">
        <v>0.116</v>
      </c>
      <c r="R1159" s="158">
        <v>0.0</v>
      </c>
      <c r="S1159" s="158">
        <v>0.116</v>
      </c>
      <c r="T1159" s="157" t="s">
        <v>201</v>
      </c>
      <c r="U1159" s="46" t="s">
        <v>651</v>
      </c>
      <c r="V1159" s="46" t="b">
        <v>1</v>
      </c>
      <c r="W1159" s="46">
        <v>0.95</v>
      </c>
      <c r="X1159" s="46">
        <v>0.0</v>
      </c>
      <c r="Y1159" s="46">
        <v>3.10219640866758</v>
      </c>
      <c r="Z1159" s="46" t="b">
        <v>1</v>
      </c>
      <c r="AA1159" s="46" t="b">
        <v>1</v>
      </c>
    </row>
    <row r="1160">
      <c r="A1160" s="157" t="s">
        <v>581</v>
      </c>
      <c r="B1160" s="158">
        <v>4.0</v>
      </c>
      <c r="C1160" s="157" t="s">
        <v>1092</v>
      </c>
      <c r="D1160" s="157" t="s">
        <v>3632</v>
      </c>
      <c r="E1160" s="157" t="s">
        <v>3633</v>
      </c>
      <c r="F1160" s="157" t="s">
        <v>3643</v>
      </c>
      <c r="G1160" s="157" t="s">
        <v>3644</v>
      </c>
      <c r="H1160" s="157"/>
      <c r="I1160" s="158">
        <v>25.615</v>
      </c>
      <c r="J1160" s="158">
        <v>42.0725</v>
      </c>
      <c r="K1160" s="157" t="s">
        <v>3645</v>
      </c>
      <c r="L1160" s="157" t="s">
        <v>3646</v>
      </c>
      <c r="M1160" s="158">
        <v>2021.0</v>
      </c>
      <c r="N1160" s="157" t="s">
        <v>201</v>
      </c>
      <c r="O1160" s="157" t="s">
        <v>3636</v>
      </c>
      <c r="P1160" s="161" t="b">
        <v>1</v>
      </c>
      <c r="Q1160" s="158">
        <v>0.652712344</v>
      </c>
      <c r="R1160" s="158">
        <v>0.0</v>
      </c>
      <c r="S1160" s="158">
        <v>0.652712344</v>
      </c>
      <c r="T1160" s="157" t="s">
        <v>201</v>
      </c>
      <c r="U1160" s="46" t="s">
        <v>651</v>
      </c>
      <c r="V1160" s="46" t="b">
        <v>1</v>
      </c>
      <c r="W1160" s="46">
        <v>0.95</v>
      </c>
      <c r="X1160" s="46">
        <v>0.0</v>
      </c>
      <c r="Y1160" s="46" t="s">
        <v>640</v>
      </c>
      <c r="Z1160" s="46" t="b">
        <v>0</v>
      </c>
      <c r="AA1160" s="46" t="b">
        <v>0</v>
      </c>
    </row>
    <row r="1161">
      <c r="A1161" s="157" t="s">
        <v>556</v>
      </c>
      <c r="B1161" s="158">
        <v>4.0</v>
      </c>
      <c r="C1161" s="157" t="s">
        <v>1092</v>
      </c>
      <c r="D1161" s="157" t="s">
        <v>3632</v>
      </c>
      <c r="E1161" s="157" t="s">
        <v>3633</v>
      </c>
      <c r="F1161" s="157" t="s">
        <v>3647</v>
      </c>
      <c r="G1161" s="157" t="s">
        <v>3648</v>
      </c>
      <c r="H1161" s="157"/>
      <c r="I1161" s="158">
        <v>7.03121</v>
      </c>
      <c r="J1161" s="158">
        <v>49.0053</v>
      </c>
      <c r="K1161" s="157" t="s">
        <v>3649</v>
      </c>
      <c r="L1161" s="157" t="s">
        <v>648</v>
      </c>
      <c r="M1161" s="158">
        <v>2022.0</v>
      </c>
      <c r="N1161" s="157" t="s">
        <v>201</v>
      </c>
      <c r="O1161" s="157" t="s">
        <v>3636</v>
      </c>
      <c r="P1161" s="161" t="b">
        <v>1</v>
      </c>
      <c r="Q1161" s="158">
        <v>0.126</v>
      </c>
      <c r="R1161" s="158">
        <v>0.0</v>
      </c>
      <c r="S1161" s="158">
        <v>0.126</v>
      </c>
      <c r="T1161" s="157" t="s">
        <v>201</v>
      </c>
      <c r="U1161" s="46" t="s">
        <v>651</v>
      </c>
      <c r="V1161" s="46" t="b">
        <v>1</v>
      </c>
      <c r="W1161" s="46">
        <v>0.95</v>
      </c>
      <c r="X1161" s="46">
        <v>0.0</v>
      </c>
      <c r="Y1161" s="46">
        <v>21.8128118157958</v>
      </c>
      <c r="Z1161" s="46" t="b">
        <v>1</v>
      </c>
      <c r="AA1161" s="46" t="b">
        <v>1</v>
      </c>
    </row>
    <row r="1162">
      <c r="A1162" s="157" t="s">
        <v>557</v>
      </c>
      <c r="B1162" s="158">
        <v>4.0</v>
      </c>
      <c r="C1162" s="157" t="s">
        <v>1092</v>
      </c>
      <c r="D1162" s="157" t="s">
        <v>3632</v>
      </c>
      <c r="E1162" s="157" t="s">
        <v>3633</v>
      </c>
      <c r="F1162" s="162" t="s">
        <v>3650</v>
      </c>
      <c r="G1162" s="157" t="s">
        <v>3651</v>
      </c>
      <c r="H1162" s="157"/>
      <c r="I1162" s="158">
        <v>8.0704225115173</v>
      </c>
      <c r="J1162" s="158">
        <v>53.6263046765485</v>
      </c>
      <c r="K1162" s="157" t="s">
        <v>3652</v>
      </c>
      <c r="L1162" s="157" t="s">
        <v>648</v>
      </c>
      <c r="M1162" s="158">
        <v>2022.0</v>
      </c>
      <c r="N1162" s="157" t="s">
        <v>201</v>
      </c>
      <c r="O1162" s="157" t="s">
        <v>3636</v>
      </c>
      <c r="P1162" s="161" t="b">
        <v>1</v>
      </c>
      <c r="Q1162" s="158">
        <v>0.136</v>
      </c>
      <c r="R1162" s="158">
        <v>0.0</v>
      </c>
      <c r="S1162" s="158">
        <v>0.136</v>
      </c>
      <c r="T1162" s="157" t="s">
        <v>201</v>
      </c>
      <c r="U1162" s="46" t="s">
        <v>651</v>
      </c>
      <c r="V1162" s="46" t="b">
        <v>1</v>
      </c>
      <c r="W1162" s="46">
        <v>0.95</v>
      </c>
      <c r="X1162" s="46">
        <v>0.0</v>
      </c>
      <c r="Y1162" s="46">
        <v>4.45861292389535</v>
      </c>
      <c r="Z1162" s="46" t="b">
        <v>1</v>
      </c>
      <c r="AA1162" s="46" t="b">
        <v>1</v>
      </c>
    </row>
    <row r="1163">
      <c r="A1163" s="157" t="s">
        <v>557</v>
      </c>
      <c r="B1163" s="158">
        <v>4.0</v>
      </c>
      <c r="C1163" s="157" t="s">
        <v>1092</v>
      </c>
      <c r="D1163" s="157" t="s">
        <v>3632</v>
      </c>
      <c r="E1163" s="157" t="s">
        <v>3633</v>
      </c>
      <c r="F1163" s="162" t="s">
        <v>3653</v>
      </c>
      <c r="G1163" s="157" t="s">
        <v>3654</v>
      </c>
      <c r="H1163" s="157"/>
      <c r="I1163" s="158">
        <v>11.9032958254118</v>
      </c>
      <c r="J1163" s="158">
        <v>48.9060984561765</v>
      </c>
      <c r="K1163" s="157" t="s">
        <v>3655</v>
      </c>
      <c r="L1163" s="157" t="s">
        <v>648</v>
      </c>
      <c r="M1163" s="158">
        <v>2022.0</v>
      </c>
      <c r="N1163" s="157" t="s">
        <v>201</v>
      </c>
      <c r="O1163" s="157" t="s">
        <v>3636</v>
      </c>
      <c r="P1163" s="161" t="b">
        <v>1</v>
      </c>
      <c r="Q1163" s="158">
        <v>0.116</v>
      </c>
      <c r="R1163" s="158">
        <v>0.0</v>
      </c>
      <c r="S1163" s="158">
        <v>0.116</v>
      </c>
      <c r="T1163" s="157" t="s">
        <v>201</v>
      </c>
      <c r="U1163" s="46" t="s">
        <v>651</v>
      </c>
      <c r="V1163" s="46" t="b">
        <v>1</v>
      </c>
      <c r="W1163" s="46">
        <v>0.95</v>
      </c>
      <c r="X1163" s="46">
        <v>0.0</v>
      </c>
      <c r="Y1163" s="46">
        <v>5.93176912744713</v>
      </c>
      <c r="Z1163" s="46" t="b">
        <v>1</v>
      </c>
      <c r="AA1163" s="46" t="b">
        <v>1</v>
      </c>
    </row>
    <row r="1164">
      <c r="A1164" s="157" t="s">
        <v>561</v>
      </c>
      <c r="B1164" s="158">
        <v>4.0</v>
      </c>
      <c r="C1164" s="157" t="s">
        <v>1092</v>
      </c>
      <c r="D1164" s="157" t="s">
        <v>3632</v>
      </c>
      <c r="E1164" s="157" t="s">
        <v>3633</v>
      </c>
      <c r="F1164" s="157" t="s">
        <v>3656</v>
      </c>
      <c r="G1164" s="157" t="s">
        <v>3657</v>
      </c>
      <c r="H1164" s="157"/>
      <c r="I1164" s="158">
        <v>1.220202</v>
      </c>
      <c r="J1164" s="158">
        <v>41.178667</v>
      </c>
      <c r="K1164" s="157" t="s">
        <v>3658</v>
      </c>
      <c r="L1164" s="157" t="s">
        <v>648</v>
      </c>
      <c r="M1164" s="158">
        <v>2022.0</v>
      </c>
      <c r="N1164" s="157" t="s">
        <v>201</v>
      </c>
      <c r="O1164" s="157" t="s">
        <v>3636</v>
      </c>
      <c r="P1164" s="161" t="b">
        <v>1</v>
      </c>
      <c r="Q1164" s="158">
        <v>0.985</v>
      </c>
      <c r="R1164" s="158">
        <v>0.0</v>
      </c>
      <c r="S1164" s="158">
        <v>0.985</v>
      </c>
      <c r="T1164" s="157" t="s">
        <v>201</v>
      </c>
      <c r="U1164" s="46" t="s">
        <v>651</v>
      </c>
      <c r="V1164" s="46" t="b">
        <v>1</v>
      </c>
      <c r="W1164" s="46">
        <v>0.95</v>
      </c>
      <c r="X1164" s="46">
        <v>0.0</v>
      </c>
      <c r="Y1164" s="46" t="s">
        <v>640</v>
      </c>
      <c r="Z1164" s="46" t="b">
        <v>0</v>
      </c>
      <c r="AA1164" s="46" t="b">
        <v>0</v>
      </c>
    </row>
    <row r="1165">
      <c r="A1165" s="157" t="s">
        <v>563</v>
      </c>
      <c r="B1165" s="158">
        <v>4.0</v>
      </c>
      <c r="C1165" s="157" t="s">
        <v>1092</v>
      </c>
      <c r="D1165" s="157" t="s">
        <v>3632</v>
      </c>
      <c r="E1165" s="157" t="s">
        <v>3633</v>
      </c>
      <c r="F1165" s="157" t="s">
        <v>3659</v>
      </c>
      <c r="G1165" s="157" t="s">
        <v>3660</v>
      </c>
      <c r="H1165" s="157"/>
      <c r="I1165" s="158">
        <v>-7.2394</v>
      </c>
      <c r="J1165" s="158">
        <v>55.0325</v>
      </c>
      <c r="K1165" s="157" t="s">
        <v>3661</v>
      </c>
      <c r="L1165" s="157" t="s">
        <v>648</v>
      </c>
      <c r="M1165" s="158">
        <v>2019.0</v>
      </c>
      <c r="N1165" s="157" t="s">
        <v>201</v>
      </c>
      <c r="O1165" s="157" t="s">
        <v>3636</v>
      </c>
      <c r="P1165" s="161" t="b">
        <v>1</v>
      </c>
      <c r="Q1165" s="158">
        <v>0.104</v>
      </c>
      <c r="R1165" s="158">
        <v>0.0</v>
      </c>
      <c r="S1165" s="158">
        <v>0.104</v>
      </c>
      <c r="T1165" s="157" t="s">
        <v>201</v>
      </c>
      <c r="U1165" s="46" t="s">
        <v>651</v>
      </c>
      <c r="V1165" s="46" t="b">
        <v>1</v>
      </c>
      <c r="W1165" s="46">
        <v>0.95</v>
      </c>
      <c r="X1165" s="46">
        <v>0.0</v>
      </c>
      <c r="Y1165" s="46" t="s">
        <v>640</v>
      </c>
      <c r="Z1165" s="46" t="b">
        <v>0</v>
      </c>
      <c r="AA1165" s="46" t="b">
        <v>0</v>
      </c>
    </row>
    <row r="1166">
      <c r="A1166" s="157" t="s">
        <v>581</v>
      </c>
      <c r="B1166" s="158">
        <v>3.0</v>
      </c>
      <c r="C1166" s="157" t="s">
        <v>1215</v>
      </c>
      <c r="D1166" s="157" t="s">
        <v>1371</v>
      </c>
      <c r="E1166" s="157" t="s">
        <v>1372</v>
      </c>
      <c r="F1166" s="157" t="s">
        <v>3662</v>
      </c>
      <c r="G1166" s="157" t="s">
        <v>3663</v>
      </c>
      <c r="H1166" s="157"/>
      <c r="I1166" s="158">
        <v>27.594131</v>
      </c>
      <c r="J1166" s="158">
        <v>43.235107</v>
      </c>
      <c r="K1166" s="157" t="s">
        <v>3664</v>
      </c>
      <c r="L1166" s="157" t="s">
        <v>648</v>
      </c>
      <c r="M1166" s="158">
        <v>2021.0</v>
      </c>
      <c r="N1166" s="157" t="s">
        <v>114</v>
      </c>
      <c r="O1166" s="157" t="s">
        <v>1376</v>
      </c>
      <c r="P1166" s="161" t="b">
        <v>1</v>
      </c>
      <c r="Q1166" s="158">
        <v>0.725607</v>
      </c>
      <c r="R1166" s="158">
        <v>0.0</v>
      </c>
      <c r="S1166" s="158">
        <v>0.725607</v>
      </c>
      <c r="T1166" s="157" t="s">
        <v>114</v>
      </c>
      <c r="U1166" s="46" t="s">
        <v>651</v>
      </c>
      <c r="V1166" s="46" t="b">
        <v>1</v>
      </c>
      <c r="W1166" s="46">
        <v>0.95</v>
      </c>
      <c r="X1166" s="46">
        <v>0.0</v>
      </c>
      <c r="Y1166" s="46">
        <v>2.92503440221467</v>
      </c>
      <c r="Z1166" s="46" t="b">
        <v>1</v>
      </c>
      <c r="AA1166" s="46" t="b">
        <v>1</v>
      </c>
    </row>
    <row r="1167">
      <c r="A1167" s="157" t="s">
        <v>568</v>
      </c>
      <c r="B1167" s="158">
        <v>3.0</v>
      </c>
      <c r="C1167" s="157" t="s">
        <v>1215</v>
      </c>
      <c r="D1167" s="157" t="s">
        <v>1371</v>
      </c>
      <c r="E1167" s="157" t="s">
        <v>1372</v>
      </c>
      <c r="F1167" s="157" t="s">
        <v>3665</v>
      </c>
      <c r="G1167" s="157" t="s">
        <v>3666</v>
      </c>
      <c r="H1167" s="157"/>
      <c r="I1167" s="158">
        <v>9.97278369040868</v>
      </c>
      <c r="J1167" s="158">
        <v>57.0632413325793</v>
      </c>
      <c r="K1167" s="157" t="s">
        <v>3667</v>
      </c>
      <c r="L1167" s="157" t="s">
        <v>648</v>
      </c>
      <c r="M1167" s="158">
        <v>2022.0</v>
      </c>
      <c r="N1167" s="157" t="s">
        <v>114</v>
      </c>
      <c r="O1167" s="157" t="s">
        <v>1376</v>
      </c>
      <c r="P1167" s="161" t="b">
        <v>1</v>
      </c>
      <c r="Q1167" s="158">
        <v>1.979482</v>
      </c>
      <c r="R1167" s="158">
        <v>0.0</v>
      </c>
      <c r="S1167" s="158">
        <v>1.979482</v>
      </c>
      <c r="T1167" s="157" t="s">
        <v>114</v>
      </c>
      <c r="U1167" s="46" t="s">
        <v>651</v>
      </c>
      <c r="V1167" s="46" t="b">
        <v>1</v>
      </c>
      <c r="W1167" s="46">
        <v>0.95</v>
      </c>
      <c r="X1167" s="46">
        <v>0.0</v>
      </c>
      <c r="Y1167" s="46">
        <v>4.3500200008334</v>
      </c>
      <c r="Z1167" s="46" t="b">
        <v>1</v>
      </c>
      <c r="AA1167" s="46" t="b">
        <v>1</v>
      </c>
    </row>
    <row r="1168">
      <c r="A1168" s="157" t="s">
        <v>555</v>
      </c>
      <c r="B1168" s="158">
        <v>3.0</v>
      </c>
      <c r="C1168" s="157" t="s">
        <v>1215</v>
      </c>
      <c r="D1168" s="157" t="s">
        <v>1371</v>
      </c>
      <c r="E1168" s="157" t="s">
        <v>1372</v>
      </c>
      <c r="F1168" s="162" t="s">
        <v>3668</v>
      </c>
      <c r="G1168" s="157" t="s">
        <v>3669</v>
      </c>
      <c r="H1168" s="157"/>
      <c r="I1168" s="158">
        <v>22.29048</v>
      </c>
      <c r="J1168" s="158">
        <v>60.28625</v>
      </c>
      <c r="K1168" s="157" t="s">
        <v>3670</v>
      </c>
      <c r="L1168" s="157" t="s">
        <v>648</v>
      </c>
      <c r="M1168" s="158">
        <v>2022.0</v>
      </c>
      <c r="N1168" s="157" t="s">
        <v>114</v>
      </c>
      <c r="O1168" s="157" t="s">
        <v>1376</v>
      </c>
      <c r="P1168" s="161" t="b">
        <v>1</v>
      </c>
      <c r="Q1168" s="158">
        <v>0.509</v>
      </c>
      <c r="R1168" s="158">
        <v>0.0</v>
      </c>
      <c r="S1168" s="158">
        <v>0.509</v>
      </c>
      <c r="T1168" s="157" t="s">
        <v>114</v>
      </c>
      <c r="U1168" s="46" t="s">
        <v>651</v>
      </c>
      <c r="V1168" s="46" t="b">
        <v>1</v>
      </c>
      <c r="W1168" s="46">
        <v>0.95</v>
      </c>
      <c r="X1168" s="46">
        <v>0.0</v>
      </c>
      <c r="Y1168" s="46" t="s">
        <v>640</v>
      </c>
      <c r="Z1168" s="46" t="b">
        <v>0</v>
      </c>
      <c r="AA1168" s="46" t="b">
        <v>0</v>
      </c>
    </row>
    <row r="1169">
      <c r="A1169" s="157" t="s">
        <v>555</v>
      </c>
      <c r="B1169" s="158">
        <v>3.0</v>
      </c>
      <c r="C1169" s="157" t="s">
        <v>1215</v>
      </c>
      <c r="D1169" s="157" t="s">
        <v>1371</v>
      </c>
      <c r="E1169" s="157" t="s">
        <v>1372</v>
      </c>
      <c r="F1169" s="162" t="s">
        <v>3671</v>
      </c>
      <c r="G1169" s="157" t="s">
        <v>3672</v>
      </c>
      <c r="H1169" s="157"/>
      <c r="I1169" s="158">
        <v>28.17438</v>
      </c>
      <c r="J1169" s="158">
        <v>61.03057</v>
      </c>
      <c r="K1169" s="157" t="s">
        <v>701</v>
      </c>
      <c r="L1169" s="157" t="s">
        <v>648</v>
      </c>
      <c r="M1169" s="158">
        <v>2022.0</v>
      </c>
      <c r="N1169" s="157" t="s">
        <v>114</v>
      </c>
      <c r="O1169" s="157" t="s">
        <v>1376</v>
      </c>
      <c r="P1169" s="161" t="b">
        <v>1</v>
      </c>
      <c r="Q1169" s="158">
        <v>0.376</v>
      </c>
      <c r="R1169" s="158">
        <v>0.0</v>
      </c>
      <c r="S1169" s="158">
        <v>0.376</v>
      </c>
      <c r="T1169" s="157" t="s">
        <v>114</v>
      </c>
      <c r="U1169" s="46" t="s">
        <v>651</v>
      </c>
      <c r="V1169" s="46" t="b">
        <v>1</v>
      </c>
      <c r="W1169" s="46">
        <v>0.95</v>
      </c>
      <c r="X1169" s="46">
        <v>0.0</v>
      </c>
      <c r="Y1169" s="46" t="s">
        <v>640</v>
      </c>
      <c r="Z1169" s="46" t="b">
        <v>0</v>
      </c>
      <c r="AA1169" s="46" t="b">
        <v>0</v>
      </c>
    </row>
    <row r="1170">
      <c r="A1170" s="157" t="s">
        <v>557</v>
      </c>
      <c r="B1170" s="158">
        <v>3.0</v>
      </c>
      <c r="C1170" s="157" t="s">
        <v>1215</v>
      </c>
      <c r="D1170" s="157" t="s">
        <v>1371</v>
      </c>
      <c r="E1170" s="157" t="s">
        <v>1372</v>
      </c>
      <c r="F1170" s="162" t="s">
        <v>3673</v>
      </c>
      <c r="G1170" s="157" t="s">
        <v>3674</v>
      </c>
      <c r="H1170" s="157"/>
      <c r="I1170" s="158">
        <v>13.8369291710775</v>
      </c>
      <c r="J1170" s="158">
        <v>52.4890692646813</v>
      </c>
      <c r="K1170" s="157" t="s">
        <v>3675</v>
      </c>
      <c r="L1170" s="157" t="s">
        <v>648</v>
      </c>
      <c r="M1170" s="158">
        <v>2022.0</v>
      </c>
      <c r="N1170" s="157" t="s">
        <v>114</v>
      </c>
      <c r="O1170" s="157" t="s">
        <v>1376</v>
      </c>
      <c r="P1170" s="161" t="b">
        <v>1</v>
      </c>
      <c r="Q1170" s="158">
        <v>1.38</v>
      </c>
      <c r="R1170" s="158">
        <v>0.0</v>
      </c>
      <c r="S1170" s="158">
        <v>1.38</v>
      </c>
      <c r="T1170" s="157" t="s">
        <v>114</v>
      </c>
      <c r="U1170" s="46" t="s">
        <v>651</v>
      </c>
      <c r="V1170" s="46" t="b">
        <v>1</v>
      </c>
      <c r="W1170" s="46">
        <v>0.95</v>
      </c>
      <c r="X1170" s="46">
        <v>0.0</v>
      </c>
      <c r="Y1170" s="46">
        <v>10.4942276571615</v>
      </c>
      <c r="Z1170" s="46" t="b">
        <v>1</v>
      </c>
      <c r="AA1170" s="46" t="b">
        <v>1</v>
      </c>
    </row>
    <row r="1171">
      <c r="A1171" s="157" t="s">
        <v>557</v>
      </c>
      <c r="B1171" s="158">
        <v>3.0</v>
      </c>
      <c r="C1171" s="157" t="s">
        <v>1215</v>
      </c>
      <c r="D1171" s="157" t="s">
        <v>1371</v>
      </c>
      <c r="E1171" s="157" t="s">
        <v>1372</v>
      </c>
      <c r="F1171" s="162" t="s">
        <v>3676</v>
      </c>
      <c r="G1171" s="157" t="s">
        <v>3677</v>
      </c>
      <c r="H1171" s="157"/>
      <c r="I1171" s="158">
        <v>9.57999294941876</v>
      </c>
      <c r="J1171" s="158">
        <v>53.8770660165165</v>
      </c>
      <c r="K1171" s="157" t="s">
        <v>3678</v>
      </c>
      <c r="L1171" s="157" t="s">
        <v>648</v>
      </c>
      <c r="M1171" s="158">
        <v>2022.0</v>
      </c>
      <c r="N1171" s="157" t="s">
        <v>114</v>
      </c>
      <c r="O1171" s="157" t="s">
        <v>1376</v>
      </c>
      <c r="P1171" s="161" t="b">
        <v>1</v>
      </c>
      <c r="Q1171" s="158">
        <v>0.962</v>
      </c>
      <c r="R1171" s="158">
        <v>0.0</v>
      </c>
      <c r="S1171" s="158">
        <v>0.962</v>
      </c>
      <c r="T1171" s="157" t="s">
        <v>114</v>
      </c>
      <c r="U1171" s="46" t="s">
        <v>651</v>
      </c>
      <c r="V1171" s="46" t="b">
        <v>1</v>
      </c>
      <c r="W1171" s="46">
        <v>0.95</v>
      </c>
      <c r="X1171" s="46">
        <v>0.0</v>
      </c>
      <c r="Y1171" s="46">
        <v>3.51510519568542</v>
      </c>
      <c r="Z1171" s="46" t="b">
        <v>1</v>
      </c>
      <c r="AA1171" s="46" t="b">
        <v>1</v>
      </c>
    </row>
    <row r="1172">
      <c r="A1172" s="157" t="s">
        <v>557</v>
      </c>
      <c r="B1172" s="158">
        <v>3.0</v>
      </c>
      <c r="C1172" s="157" t="s">
        <v>1215</v>
      </c>
      <c r="D1172" s="157" t="s">
        <v>1371</v>
      </c>
      <c r="E1172" s="157" t="s">
        <v>1372</v>
      </c>
      <c r="F1172" s="162" t="s">
        <v>3679</v>
      </c>
      <c r="G1172" s="157" t="s">
        <v>3680</v>
      </c>
      <c r="H1172" s="157"/>
      <c r="I1172" s="158">
        <v>12.0282827844467</v>
      </c>
      <c r="J1172" s="158">
        <v>49.2128291723483</v>
      </c>
      <c r="K1172" s="157" t="s">
        <v>3681</v>
      </c>
      <c r="L1172" s="157" t="s">
        <v>648</v>
      </c>
      <c r="M1172" s="158">
        <v>2022.0</v>
      </c>
      <c r="N1172" s="157" t="s">
        <v>114</v>
      </c>
      <c r="O1172" s="157" t="s">
        <v>1376</v>
      </c>
      <c r="P1172" s="161" t="b">
        <v>1</v>
      </c>
      <c r="Q1172" s="158">
        <v>0.94</v>
      </c>
      <c r="R1172" s="158">
        <v>0.0</v>
      </c>
      <c r="S1172" s="158">
        <v>0.94</v>
      </c>
      <c r="T1172" s="157" t="s">
        <v>114</v>
      </c>
      <c r="U1172" s="46" t="s">
        <v>651</v>
      </c>
      <c r="V1172" s="46" t="b">
        <v>1</v>
      </c>
      <c r="W1172" s="46">
        <v>0.95</v>
      </c>
      <c r="X1172" s="46">
        <v>0.0</v>
      </c>
      <c r="Y1172" s="46">
        <v>5.27275566756011</v>
      </c>
      <c r="Z1172" s="46" t="b">
        <v>1</v>
      </c>
      <c r="AA1172" s="46" t="b">
        <v>1</v>
      </c>
    </row>
    <row r="1173">
      <c r="A1173" s="157" t="s">
        <v>557</v>
      </c>
      <c r="B1173" s="158">
        <v>3.0</v>
      </c>
      <c r="C1173" s="157" t="s">
        <v>1215</v>
      </c>
      <c r="D1173" s="157" t="s">
        <v>1371</v>
      </c>
      <c r="E1173" s="157" t="s">
        <v>1372</v>
      </c>
      <c r="F1173" s="162" t="s">
        <v>3682</v>
      </c>
      <c r="G1173" s="157" t="s">
        <v>3683</v>
      </c>
      <c r="H1173" s="157"/>
      <c r="I1173" s="158">
        <v>8.33624692976314</v>
      </c>
      <c r="J1173" s="158">
        <v>51.6017688103701</v>
      </c>
      <c r="K1173" s="157" t="s">
        <v>2380</v>
      </c>
      <c r="L1173" s="157" t="s">
        <v>648</v>
      </c>
      <c r="M1173" s="158">
        <v>2022.0</v>
      </c>
      <c r="N1173" s="157" t="s">
        <v>114</v>
      </c>
      <c r="O1173" s="157" t="s">
        <v>1376</v>
      </c>
      <c r="P1173" s="161" t="b">
        <v>1</v>
      </c>
      <c r="Q1173" s="158">
        <v>0.82</v>
      </c>
      <c r="R1173" s="158">
        <v>0.0</v>
      </c>
      <c r="S1173" s="158">
        <v>0.82</v>
      </c>
      <c r="T1173" s="157" t="s">
        <v>114</v>
      </c>
      <c r="U1173" s="46" t="s">
        <v>651</v>
      </c>
      <c r="V1173" s="46" t="b">
        <v>1</v>
      </c>
      <c r="W1173" s="46">
        <v>0.95</v>
      </c>
      <c r="X1173" s="46">
        <v>0.0</v>
      </c>
      <c r="Y1173" s="46">
        <v>7.29280869651269</v>
      </c>
      <c r="Z1173" s="46" t="b">
        <v>1</v>
      </c>
      <c r="AA1173" s="46" t="b">
        <v>1</v>
      </c>
    </row>
    <row r="1174">
      <c r="A1174" s="157" t="s">
        <v>557</v>
      </c>
      <c r="B1174" s="158">
        <v>3.0</v>
      </c>
      <c r="C1174" s="157" t="s">
        <v>1215</v>
      </c>
      <c r="D1174" s="157" t="s">
        <v>1371</v>
      </c>
      <c r="E1174" s="157" t="s">
        <v>1372</v>
      </c>
      <c r="F1174" s="162" t="s">
        <v>3684</v>
      </c>
      <c r="G1174" s="157" t="s">
        <v>3685</v>
      </c>
      <c r="H1174" s="157"/>
      <c r="I1174" s="158">
        <v>9.76852424826161</v>
      </c>
      <c r="J1174" s="158">
        <v>49.9549957963093</v>
      </c>
      <c r="K1174" s="157" t="s">
        <v>3686</v>
      </c>
      <c r="L1174" s="157" t="s">
        <v>648</v>
      </c>
      <c r="M1174" s="158">
        <v>2022.0</v>
      </c>
      <c r="N1174" s="157" t="s">
        <v>114</v>
      </c>
      <c r="O1174" s="157" t="s">
        <v>1376</v>
      </c>
      <c r="P1174" s="161" t="b">
        <v>1</v>
      </c>
      <c r="Q1174" s="158">
        <v>0.747</v>
      </c>
      <c r="R1174" s="158">
        <v>0.0</v>
      </c>
      <c r="S1174" s="158">
        <v>0.747</v>
      </c>
      <c r="T1174" s="157" t="s">
        <v>114</v>
      </c>
      <c r="U1174" s="46" t="s">
        <v>651</v>
      </c>
      <c r="V1174" s="46" t="b">
        <v>1</v>
      </c>
      <c r="W1174" s="46">
        <v>0.95</v>
      </c>
      <c r="X1174" s="46">
        <v>0.0</v>
      </c>
      <c r="Y1174" s="46">
        <v>6.395593831601</v>
      </c>
      <c r="Z1174" s="46" t="b">
        <v>1</v>
      </c>
      <c r="AA1174" s="46" t="b">
        <v>1</v>
      </c>
    </row>
    <row r="1175">
      <c r="A1175" s="157" t="s">
        <v>557</v>
      </c>
      <c r="B1175" s="158">
        <v>3.0</v>
      </c>
      <c r="C1175" s="157" t="s">
        <v>1215</v>
      </c>
      <c r="D1175" s="157" t="s">
        <v>1371</v>
      </c>
      <c r="E1175" s="157" t="s">
        <v>1372</v>
      </c>
      <c r="F1175" s="162" t="s">
        <v>3687</v>
      </c>
      <c r="G1175" s="157" t="s">
        <v>3688</v>
      </c>
      <c r="H1175" s="157"/>
      <c r="I1175" s="158">
        <v>9.61789116473121</v>
      </c>
      <c r="J1175" s="158">
        <v>49.8084520069091</v>
      </c>
      <c r="K1175" s="157" t="s">
        <v>3689</v>
      </c>
      <c r="L1175" s="157" t="s">
        <v>648</v>
      </c>
      <c r="M1175" s="158">
        <v>2022.0</v>
      </c>
      <c r="N1175" s="157" t="s">
        <v>114</v>
      </c>
      <c r="O1175" s="157" t="s">
        <v>1376</v>
      </c>
      <c r="P1175" s="161" t="b">
        <v>1</v>
      </c>
      <c r="Q1175" s="158">
        <v>0.734</v>
      </c>
      <c r="R1175" s="158">
        <v>0.0</v>
      </c>
      <c r="S1175" s="158">
        <v>0.734</v>
      </c>
      <c r="T1175" s="157" t="s">
        <v>114</v>
      </c>
      <c r="U1175" s="46" t="s">
        <v>651</v>
      </c>
      <c r="V1175" s="46" t="b">
        <v>1</v>
      </c>
      <c r="W1175" s="46">
        <v>0.95</v>
      </c>
      <c r="X1175" s="46">
        <v>0.0</v>
      </c>
      <c r="Y1175" s="46">
        <v>7.34824442772174</v>
      </c>
      <c r="Z1175" s="46" t="b">
        <v>1</v>
      </c>
      <c r="AA1175" s="46" t="b">
        <v>1</v>
      </c>
    </row>
    <row r="1176">
      <c r="A1176" s="157" t="s">
        <v>557</v>
      </c>
      <c r="B1176" s="158">
        <v>3.0</v>
      </c>
      <c r="C1176" s="157" t="s">
        <v>1215</v>
      </c>
      <c r="D1176" s="157" t="s">
        <v>1371</v>
      </c>
      <c r="E1176" s="157" t="s">
        <v>1372</v>
      </c>
      <c r="F1176" s="162" t="s">
        <v>3690</v>
      </c>
      <c r="G1176" s="157" t="s">
        <v>3691</v>
      </c>
      <c r="H1176" s="157"/>
      <c r="I1176" s="158">
        <v>12.1816257344646</v>
      </c>
      <c r="J1176" s="158">
        <v>47.7908207782779</v>
      </c>
      <c r="K1176" s="157" t="s">
        <v>3692</v>
      </c>
      <c r="L1176" s="157" t="s">
        <v>648</v>
      </c>
      <c r="M1176" s="158">
        <v>2022.0</v>
      </c>
      <c r="N1176" s="157" t="s">
        <v>114</v>
      </c>
      <c r="O1176" s="157" t="s">
        <v>1376</v>
      </c>
      <c r="P1176" s="161" t="b">
        <v>1</v>
      </c>
      <c r="Q1176" s="158">
        <v>0.707</v>
      </c>
      <c r="R1176" s="158">
        <v>0.0</v>
      </c>
      <c r="S1176" s="158">
        <v>0.707</v>
      </c>
      <c r="T1176" s="157" t="s">
        <v>114</v>
      </c>
      <c r="U1176" s="46" t="s">
        <v>651</v>
      </c>
      <c r="V1176" s="46" t="b">
        <v>1</v>
      </c>
      <c r="W1176" s="46">
        <v>0.95</v>
      </c>
      <c r="X1176" s="46">
        <v>0.0</v>
      </c>
      <c r="Y1176" s="46">
        <v>47.9806657470061</v>
      </c>
      <c r="Z1176" s="46" t="b">
        <v>1</v>
      </c>
      <c r="AA1176" s="46" t="b">
        <v>1</v>
      </c>
    </row>
    <row r="1177">
      <c r="A1177" s="157" t="s">
        <v>557</v>
      </c>
      <c r="B1177" s="158">
        <v>3.0</v>
      </c>
      <c r="C1177" s="157" t="s">
        <v>1215</v>
      </c>
      <c r="D1177" s="157" t="s">
        <v>1371</v>
      </c>
      <c r="E1177" s="157" t="s">
        <v>1372</v>
      </c>
      <c r="F1177" s="162" t="s">
        <v>3693</v>
      </c>
      <c r="G1177" s="157" t="s">
        <v>3694</v>
      </c>
      <c r="H1177" s="157"/>
      <c r="I1177" s="158">
        <v>8.5106589298536</v>
      </c>
      <c r="J1177" s="158">
        <v>51.6188372960444</v>
      </c>
      <c r="K1177" s="157" t="s">
        <v>2737</v>
      </c>
      <c r="L1177" s="157" t="s">
        <v>648</v>
      </c>
      <c r="M1177" s="158">
        <v>2022.0</v>
      </c>
      <c r="N1177" s="157" t="s">
        <v>114</v>
      </c>
      <c r="O1177" s="157" t="s">
        <v>1376</v>
      </c>
      <c r="P1177" s="161" t="b">
        <v>1</v>
      </c>
      <c r="Q1177" s="158">
        <v>0.655</v>
      </c>
      <c r="R1177" s="158">
        <v>0.0</v>
      </c>
      <c r="S1177" s="158">
        <v>0.655</v>
      </c>
      <c r="T1177" s="157" t="s">
        <v>114</v>
      </c>
      <c r="U1177" s="46" t="s">
        <v>651</v>
      </c>
      <c r="V1177" s="46" t="b">
        <v>1</v>
      </c>
      <c r="W1177" s="46">
        <v>0.95</v>
      </c>
      <c r="X1177" s="46">
        <v>0.0</v>
      </c>
      <c r="Y1177" s="46">
        <v>2.97115010392654</v>
      </c>
      <c r="Z1177" s="46" t="b">
        <v>1</v>
      </c>
      <c r="AA1177" s="46" t="b">
        <v>1</v>
      </c>
    </row>
    <row r="1178">
      <c r="A1178" s="157" t="s">
        <v>557</v>
      </c>
      <c r="B1178" s="158">
        <v>3.0</v>
      </c>
      <c r="C1178" s="157" t="s">
        <v>1215</v>
      </c>
      <c r="D1178" s="157" t="s">
        <v>1371</v>
      </c>
      <c r="E1178" s="157" t="s">
        <v>1372</v>
      </c>
      <c r="F1178" s="162" t="s">
        <v>3695</v>
      </c>
      <c r="G1178" s="157" t="s">
        <v>3696</v>
      </c>
      <c r="H1178" s="157"/>
      <c r="I1178" s="158">
        <v>9.88593387119076</v>
      </c>
      <c r="J1178" s="158">
        <v>52.3498313041001</v>
      </c>
      <c r="K1178" s="157" t="s">
        <v>3697</v>
      </c>
      <c r="L1178" s="157" t="s">
        <v>648</v>
      </c>
      <c r="M1178" s="158">
        <v>2022.0</v>
      </c>
      <c r="N1178" s="157" t="s">
        <v>114</v>
      </c>
      <c r="O1178" s="157" t="s">
        <v>1376</v>
      </c>
      <c r="P1178" s="161" t="b">
        <v>1</v>
      </c>
      <c r="Q1178" s="158">
        <v>0.636</v>
      </c>
      <c r="R1178" s="158">
        <v>0.0</v>
      </c>
      <c r="S1178" s="158">
        <v>0.636</v>
      </c>
      <c r="T1178" s="157" t="s">
        <v>114</v>
      </c>
      <c r="U1178" s="46" t="s">
        <v>651</v>
      </c>
      <c r="V1178" s="46" t="b">
        <v>1</v>
      </c>
      <c r="W1178" s="46">
        <v>0.95</v>
      </c>
      <c r="X1178" s="46">
        <v>0.0</v>
      </c>
      <c r="Y1178" s="46">
        <v>10.5336743317083</v>
      </c>
      <c r="Z1178" s="46" t="b">
        <v>1</v>
      </c>
      <c r="AA1178" s="46" t="b">
        <v>1</v>
      </c>
    </row>
    <row r="1179">
      <c r="A1179" s="157" t="s">
        <v>557</v>
      </c>
      <c r="B1179" s="158">
        <v>3.0</v>
      </c>
      <c r="C1179" s="157" t="s">
        <v>1215</v>
      </c>
      <c r="D1179" s="157" t="s">
        <v>1371</v>
      </c>
      <c r="E1179" s="157" t="s">
        <v>1372</v>
      </c>
      <c r="F1179" s="162" t="s">
        <v>3698</v>
      </c>
      <c r="G1179" s="157" t="s">
        <v>3699</v>
      </c>
      <c r="H1179" s="157"/>
      <c r="I1179" s="158">
        <v>10.7003436919644</v>
      </c>
      <c r="J1179" s="158">
        <v>48.7767230724458</v>
      </c>
      <c r="K1179" s="157" t="s">
        <v>3700</v>
      </c>
      <c r="L1179" s="157" t="s">
        <v>648</v>
      </c>
      <c r="M1179" s="158">
        <v>2022.0</v>
      </c>
      <c r="N1179" s="157" t="s">
        <v>114</v>
      </c>
      <c r="O1179" s="157" t="s">
        <v>1376</v>
      </c>
      <c r="P1179" s="161" t="b">
        <v>1</v>
      </c>
      <c r="Q1179" s="158">
        <v>0.579</v>
      </c>
      <c r="R1179" s="158">
        <v>0.0</v>
      </c>
      <c r="S1179" s="158">
        <v>0.579</v>
      </c>
      <c r="T1179" s="157" t="s">
        <v>114</v>
      </c>
      <c r="U1179" s="46" t="s">
        <v>651</v>
      </c>
      <c r="V1179" s="46" t="b">
        <v>1</v>
      </c>
      <c r="W1179" s="46">
        <v>0.95</v>
      </c>
      <c r="X1179" s="46">
        <v>0.0</v>
      </c>
      <c r="Y1179" s="46">
        <v>57.0038129956238</v>
      </c>
      <c r="Z1179" s="46" t="b">
        <v>0</v>
      </c>
      <c r="AA1179" s="46" t="b">
        <v>1</v>
      </c>
    </row>
    <row r="1180">
      <c r="A1180" s="157" t="s">
        <v>557</v>
      </c>
      <c r="B1180" s="158">
        <v>3.0</v>
      </c>
      <c r="C1180" s="157" t="s">
        <v>1215</v>
      </c>
      <c r="D1180" s="157" t="s">
        <v>1371</v>
      </c>
      <c r="E1180" s="157" t="s">
        <v>1372</v>
      </c>
      <c r="F1180" s="162" t="s">
        <v>3701</v>
      </c>
      <c r="G1180" s="157" t="s">
        <v>3702</v>
      </c>
      <c r="H1180" s="157"/>
      <c r="I1180" s="158">
        <v>8.02881626677174</v>
      </c>
      <c r="J1180" s="158">
        <v>51.8561694432717</v>
      </c>
      <c r="K1180" s="157" t="s">
        <v>3703</v>
      </c>
      <c r="L1180" s="157" t="s">
        <v>648</v>
      </c>
      <c r="M1180" s="158">
        <v>2022.0</v>
      </c>
      <c r="N1180" s="157" t="s">
        <v>114</v>
      </c>
      <c r="O1180" s="157" t="s">
        <v>1376</v>
      </c>
      <c r="P1180" s="161" t="b">
        <v>1</v>
      </c>
      <c r="Q1180" s="158">
        <v>0.565</v>
      </c>
      <c r="R1180" s="158">
        <v>0.0</v>
      </c>
      <c r="S1180" s="158">
        <v>0.565</v>
      </c>
      <c r="T1180" s="157" t="s">
        <v>114</v>
      </c>
      <c r="U1180" s="46" t="s">
        <v>651</v>
      </c>
      <c r="V1180" s="46" t="b">
        <v>1</v>
      </c>
      <c r="W1180" s="46">
        <v>0.95</v>
      </c>
      <c r="X1180" s="46">
        <v>0.0</v>
      </c>
      <c r="Y1180" s="46">
        <v>2.05709945624359</v>
      </c>
      <c r="Z1180" s="46" t="b">
        <v>1</v>
      </c>
      <c r="AA1180" s="46" t="b">
        <v>1</v>
      </c>
    </row>
    <row r="1181">
      <c r="A1181" s="157" t="s">
        <v>557</v>
      </c>
      <c r="B1181" s="158">
        <v>3.0</v>
      </c>
      <c r="C1181" s="157" t="s">
        <v>1215</v>
      </c>
      <c r="D1181" s="157" t="s">
        <v>1371</v>
      </c>
      <c r="E1181" s="157" t="s">
        <v>1372</v>
      </c>
      <c r="F1181" s="162" t="s">
        <v>3704</v>
      </c>
      <c r="G1181" s="157" t="s">
        <v>3705</v>
      </c>
      <c r="H1181" s="157"/>
      <c r="I1181" s="158">
        <v>8.05402878770055</v>
      </c>
      <c r="J1181" s="158">
        <v>51.7651737270294</v>
      </c>
      <c r="K1181" s="157" t="s">
        <v>3706</v>
      </c>
      <c r="L1181" s="157" t="s">
        <v>648</v>
      </c>
      <c r="M1181" s="158">
        <v>2022.0</v>
      </c>
      <c r="N1181" s="157" t="s">
        <v>114</v>
      </c>
      <c r="O1181" s="157" t="s">
        <v>1376</v>
      </c>
      <c r="P1181" s="161" t="b">
        <v>1</v>
      </c>
      <c r="Q1181" s="158">
        <v>0.514</v>
      </c>
      <c r="R1181" s="158">
        <v>0.0</v>
      </c>
      <c r="S1181" s="158">
        <v>0.514</v>
      </c>
      <c r="T1181" s="157" t="s">
        <v>114</v>
      </c>
      <c r="U1181" s="46" t="s">
        <v>651</v>
      </c>
      <c r="V1181" s="46" t="b">
        <v>1</v>
      </c>
      <c r="W1181" s="46">
        <v>0.95</v>
      </c>
      <c r="X1181" s="46">
        <v>0.0</v>
      </c>
      <c r="Y1181" s="46">
        <v>6.7583050118566</v>
      </c>
      <c r="Z1181" s="46" t="b">
        <v>1</v>
      </c>
      <c r="AA1181" s="46" t="b">
        <v>1</v>
      </c>
    </row>
    <row r="1182">
      <c r="A1182" s="157" t="s">
        <v>557</v>
      </c>
      <c r="B1182" s="158">
        <v>3.0</v>
      </c>
      <c r="C1182" s="157" t="s">
        <v>1215</v>
      </c>
      <c r="D1182" s="157" t="s">
        <v>1371</v>
      </c>
      <c r="E1182" s="157" t="s">
        <v>1372</v>
      </c>
      <c r="F1182" s="162" t="s">
        <v>3707</v>
      </c>
      <c r="G1182" s="157" t="s">
        <v>3708</v>
      </c>
      <c r="H1182" s="157"/>
      <c r="I1182" s="158">
        <v>9.86504160545953</v>
      </c>
      <c r="J1182" s="158">
        <v>52.3753847189091</v>
      </c>
      <c r="K1182" s="157" t="s">
        <v>3709</v>
      </c>
      <c r="L1182" s="157" t="s">
        <v>648</v>
      </c>
      <c r="M1182" s="158">
        <v>2022.0</v>
      </c>
      <c r="N1182" s="157" t="s">
        <v>114</v>
      </c>
      <c r="O1182" s="157" t="s">
        <v>1376</v>
      </c>
      <c r="P1182" s="161" t="b">
        <v>1</v>
      </c>
      <c r="Q1182" s="158">
        <v>0.45</v>
      </c>
      <c r="R1182" s="158">
        <v>0.0</v>
      </c>
      <c r="S1182" s="158">
        <v>0.45</v>
      </c>
      <c r="T1182" s="157" t="s">
        <v>114</v>
      </c>
      <c r="U1182" s="46" t="s">
        <v>651</v>
      </c>
      <c r="V1182" s="46" t="b">
        <v>1</v>
      </c>
      <c r="W1182" s="46">
        <v>0.95</v>
      </c>
      <c r="X1182" s="46">
        <v>0.0</v>
      </c>
      <c r="Y1182" s="46">
        <v>9.08217570894033</v>
      </c>
      <c r="Z1182" s="46" t="b">
        <v>1</v>
      </c>
      <c r="AA1182" s="46" t="b">
        <v>1</v>
      </c>
    </row>
    <row r="1183">
      <c r="A1183" s="157" t="s">
        <v>557</v>
      </c>
      <c r="B1183" s="158">
        <v>3.0</v>
      </c>
      <c r="C1183" s="157" t="s">
        <v>1215</v>
      </c>
      <c r="D1183" s="157" t="s">
        <v>1371</v>
      </c>
      <c r="E1183" s="157" t="s">
        <v>1372</v>
      </c>
      <c r="F1183" s="162" t="s">
        <v>3710</v>
      </c>
      <c r="G1183" s="157" t="s">
        <v>3711</v>
      </c>
      <c r="H1183" s="157"/>
      <c r="I1183" s="158">
        <v>8.33468194465238</v>
      </c>
      <c r="J1183" s="158">
        <v>51.5972101448566</v>
      </c>
      <c r="K1183" s="157" t="s">
        <v>2380</v>
      </c>
      <c r="L1183" s="157" t="s">
        <v>648</v>
      </c>
      <c r="M1183" s="158">
        <v>2022.0</v>
      </c>
      <c r="N1183" s="157" t="s">
        <v>114</v>
      </c>
      <c r="O1183" s="157" t="s">
        <v>1376</v>
      </c>
      <c r="P1183" s="161" t="b">
        <v>1</v>
      </c>
      <c r="Q1183" s="158">
        <v>0.395</v>
      </c>
      <c r="R1183" s="158">
        <v>0.0</v>
      </c>
      <c r="S1183" s="158">
        <v>0.395</v>
      </c>
      <c r="T1183" s="157" t="s">
        <v>114</v>
      </c>
      <c r="U1183" s="46" t="s">
        <v>651</v>
      </c>
      <c r="V1183" s="46" t="b">
        <v>1</v>
      </c>
      <c r="W1183" s="46">
        <v>0.95</v>
      </c>
      <c r="X1183" s="46">
        <v>0.0</v>
      </c>
      <c r="Y1183" s="46">
        <v>7.71213708957772</v>
      </c>
      <c r="Z1183" s="46" t="b">
        <v>1</v>
      </c>
      <c r="AA1183" s="46" t="b">
        <v>1</v>
      </c>
    </row>
    <row r="1184">
      <c r="A1184" s="157" t="s">
        <v>557</v>
      </c>
      <c r="B1184" s="158">
        <v>3.0</v>
      </c>
      <c r="C1184" s="157" t="s">
        <v>1215</v>
      </c>
      <c r="D1184" s="157" t="s">
        <v>1371</v>
      </c>
      <c r="E1184" s="157" t="s">
        <v>1372</v>
      </c>
      <c r="F1184" s="162" t="s">
        <v>3712</v>
      </c>
      <c r="G1184" s="157" t="s">
        <v>3713</v>
      </c>
      <c r="H1184" s="157"/>
      <c r="I1184" s="158">
        <v>10.9977241940792</v>
      </c>
      <c r="J1184" s="158">
        <v>48.8849029950009</v>
      </c>
      <c r="K1184" s="157" t="s">
        <v>3714</v>
      </c>
      <c r="L1184" s="157" t="s">
        <v>648</v>
      </c>
      <c r="M1184" s="158">
        <v>2022.0</v>
      </c>
      <c r="N1184" s="157" t="s">
        <v>114</v>
      </c>
      <c r="O1184" s="157" t="s">
        <v>1376</v>
      </c>
      <c r="P1184" s="161" t="b">
        <v>1</v>
      </c>
      <c r="Q1184" s="158">
        <v>0.348</v>
      </c>
      <c r="R1184" s="158">
        <v>0.0</v>
      </c>
      <c r="S1184" s="158">
        <v>0.348</v>
      </c>
      <c r="T1184" s="157" t="s">
        <v>114</v>
      </c>
      <c r="U1184" s="46" t="s">
        <v>651</v>
      </c>
      <c r="V1184" s="46" t="b">
        <v>1</v>
      </c>
      <c r="W1184" s="46">
        <v>0.95</v>
      </c>
      <c r="X1184" s="46">
        <v>0.0</v>
      </c>
      <c r="Y1184" s="46">
        <v>54.2200085249337</v>
      </c>
      <c r="Z1184" s="46" t="b">
        <v>0</v>
      </c>
      <c r="AA1184" s="46" t="b">
        <v>1</v>
      </c>
    </row>
    <row r="1185">
      <c r="A1185" s="157" t="s">
        <v>557</v>
      </c>
      <c r="B1185" s="158">
        <v>3.0</v>
      </c>
      <c r="C1185" s="157" t="s">
        <v>1215</v>
      </c>
      <c r="D1185" s="157" t="s">
        <v>1371</v>
      </c>
      <c r="E1185" s="157" t="s">
        <v>1372</v>
      </c>
      <c r="F1185" s="162" t="s">
        <v>3715</v>
      </c>
      <c r="G1185" s="157" t="s">
        <v>3716</v>
      </c>
      <c r="H1185" s="157"/>
      <c r="I1185" s="158">
        <v>8.07317124217995</v>
      </c>
      <c r="J1185" s="158">
        <v>51.7602459644145</v>
      </c>
      <c r="K1185" s="157" t="s">
        <v>3706</v>
      </c>
      <c r="L1185" s="157" t="s">
        <v>648</v>
      </c>
      <c r="M1185" s="158">
        <v>2022.0</v>
      </c>
      <c r="N1185" s="157" t="s">
        <v>114</v>
      </c>
      <c r="O1185" s="157" t="s">
        <v>1376</v>
      </c>
      <c r="P1185" s="161" t="b">
        <v>1</v>
      </c>
      <c r="Q1185" s="158">
        <v>0.325</v>
      </c>
      <c r="R1185" s="158">
        <v>0.0</v>
      </c>
      <c r="S1185" s="158">
        <v>0.325</v>
      </c>
      <c r="T1185" s="157" t="s">
        <v>114</v>
      </c>
      <c r="U1185" s="46" t="s">
        <v>651</v>
      </c>
      <c r="V1185" s="46" t="b">
        <v>1</v>
      </c>
      <c r="W1185" s="46">
        <v>0.95</v>
      </c>
      <c r="X1185" s="46">
        <v>0.0</v>
      </c>
      <c r="Y1185" s="46">
        <v>8.0340643697032</v>
      </c>
      <c r="Z1185" s="46" t="b">
        <v>1</v>
      </c>
      <c r="AA1185" s="46" t="b">
        <v>1</v>
      </c>
    </row>
    <row r="1186">
      <c r="A1186" s="157" t="s">
        <v>557</v>
      </c>
      <c r="B1186" s="158">
        <v>3.0</v>
      </c>
      <c r="C1186" s="157" t="s">
        <v>1215</v>
      </c>
      <c r="D1186" s="157" t="s">
        <v>1371</v>
      </c>
      <c r="E1186" s="157" t="s">
        <v>1372</v>
      </c>
      <c r="F1186" s="162" t="s">
        <v>3717</v>
      </c>
      <c r="G1186" s="157" t="s">
        <v>3718</v>
      </c>
      <c r="H1186" s="157"/>
      <c r="I1186" s="158">
        <v>8.74404617045357</v>
      </c>
      <c r="J1186" s="158">
        <v>51.6989010644723</v>
      </c>
      <c r="K1186" s="157" t="s">
        <v>3719</v>
      </c>
      <c r="L1186" s="157" t="s">
        <v>648</v>
      </c>
      <c r="M1186" s="158">
        <v>2022.0</v>
      </c>
      <c r="N1186" s="157" t="s">
        <v>114</v>
      </c>
      <c r="O1186" s="157" t="s">
        <v>1376</v>
      </c>
      <c r="P1186" s="161" t="b">
        <v>1</v>
      </c>
      <c r="Q1186" s="158">
        <v>0.223</v>
      </c>
      <c r="R1186" s="158">
        <v>0.0</v>
      </c>
      <c r="S1186" s="158">
        <v>0.223</v>
      </c>
      <c r="T1186" s="157" t="s">
        <v>114</v>
      </c>
      <c r="U1186" s="46" t="s">
        <v>651</v>
      </c>
      <c r="V1186" s="46" t="b">
        <v>1</v>
      </c>
      <c r="W1186" s="46">
        <v>0.95</v>
      </c>
      <c r="X1186" s="46">
        <v>0.0</v>
      </c>
      <c r="Y1186" s="46">
        <v>20.954492345458</v>
      </c>
      <c r="Z1186" s="46" t="b">
        <v>1</v>
      </c>
      <c r="AA1186" s="46" t="b">
        <v>1</v>
      </c>
    </row>
    <row r="1187">
      <c r="A1187" s="157" t="s">
        <v>557</v>
      </c>
      <c r="B1187" s="158">
        <v>3.0</v>
      </c>
      <c r="C1187" s="157" t="s">
        <v>1215</v>
      </c>
      <c r="D1187" s="157" t="s">
        <v>1371</v>
      </c>
      <c r="E1187" s="157" t="s">
        <v>1372</v>
      </c>
      <c r="F1187" s="162" t="s">
        <v>3720</v>
      </c>
      <c r="G1187" s="157" t="s">
        <v>3721</v>
      </c>
      <c r="H1187" s="157"/>
      <c r="I1187" s="158">
        <v>9.50951892654723</v>
      </c>
      <c r="J1187" s="158">
        <v>50.5845244447728</v>
      </c>
      <c r="K1187" s="157" t="s">
        <v>3722</v>
      </c>
      <c r="L1187" s="157" t="s">
        <v>648</v>
      </c>
      <c r="M1187" s="158">
        <v>2022.0</v>
      </c>
      <c r="N1187" s="157" t="s">
        <v>114</v>
      </c>
      <c r="O1187" s="157" t="s">
        <v>1376</v>
      </c>
      <c r="P1187" s="161" t="b">
        <v>1</v>
      </c>
      <c r="Q1187" s="158">
        <v>0.195</v>
      </c>
      <c r="R1187" s="158">
        <v>0.0</v>
      </c>
      <c r="S1187" s="158">
        <v>0.195</v>
      </c>
      <c r="T1187" s="157" t="s">
        <v>114</v>
      </c>
      <c r="U1187" s="46" t="s">
        <v>651</v>
      </c>
      <c r="V1187" s="46" t="b">
        <v>1</v>
      </c>
      <c r="W1187" s="46">
        <v>0.95</v>
      </c>
      <c r="X1187" s="46">
        <v>0.0</v>
      </c>
      <c r="Y1187" s="46">
        <v>71.0021009440054</v>
      </c>
      <c r="Z1187" s="46" t="b">
        <v>0</v>
      </c>
      <c r="AA1187" s="46" t="b">
        <v>1</v>
      </c>
    </row>
    <row r="1188">
      <c r="A1188" s="157" t="s">
        <v>557</v>
      </c>
      <c r="B1188" s="158">
        <v>3.0</v>
      </c>
      <c r="C1188" s="157" t="s">
        <v>1215</v>
      </c>
      <c r="D1188" s="157" t="s">
        <v>1371</v>
      </c>
      <c r="E1188" s="157" t="s">
        <v>1372</v>
      </c>
      <c r="F1188" s="162" t="s">
        <v>3723</v>
      </c>
      <c r="G1188" s="157" t="s">
        <v>3724</v>
      </c>
      <c r="H1188" s="157"/>
      <c r="I1188" s="158">
        <v>6.76682813650854</v>
      </c>
      <c r="J1188" s="158">
        <v>50.3339900588749</v>
      </c>
      <c r="K1188" s="157" t="s">
        <v>3725</v>
      </c>
      <c r="L1188" s="157" t="s">
        <v>648</v>
      </c>
      <c r="M1188" s="158">
        <v>2022.0</v>
      </c>
      <c r="N1188" s="157" t="s">
        <v>114</v>
      </c>
      <c r="O1188" s="157" t="s">
        <v>1376</v>
      </c>
      <c r="P1188" s="161" t="b">
        <v>1</v>
      </c>
      <c r="Q1188" s="158">
        <v>0.17</v>
      </c>
      <c r="R1188" s="158">
        <v>0.0</v>
      </c>
      <c r="S1188" s="158">
        <v>0.17</v>
      </c>
      <c r="T1188" s="157" t="s">
        <v>114</v>
      </c>
      <c r="U1188" s="46" t="s">
        <v>651</v>
      </c>
      <c r="V1188" s="46" t="b">
        <v>1</v>
      </c>
      <c r="W1188" s="46">
        <v>0.95</v>
      </c>
      <c r="X1188" s="46">
        <v>0.0</v>
      </c>
      <c r="Y1188" s="46">
        <v>53.3348798409122</v>
      </c>
      <c r="Z1188" s="46" t="b">
        <v>0</v>
      </c>
      <c r="AA1188" s="46" t="b">
        <v>1</v>
      </c>
    </row>
    <row r="1189">
      <c r="A1189" s="157" t="s">
        <v>583</v>
      </c>
      <c r="B1189" s="158">
        <v>3.0</v>
      </c>
      <c r="C1189" s="157" t="s">
        <v>1215</v>
      </c>
      <c r="D1189" s="157" t="s">
        <v>1371</v>
      </c>
      <c r="E1189" s="157" t="s">
        <v>1372</v>
      </c>
      <c r="F1189" s="157" t="s">
        <v>3726</v>
      </c>
      <c r="G1189" s="157" t="s">
        <v>3727</v>
      </c>
      <c r="H1189" s="157"/>
      <c r="I1189" s="158">
        <v>-6.386672</v>
      </c>
      <c r="J1189" s="158">
        <v>53.684594</v>
      </c>
      <c r="K1189" s="157" t="s">
        <v>3728</v>
      </c>
      <c r="L1189" s="157" t="s">
        <v>648</v>
      </c>
      <c r="M1189" s="158">
        <v>2022.0</v>
      </c>
      <c r="N1189" s="157" t="s">
        <v>114</v>
      </c>
      <c r="O1189" s="157" t="s">
        <v>1376</v>
      </c>
      <c r="P1189" s="161" t="b">
        <v>1</v>
      </c>
      <c r="Q1189" s="158">
        <v>1.016691026</v>
      </c>
      <c r="R1189" s="158">
        <v>0.0</v>
      </c>
      <c r="S1189" s="158">
        <v>1.016691026</v>
      </c>
      <c r="T1189" s="157" t="s">
        <v>114</v>
      </c>
      <c r="U1189" s="46" t="s">
        <v>651</v>
      </c>
      <c r="V1189" s="46" t="b">
        <v>1</v>
      </c>
      <c r="W1189" s="46">
        <v>0.95</v>
      </c>
      <c r="X1189" s="46">
        <v>0.0</v>
      </c>
      <c r="Y1189" s="46" t="s">
        <v>640</v>
      </c>
      <c r="Z1189" s="46" t="b">
        <v>0</v>
      </c>
      <c r="AA1189" s="46" t="b">
        <v>0</v>
      </c>
    </row>
    <row r="1190">
      <c r="A1190" s="157" t="s">
        <v>583</v>
      </c>
      <c r="B1190" s="158">
        <v>3.0</v>
      </c>
      <c r="C1190" s="157" t="s">
        <v>1215</v>
      </c>
      <c r="D1190" s="157" t="s">
        <v>1371</v>
      </c>
      <c r="E1190" s="157" t="s">
        <v>1372</v>
      </c>
      <c r="F1190" s="157" t="s">
        <v>3729</v>
      </c>
      <c r="G1190" s="157" t="s">
        <v>3730</v>
      </c>
      <c r="H1190" s="157"/>
      <c r="I1190" s="158">
        <v>-8.693808</v>
      </c>
      <c r="J1190" s="158">
        <v>52.645359</v>
      </c>
      <c r="K1190" s="157" t="s">
        <v>3731</v>
      </c>
      <c r="L1190" s="157" t="s">
        <v>648</v>
      </c>
      <c r="M1190" s="158">
        <v>2022.0</v>
      </c>
      <c r="N1190" s="157" t="s">
        <v>114</v>
      </c>
      <c r="O1190" s="157" t="s">
        <v>1376</v>
      </c>
      <c r="P1190" s="161" t="b">
        <v>1</v>
      </c>
      <c r="Q1190" s="158">
        <v>0.69775721</v>
      </c>
      <c r="R1190" s="158">
        <v>0.0</v>
      </c>
      <c r="S1190" s="158">
        <v>0.69775721</v>
      </c>
      <c r="T1190" s="157" t="s">
        <v>114</v>
      </c>
      <c r="U1190" s="46" t="s">
        <v>651</v>
      </c>
      <c r="V1190" s="46" t="b">
        <v>1</v>
      </c>
      <c r="W1190" s="46">
        <v>0.95</v>
      </c>
      <c r="X1190" s="46">
        <v>0.0</v>
      </c>
      <c r="Y1190" s="46" t="s">
        <v>640</v>
      </c>
      <c r="Z1190" s="46" t="b">
        <v>0</v>
      </c>
      <c r="AA1190" s="46" t="b">
        <v>0</v>
      </c>
    </row>
    <row r="1191">
      <c r="A1191" s="157" t="s">
        <v>583</v>
      </c>
      <c r="B1191" s="158">
        <v>3.0</v>
      </c>
      <c r="C1191" s="157" t="s">
        <v>1215</v>
      </c>
      <c r="D1191" s="157" t="s">
        <v>1371</v>
      </c>
      <c r="E1191" s="157" t="s">
        <v>1372</v>
      </c>
      <c r="F1191" s="157" t="s">
        <v>3732</v>
      </c>
      <c r="G1191" s="157" t="s">
        <v>3733</v>
      </c>
      <c r="H1191" s="157"/>
      <c r="I1191" s="158">
        <v>-7.140934</v>
      </c>
      <c r="J1191" s="158">
        <v>53.435529</v>
      </c>
      <c r="K1191" s="157" t="s">
        <v>3728</v>
      </c>
      <c r="L1191" s="157" t="s">
        <v>648</v>
      </c>
      <c r="M1191" s="158">
        <v>2022.0</v>
      </c>
      <c r="N1191" s="157" t="s">
        <v>114</v>
      </c>
      <c r="O1191" s="157" t="s">
        <v>1376</v>
      </c>
      <c r="P1191" s="161" t="b">
        <v>1</v>
      </c>
      <c r="Q1191" s="158">
        <v>0.422338</v>
      </c>
      <c r="R1191" s="158">
        <v>0.0</v>
      </c>
      <c r="S1191" s="158">
        <v>0.422338</v>
      </c>
      <c r="T1191" s="157" t="s">
        <v>114</v>
      </c>
      <c r="U1191" s="46" t="s">
        <v>651</v>
      </c>
      <c r="V1191" s="46" t="b">
        <v>1</v>
      </c>
      <c r="W1191" s="46">
        <v>0.95</v>
      </c>
      <c r="X1191" s="46">
        <v>0.0</v>
      </c>
      <c r="Y1191" s="46" t="s">
        <v>640</v>
      </c>
      <c r="Z1191" s="46" t="b">
        <v>0</v>
      </c>
      <c r="AA1191" s="46" t="b">
        <v>0</v>
      </c>
    </row>
    <row r="1192">
      <c r="A1192" s="157" t="s">
        <v>576</v>
      </c>
      <c r="B1192" s="158">
        <v>3.0</v>
      </c>
      <c r="C1192" s="157" t="s">
        <v>1215</v>
      </c>
      <c r="D1192" s="157" t="s">
        <v>1371</v>
      </c>
      <c r="E1192" s="157" t="s">
        <v>1372</v>
      </c>
      <c r="F1192" s="157" t="s">
        <v>3734</v>
      </c>
      <c r="G1192" s="157" t="s">
        <v>3735</v>
      </c>
      <c r="H1192" s="157"/>
      <c r="I1192" s="158">
        <v>22.331876</v>
      </c>
      <c r="J1192" s="158">
        <v>47.038682</v>
      </c>
      <c r="K1192" s="157" t="s">
        <v>3736</v>
      </c>
      <c r="L1192" s="157" t="s">
        <v>648</v>
      </c>
      <c r="M1192" s="158">
        <v>2022.0</v>
      </c>
      <c r="N1192" s="157" t="s">
        <v>114</v>
      </c>
      <c r="O1192" s="157" t="s">
        <v>1376</v>
      </c>
      <c r="P1192" s="161" t="b">
        <v>1</v>
      </c>
      <c r="Q1192" s="158">
        <v>0.966</v>
      </c>
      <c r="R1192" s="158">
        <v>0.0</v>
      </c>
      <c r="S1192" s="158">
        <v>0.966</v>
      </c>
      <c r="T1192" s="157" t="s">
        <v>114</v>
      </c>
      <c r="U1192" s="46" t="s">
        <v>651</v>
      </c>
      <c r="V1192" s="46" t="b">
        <v>1</v>
      </c>
      <c r="W1192" s="46">
        <v>0.95</v>
      </c>
      <c r="X1192" s="46">
        <v>0.0</v>
      </c>
      <c r="Y1192" s="46" t="s">
        <v>640</v>
      </c>
      <c r="Z1192" s="46" t="b">
        <v>0</v>
      </c>
      <c r="AA1192" s="46" t="b">
        <v>0</v>
      </c>
    </row>
    <row r="1193">
      <c r="A1193" s="157" t="s">
        <v>576</v>
      </c>
      <c r="B1193" s="158">
        <v>3.0</v>
      </c>
      <c r="C1193" s="157" t="s">
        <v>1215</v>
      </c>
      <c r="D1193" s="157" t="s">
        <v>1371</v>
      </c>
      <c r="E1193" s="157" t="s">
        <v>1372</v>
      </c>
      <c r="F1193" s="157" t="s">
        <v>3737</v>
      </c>
      <c r="G1193" s="157" t="s">
        <v>3738</v>
      </c>
      <c r="H1193" s="157"/>
      <c r="I1193" s="158">
        <v>28.307913</v>
      </c>
      <c r="J1193" s="158">
        <v>44.241846</v>
      </c>
      <c r="K1193" s="157" t="s">
        <v>3739</v>
      </c>
      <c r="L1193" s="157" t="s">
        <v>648</v>
      </c>
      <c r="M1193" s="158">
        <v>2022.0</v>
      </c>
      <c r="N1193" s="157" t="s">
        <v>114</v>
      </c>
      <c r="O1193" s="157" t="s">
        <v>1376</v>
      </c>
      <c r="P1193" s="161" t="b">
        <v>1</v>
      </c>
      <c r="Q1193" s="158">
        <v>0.941</v>
      </c>
      <c r="R1193" s="158">
        <v>0.0</v>
      </c>
      <c r="S1193" s="158">
        <v>0.941</v>
      </c>
      <c r="T1193" s="157" t="s">
        <v>114</v>
      </c>
      <c r="U1193" s="46" t="s">
        <v>651</v>
      </c>
      <c r="V1193" s="46" t="b">
        <v>1</v>
      </c>
      <c r="W1193" s="46">
        <v>0.95</v>
      </c>
      <c r="X1193" s="46">
        <v>0.0</v>
      </c>
      <c r="Y1193" s="46">
        <v>128.365208578339</v>
      </c>
      <c r="Z1193" s="46" t="b">
        <v>0</v>
      </c>
      <c r="AA1193" s="46" t="b">
        <v>0</v>
      </c>
    </row>
    <row r="1194">
      <c r="A1194" s="157" t="s">
        <v>576</v>
      </c>
      <c r="B1194" s="158">
        <v>3.0</v>
      </c>
      <c r="C1194" s="157" t="s">
        <v>1215</v>
      </c>
      <c r="D1194" s="157" t="s">
        <v>1371</v>
      </c>
      <c r="E1194" s="157" t="s">
        <v>1372</v>
      </c>
      <c r="F1194" s="157" t="s">
        <v>3740</v>
      </c>
      <c r="G1194" s="157" t="s">
        <v>3741</v>
      </c>
      <c r="H1194" s="157"/>
      <c r="I1194" s="158">
        <v>25.281858</v>
      </c>
      <c r="J1194" s="158">
        <v>45.951652</v>
      </c>
      <c r="K1194" s="157" t="s">
        <v>3742</v>
      </c>
      <c r="L1194" s="157" t="s">
        <v>648</v>
      </c>
      <c r="M1194" s="158">
        <v>2022.0</v>
      </c>
      <c r="N1194" s="157" t="s">
        <v>114</v>
      </c>
      <c r="O1194" s="157" t="s">
        <v>1376</v>
      </c>
      <c r="P1194" s="161" t="b">
        <v>1</v>
      </c>
      <c r="Q1194" s="158">
        <v>0.869</v>
      </c>
      <c r="R1194" s="158">
        <v>0.0</v>
      </c>
      <c r="S1194" s="158">
        <v>0.869</v>
      </c>
      <c r="T1194" s="157" t="s">
        <v>114</v>
      </c>
      <c r="U1194" s="46" t="s">
        <v>651</v>
      </c>
      <c r="V1194" s="46" t="b">
        <v>1</v>
      </c>
      <c r="W1194" s="46">
        <v>0.95</v>
      </c>
      <c r="X1194" s="46">
        <v>0.0</v>
      </c>
      <c r="Y1194" s="46" t="s">
        <v>640</v>
      </c>
      <c r="Z1194" s="46" t="b">
        <v>0</v>
      </c>
      <c r="AA1194" s="46" t="b">
        <v>0</v>
      </c>
    </row>
    <row r="1195">
      <c r="A1195" s="157" t="s">
        <v>576</v>
      </c>
      <c r="B1195" s="158">
        <v>3.0</v>
      </c>
      <c r="C1195" s="157" t="s">
        <v>1215</v>
      </c>
      <c r="D1195" s="157" t="s">
        <v>1371</v>
      </c>
      <c r="E1195" s="157" t="s">
        <v>1372</v>
      </c>
      <c r="F1195" s="157" t="s">
        <v>3743</v>
      </c>
      <c r="G1195" s="157" t="s">
        <v>3744</v>
      </c>
      <c r="H1195" s="157"/>
      <c r="I1195" s="158">
        <v>25.41758611</v>
      </c>
      <c r="J1195" s="158">
        <v>45.12266666</v>
      </c>
      <c r="K1195" s="157" t="s">
        <v>3745</v>
      </c>
      <c r="L1195" s="157" t="s">
        <v>648</v>
      </c>
      <c r="M1195" s="158">
        <v>2022.0</v>
      </c>
      <c r="N1195" s="157" t="s">
        <v>114</v>
      </c>
      <c r="O1195" s="157" t="s">
        <v>1376</v>
      </c>
      <c r="P1195" s="161" t="b">
        <v>1</v>
      </c>
      <c r="Q1195" s="158">
        <v>0.683</v>
      </c>
      <c r="R1195" s="158">
        <v>0.0</v>
      </c>
      <c r="S1195" s="158">
        <v>0.683</v>
      </c>
      <c r="T1195" s="157" t="s">
        <v>114</v>
      </c>
      <c r="U1195" s="46" t="s">
        <v>651</v>
      </c>
      <c r="V1195" s="46" t="b">
        <v>1</v>
      </c>
      <c r="W1195" s="46">
        <v>0.95</v>
      </c>
      <c r="X1195" s="46">
        <v>0.0</v>
      </c>
      <c r="Y1195" s="46" t="s">
        <v>640</v>
      </c>
      <c r="Z1195" s="46" t="b">
        <v>0</v>
      </c>
      <c r="AA1195" s="46" t="b">
        <v>0</v>
      </c>
    </row>
    <row r="1196">
      <c r="A1196" s="157" t="s">
        <v>576</v>
      </c>
      <c r="B1196" s="158">
        <v>3.0</v>
      </c>
      <c r="C1196" s="157" t="s">
        <v>1215</v>
      </c>
      <c r="D1196" s="157" t="s">
        <v>1371</v>
      </c>
      <c r="E1196" s="157" t="s">
        <v>1372</v>
      </c>
      <c r="F1196" s="157" t="s">
        <v>3746</v>
      </c>
      <c r="G1196" s="157" t="s">
        <v>3747</v>
      </c>
      <c r="H1196" s="157"/>
      <c r="I1196" s="158">
        <v>26.029587</v>
      </c>
      <c r="J1196" s="158">
        <v>46.897861</v>
      </c>
      <c r="K1196" s="157" t="s">
        <v>3748</v>
      </c>
      <c r="L1196" s="157" t="s">
        <v>648</v>
      </c>
      <c r="M1196" s="158">
        <v>2022.0</v>
      </c>
      <c r="N1196" s="157" t="s">
        <v>114</v>
      </c>
      <c r="O1196" s="157" t="s">
        <v>1376</v>
      </c>
      <c r="P1196" s="161" t="b">
        <v>1</v>
      </c>
      <c r="Q1196" s="158">
        <v>0.531</v>
      </c>
      <c r="R1196" s="158">
        <v>0.0</v>
      </c>
      <c r="S1196" s="158">
        <v>0.531</v>
      </c>
      <c r="T1196" s="157" t="s">
        <v>114</v>
      </c>
      <c r="U1196" s="46" t="s">
        <v>651</v>
      </c>
      <c r="V1196" s="46" t="b">
        <v>1</v>
      </c>
      <c r="W1196" s="46">
        <v>0.95</v>
      </c>
      <c r="X1196" s="46">
        <v>0.0</v>
      </c>
      <c r="Y1196" s="46" t="s">
        <v>640</v>
      </c>
      <c r="Z1196" s="46" t="b">
        <v>0</v>
      </c>
      <c r="AA1196" s="46" t="b">
        <v>0</v>
      </c>
    </row>
    <row r="1197">
      <c r="A1197" s="157" t="s">
        <v>576</v>
      </c>
      <c r="B1197" s="158">
        <v>3.0</v>
      </c>
      <c r="C1197" s="157" t="s">
        <v>1215</v>
      </c>
      <c r="D1197" s="157" t="s">
        <v>1371</v>
      </c>
      <c r="E1197" s="157" t="s">
        <v>1372</v>
      </c>
      <c r="F1197" s="157" t="s">
        <v>3749</v>
      </c>
      <c r="G1197" s="157" t="s">
        <v>3750</v>
      </c>
      <c r="H1197" s="157"/>
      <c r="I1197" s="158">
        <v>22.866436</v>
      </c>
      <c r="J1197" s="158">
        <v>45.954952</v>
      </c>
      <c r="K1197" s="157" t="s">
        <v>3751</v>
      </c>
      <c r="L1197" s="157" t="s">
        <v>648</v>
      </c>
      <c r="M1197" s="158">
        <v>2022.0</v>
      </c>
      <c r="N1197" s="157" t="s">
        <v>114</v>
      </c>
      <c r="O1197" s="157" t="s">
        <v>1376</v>
      </c>
      <c r="P1197" s="161" t="b">
        <v>1</v>
      </c>
      <c r="Q1197" s="158">
        <v>0.444</v>
      </c>
      <c r="R1197" s="158">
        <v>0.0</v>
      </c>
      <c r="S1197" s="158">
        <v>0.444</v>
      </c>
      <c r="T1197" s="157" t="s">
        <v>114</v>
      </c>
      <c r="U1197" s="46" t="s">
        <v>651</v>
      </c>
      <c r="V1197" s="46" t="b">
        <v>1</v>
      </c>
      <c r="W1197" s="46">
        <v>0.95</v>
      </c>
      <c r="X1197" s="46">
        <v>0.0</v>
      </c>
      <c r="Y1197" s="46" t="s">
        <v>640</v>
      </c>
      <c r="Z1197" s="46" t="b">
        <v>0</v>
      </c>
      <c r="AA1197" s="46" t="b">
        <v>0</v>
      </c>
    </row>
    <row r="1198">
      <c r="A1198" s="157" t="s">
        <v>563</v>
      </c>
      <c r="B1198" s="158">
        <v>3.0</v>
      </c>
      <c r="C1198" s="157" t="s">
        <v>1215</v>
      </c>
      <c r="D1198" s="157" t="s">
        <v>1371</v>
      </c>
      <c r="E1198" s="157" t="s">
        <v>1372</v>
      </c>
      <c r="F1198" s="157" t="s">
        <v>3752</v>
      </c>
      <c r="G1198" s="157" t="s">
        <v>3753</v>
      </c>
      <c r="H1198" s="157"/>
      <c r="I1198" s="158">
        <v>-2.4715</v>
      </c>
      <c r="J1198" s="158">
        <v>55.97901</v>
      </c>
      <c r="K1198" s="157" t="s">
        <v>3754</v>
      </c>
      <c r="L1198" s="157" t="s">
        <v>648</v>
      </c>
      <c r="M1198" s="158">
        <v>2019.0</v>
      </c>
      <c r="N1198" s="157" t="s">
        <v>114</v>
      </c>
      <c r="O1198" s="157" t="s">
        <v>1376</v>
      </c>
      <c r="P1198" s="161" t="b">
        <v>1</v>
      </c>
      <c r="Q1198" s="158">
        <v>0.559</v>
      </c>
      <c r="R1198" s="158">
        <v>0.0</v>
      </c>
      <c r="S1198" s="158">
        <v>0.559</v>
      </c>
      <c r="T1198" s="157" t="s">
        <v>114</v>
      </c>
      <c r="U1198" s="46" t="s">
        <v>651</v>
      </c>
      <c r="V1198" s="46" t="b">
        <v>1</v>
      </c>
      <c r="W1198" s="46">
        <v>0.95</v>
      </c>
      <c r="X1198" s="46">
        <v>0.0</v>
      </c>
      <c r="Y1198" s="46">
        <v>54.6390739780793</v>
      </c>
      <c r="Z1198" s="46" t="b">
        <v>0</v>
      </c>
      <c r="AA1198" s="46" t="b">
        <v>1</v>
      </c>
    </row>
    <row r="1199">
      <c r="A1199" s="157" t="s">
        <v>563</v>
      </c>
      <c r="B1199" s="158">
        <v>3.0</v>
      </c>
      <c r="C1199" s="157" t="s">
        <v>1215</v>
      </c>
      <c r="D1199" s="157" t="s">
        <v>1371</v>
      </c>
      <c r="E1199" s="157" t="s">
        <v>1372</v>
      </c>
      <c r="F1199" s="157" t="s">
        <v>3755</v>
      </c>
      <c r="G1199" s="157" t="s">
        <v>3756</v>
      </c>
      <c r="H1199" s="157"/>
      <c r="I1199" s="158">
        <v>-6.7661</v>
      </c>
      <c r="J1199" s="158">
        <v>54.6178</v>
      </c>
      <c r="K1199" s="157" t="s">
        <v>3757</v>
      </c>
      <c r="L1199" s="157" t="s">
        <v>648</v>
      </c>
      <c r="M1199" s="158">
        <v>2019.0</v>
      </c>
      <c r="N1199" s="157" t="s">
        <v>114</v>
      </c>
      <c r="O1199" s="157" t="s">
        <v>1376</v>
      </c>
      <c r="P1199" s="161" t="b">
        <v>1</v>
      </c>
      <c r="Q1199" s="158">
        <v>0.313</v>
      </c>
      <c r="R1199" s="158">
        <v>0.0</v>
      </c>
      <c r="S1199" s="158">
        <v>0.313</v>
      </c>
      <c r="T1199" s="157" t="s">
        <v>114</v>
      </c>
      <c r="U1199" s="46" t="s">
        <v>651</v>
      </c>
      <c r="V1199" s="46" t="b">
        <v>1</v>
      </c>
      <c r="W1199" s="46">
        <v>0.95</v>
      </c>
      <c r="X1199" s="46">
        <v>0.0</v>
      </c>
      <c r="Y1199" s="46" t="s">
        <v>640</v>
      </c>
      <c r="Z1199" s="46" t="b">
        <v>0</v>
      </c>
      <c r="AA1199" s="46" t="b">
        <v>0</v>
      </c>
    </row>
    <row r="1200">
      <c r="A1200" s="157" t="s">
        <v>568</v>
      </c>
      <c r="B1200" s="158">
        <v>3.0</v>
      </c>
      <c r="C1200" s="157" t="s">
        <v>1215</v>
      </c>
      <c r="D1200" s="157" t="s">
        <v>3758</v>
      </c>
      <c r="E1200" s="157" t="s">
        <v>3759</v>
      </c>
      <c r="F1200" s="157" t="s">
        <v>3760</v>
      </c>
      <c r="G1200" s="157" t="s">
        <v>3761</v>
      </c>
      <c r="H1200" s="157"/>
      <c r="I1200" s="158">
        <v>10.0417365035144</v>
      </c>
      <c r="J1200" s="158">
        <v>56.37496945</v>
      </c>
      <c r="K1200" s="157" t="s">
        <v>3762</v>
      </c>
      <c r="L1200" s="157" t="s">
        <v>648</v>
      </c>
      <c r="M1200" s="158">
        <v>2022.0</v>
      </c>
      <c r="N1200" s="157" t="s">
        <v>105</v>
      </c>
      <c r="O1200" s="157" t="s">
        <v>3763</v>
      </c>
      <c r="P1200" s="161" t="b">
        <v>1</v>
      </c>
      <c r="Q1200" s="158">
        <v>0.101646</v>
      </c>
      <c r="R1200" s="158">
        <v>0.0</v>
      </c>
      <c r="S1200" s="158">
        <v>0.101646</v>
      </c>
      <c r="T1200" s="157" t="s">
        <v>105</v>
      </c>
      <c r="U1200" s="46" t="s">
        <v>651</v>
      </c>
      <c r="V1200" s="46" t="b">
        <v>1</v>
      </c>
      <c r="W1200" s="46">
        <v>0.95</v>
      </c>
      <c r="X1200" s="46">
        <v>0.0</v>
      </c>
      <c r="Y1200" s="46">
        <v>14.999961530148</v>
      </c>
      <c r="Z1200" s="46" t="b">
        <v>1</v>
      </c>
      <c r="AA1200" s="46" t="b">
        <v>1</v>
      </c>
    </row>
    <row r="1201">
      <c r="A1201" s="157" t="s">
        <v>566</v>
      </c>
      <c r="B1201" s="158">
        <v>3.0</v>
      </c>
      <c r="C1201" s="157" t="s">
        <v>1215</v>
      </c>
      <c r="D1201" s="157" t="s">
        <v>3758</v>
      </c>
      <c r="E1201" s="157" t="s">
        <v>3759</v>
      </c>
      <c r="F1201" s="157" t="s">
        <v>3764</v>
      </c>
      <c r="G1201" s="157" t="s">
        <v>3765</v>
      </c>
      <c r="H1201" s="157"/>
      <c r="I1201" s="158">
        <v>20.06674194</v>
      </c>
      <c r="J1201" s="158">
        <v>50.0798645</v>
      </c>
      <c r="K1201" s="157" t="s">
        <v>1303</v>
      </c>
      <c r="L1201" s="157" t="s">
        <v>648</v>
      </c>
      <c r="M1201" s="158">
        <v>2022.0</v>
      </c>
      <c r="N1201" s="157" t="s">
        <v>105</v>
      </c>
      <c r="O1201" s="157" t="s">
        <v>3763</v>
      </c>
      <c r="P1201" s="161" t="b">
        <v>1</v>
      </c>
      <c r="Q1201" s="158">
        <v>0.261</v>
      </c>
      <c r="R1201" s="158">
        <v>0.0</v>
      </c>
      <c r="S1201" s="158">
        <v>0.261</v>
      </c>
      <c r="T1201" s="157" t="s">
        <v>105</v>
      </c>
      <c r="U1201" s="46" t="s">
        <v>651</v>
      </c>
      <c r="V1201" s="46" t="b">
        <v>1</v>
      </c>
      <c r="W1201" s="46">
        <v>0.95</v>
      </c>
      <c r="X1201" s="46">
        <v>0.0</v>
      </c>
      <c r="Y1201" s="46" t="s">
        <v>640</v>
      </c>
      <c r="Z1201" s="46" t="b">
        <v>0</v>
      </c>
      <c r="AA1201" s="46" t="b">
        <v>0</v>
      </c>
    </row>
    <row r="1202">
      <c r="A1202" s="157" t="s">
        <v>561</v>
      </c>
      <c r="B1202" s="158">
        <v>3.0</v>
      </c>
      <c r="C1202" s="157" t="s">
        <v>1215</v>
      </c>
      <c r="D1202" s="157" t="s">
        <v>3758</v>
      </c>
      <c r="E1202" s="157" t="s">
        <v>3759</v>
      </c>
      <c r="F1202" s="157" t="s">
        <v>3766</v>
      </c>
      <c r="G1202" s="157" t="s">
        <v>3767</v>
      </c>
      <c r="H1202" s="157"/>
      <c r="I1202" s="158">
        <v>-0.176455</v>
      </c>
      <c r="J1202" s="158">
        <v>39.790974</v>
      </c>
      <c r="K1202" s="157" t="s">
        <v>3768</v>
      </c>
      <c r="L1202" s="157" t="s">
        <v>648</v>
      </c>
      <c r="M1202" s="158">
        <v>2022.0</v>
      </c>
      <c r="N1202" s="157" t="s">
        <v>105</v>
      </c>
      <c r="O1202" s="157" t="s">
        <v>3763</v>
      </c>
      <c r="P1202" s="161" t="b">
        <v>1</v>
      </c>
      <c r="Q1202" s="158">
        <v>0.172</v>
      </c>
      <c r="R1202" s="158">
        <v>0.0</v>
      </c>
      <c r="S1202" s="158">
        <v>0.172</v>
      </c>
      <c r="T1202" s="157" t="s">
        <v>105</v>
      </c>
      <c r="U1202" s="46" t="s">
        <v>651</v>
      </c>
      <c r="V1202" s="46" t="b">
        <v>1</v>
      </c>
      <c r="W1202" s="46">
        <v>0.95</v>
      </c>
      <c r="X1202" s="46">
        <v>0.0</v>
      </c>
      <c r="Y1202" s="46" t="s">
        <v>640</v>
      </c>
      <c r="Z1202" s="46" t="b">
        <v>0</v>
      </c>
      <c r="AA1202" s="46" t="b">
        <v>0</v>
      </c>
    </row>
    <row r="1203">
      <c r="A1203" s="157" t="s">
        <v>561</v>
      </c>
      <c r="B1203" s="158">
        <v>3.0</v>
      </c>
      <c r="C1203" s="157" t="s">
        <v>1215</v>
      </c>
      <c r="D1203" s="157" t="s">
        <v>3758</v>
      </c>
      <c r="E1203" s="157" t="s">
        <v>3759</v>
      </c>
      <c r="F1203" s="157" t="s">
        <v>3769</v>
      </c>
      <c r="G1203" s="157" t="s">
        <v>3770</v>
      </c>
      <c r="H1203" s="157"/>
      <c r="I1203" s="158">
        <v>-0.104481</v>
      </c>
      <c r="J1203" s="158">
        <v>40.003122</v>
      </c>
      <c r="K1203" s="157" t="s">
        <v>2325</v>
      </c>
      <c r="L1203" s="157" t="s">
        <v>648</v>
      </c>
      <c r="M1203" s="158">
        <v>2022.0</v>
      </c>
      <c r="N1203" s="157" t="s">
        <v>105</v>
      </c>
      <c r="O1203" s="157" t="s">
        <v>3763</v>
      </c>
      <c r="P1203" s="161" t="b">
        <v>1</v>
      </c>
      <c r="Q1203" s="158">
        <v>0.136</v>
      </c>
      <c r="R1203" s="158">
        <v>0.0</v>
      </c>
      <c r="S1203" s="158">
        <v>0.136</v>
      </c>
      <c r="T1203" s="157" t="s">
        <v>105</v>
      </c>
      <c r="U1203" s="46" t="s">
        <v>651</v>
      </c>
      <c r="V1203" s="46" t="b">
        <v>1</v>
      </c>
      <c r="W1203" s="46">
        <v>0.95</v>
      </c>
      <c r="X1203" s="46">
        <v>0.0</v>
      </c>
      <c r="Y1203" s="46" t="s">
        <v>640</v>
      </c>
      <c r="Z1203" s="46" t="b">
        <v>0</v>
      </c>
      <c r="AA1203" s="46" t="b">
        <v>0</v>
      </c>
    </row>
    <row r="1204">
      <c r="A1204" s="157" t="s">
        <v>561</v>
      </c>
      <c r="B1204" s="158">
        <v>3.0</v>
      </c>
      <c r="C1204" s="157" t="s">
        <v>1215</v>
      </c>
      <c r="D1204" s="157" t="s">
        <v>3758</v>
      </c>
      <c r="E1204" s="157" t="s">
        <v>3759</v>
      </c>
      <c r="F1204" s="157" t="s">
        <v>3771</v>
      </c>
      <c r="G1204" s="157" t="s">
        <v>3772</v>
      </c>
      <c r="H1204" s="157"/>
      <c r="I1204" s="158">
        <v>-0.172821</v>
      </c>
      <c r="J1204" s="158">
        <v>39.855976</v>
      </c>
      <c r="K1204" s="157" t="s">
        <v>3773</v>
      </c>
      <c r="L1204" s="157" t="s">
        <v>648</v>
      </c>
      <c r="M1204" s="158">
        <v>2022.0</v>
      </c>
      <c r="N1204" s="157" t="s">
        <v>105</v>
      </c>
      <c r="O1204" s="157" t="s">
        <v>3763</v>
      </c>
      <c r="P1204" s="161" t="b">
        <v>1</v>
      </c>
      <c r="Q1204" s="158">
        <v>0.132</v>
      </c>
      <c r="R1204" s="158">
        <v>0.0</v>
      </c>
      <c r="S1204" s="158">
        <v>0.132</v>
      </c>
      <c r="T1204" s="157" t="s">
        <v>105</v>
      </c>
      <c r="U1204" s="46" t="s">
        <v>651</v>
      </c>
      <c r="V1204" s="46" t="b">
        <v>1</v>
      </c>
      <c r="W1204" s="46">
        <v>0.95</v>
      </c>
      <c r="X1204" s="46">
        <v>0.0</v>
      </c>
      <c r="Y1204" s="46" t="s">
        <v>640</v>
      </c>
      <c r="Z1204" s="46" t="b">
        <v>0</v>
      </c>
      <c r="AA1204" s="46" t="b">
        <v>0</v>
      </c>
    </row>
    <row r="1205">
      <c r="A1205" s="157" t="s">
        <v>561</v>
      </c>
      <c r="B1205" s="158">
        <v>3.0</v>
      </c>
      <c r="C1205" s="157" t="s">
        <v>1215</v>
      </c>
      <c r="D1205" s="157" t="s">
        <v>3758</v>
      </c>
      <c r="E1205" s="157" t="s">
        <v>3759</v>
      </c>
      <c r="F1205" s="157" t="s">
        <v>3774</v>
      </c>
      <c r="G1205" s="157" t="s">
        <v>3775</v>
      </c>
      <c r="H1205" s="157"/>
      <c r="I1205" s="158">
        <v>-0.235392</v>
      </c>
      <c r="J1205" s="158">
        <v>39.973254</v>
      </c>
      <c r="K1205" s="157" t="s">
        <v>3776</v>
      </c>
      <c r="L1205" s="157" t="s">
        <v>648</v>
      </c>
      <c r="M1205" s="158">
        <v>2022.0</v>
      </c>
      <c r="N1205" s="157" t="s">
        <v>105</v>
      </c>
      <c r="O1205" s="157" t="s">
        <v>3763</v>
      </c>
      <c r="P1205" s="161" t="b">
        <v>1</v>
      </c>
      <c r="Q1205" s="158">
        <v>0.11</v>
      </c>
      <c r="R1205" s="158">
        <v>0.0</v>
      </c>
      <c r="S1205" s="158">
        <v>0.11</v>
      </c>
      <c r="T1205" s="157" t="s">
        <v>105</v>
      </c>
      <c r="U1205" s="46" t="s">
        <v>651</v>
      </c>
      <c r="V1205" s="46" t="b">
        <v>1</v>
      </c>
      <c r="W1205" s="46">
        <v>0.95</v>
      </c>
      <c r="X1205" s="46">
        <v>0.0</v>
      </c>
      <c r="Y1205" s="46" t="s">
        <v>640</v>
      </c>
      <c r="Z1205" s="46" t="b">
        <v>0</v>
      </c>
      <c r="AA1205" s="46" t="b">
        <v>0</v>
      </c>
    </row>
    <row r="1206">
      <c r="A1206" s="157" t="s">
        <v>564</v>
      </c>
      <c r="B1206" s="158">
        <v>3.0</v>
      </c>
      <c r="C1206" s="157" t="s">
        <v>1215</v>
      </c>
      <c r="D1206" s="157" t="s">
        <v>3758</v>
      </c>
      <c r="E1206" s="157" t="s">
        <v>3759</v>
      </c>
      <c r="F1206" s="157" t="s">
        <v>3777</v>
      </c>
      <c r="G1206" s="157" t="s">
        <v>3778</v>
      </c>
      <c r="H1206" s="157"/>
      <c r="I1206" s="158">
        <v>8.6908</v>
      </c>
      <c r="J1206" s="158">
        <v>47.68</v>
      </c>
      <c r="K1206" s="157" t="s">
        <v>3779</v>
      </c>
      <c r="L1206" s="157" t="s">
        <v>648</v>
      </c>
      <c r="M1206" s="158">
        <v>2021.0</v>
      </c>
      <c r="N1206" s="157" t="s">
        <v>105</v>
      </c>
      <c r="O1206" s="157" t="s">
        <v>3763</v>
      </c>
      <c r="P1206" s="161" t="b">
        <v>1</v>
      </c>
      <c r="Q1206" s="158">
        <v>0.005</v>
      </c>
      <c r="R1206" s="158">
        <v>0.0</v>
      </c>
      <c r="S1206" s="158">
        <v>0.005</v>
      </c>
      <c r="T1206" s="157" t="s">
        <v>105</v>
      </c>
      <c r="U1206" s="46" t="s">
        <v>651</v>
      </c>
      <c r="V1206" s="46" t="b">
        <v>0</v>
      </c>
      <c r="W1206" s="46">
        <v>0.95</v>
      </c>
      <c r="X1206" s="46">
        <v>0.0</v>
      </c>
      <c r="Y1206" s="46">
        <v>48.5327347679546</v>
      </c>
      <c r="Z1206" s="46" t="b">
        <v>1</v>
      </c>
      <c r="AA1206" s="46" t="b">
        <v>1</v>
      </c>
    </row>
    <row r="1207">
      <c r="A1207" s="157" t="s">
        <v>564</v>
      </c>
      <c r="B1207" s="158">
        <v>3.0</v>
      </c>
      <c r="C1207" s="157" t="s">
        <v>1215</v>
      </c>
      <c r="D1207" s="157" t="s">
        <v>3758</v>
      </c>
      <c r="E1207" s="157" t="s">
        <v>3759</v>
      </c>
      <c r="F1207" s="157" t="s">
        <v>3780</v>
      </c>
      <c r="G1207" s="157" t="s">
        <v>3781</v>
      </c>
      <c r="H1207" s="157"/>
      <c r="I1207" s="158">
        <v>8.0108</v>
      </c>
      <c r="J1207" s="158">
        <v>47.5078</v>
      </c>
      <c r="K1207" s="157" t="s">
        <v>3782</v>
      </c>
      <c r="L1207" s="157" t="s">
        <v>648</v>
      </c>
      <c r="M1207" s="158">
        <v>2021.0</v>
      </c>
      <c r="N1207" s="157" t="s">
        <v>105</v>
      </c>
      <c r="O1207" s="157" t="s">
        <v>3763</v>
      </c>
      <c r="P1207" s="161" t="b">
        <v>1</v>
      </c>
      <c r="Q1207" s="158">
        <v>0.00239</v>
      </c>
      <c r="R1207" s="158">
        <v>0.0</v>
      </c>
      <c r="S1207" s="158">
        <v>0.00239</v>
      </c>
      <c r="T1207" s="157" t="s">
        <v>105</v>
      </c>
      <c r="U1207" s="46" t="s">
        <v>651</v>
      </c>
      <c r="V1207" s="46" t="b">
        <v>0</v>
      </c>
      <c r="W1207" s="46">
        <v>0.95</v>
      </c>
      <c r="X1207" s="46">
        <v>0.0</v>
      </c>
      <c r="Y1207" s="46">
        <v>3.04325622182235</v>
      </c>
      <c r="Z1207" s="46" t="b">
        <v>1</v>
      </c>
      <c r="AA1207" s="46" t="b">
        <v>1</v>
      </c>
    </row>
    <row r="1208">
      <c r="A1208" s="157" t="s">
        <v>557</v>
      </c>
      <c r="B1208" s="158">
        <v>1.0</v>
      </c>
      <c r="C1208" s="157" t="s">
        <v>642</v>
      </c>
      <c r="D1208" s="157" t="s">
        <v>3783</v>
      </c>
      <c r="E1208" s="157" t="s">
        <v>3784</v>
      </c>
      <c r="F1208" s="162" t="s">
        <v>3785</v>
      </c>
      <c r="G1208" s="157" t="s">
        <v>3786</v>
      </c>
      <c r="H1208" s="157"/>
      <c r="I1208" s="158">
        <v>6.65805487</v>
      </c>
      <c r="J1208" s="158">
        <v>50.9869454451972</v>
      </c>
      <c r="K1208" s="157" t="s">
        <v>3787</v>
      </c>
      <c r="L1208" s="157" t="s">
        <v>648</v>
      </c>
      <c r="M1208" s="158">
        <v>2022.0</v>
      </c>
      <c r="N1208" s="157" t="s">
        <v>551</v>
      </c>
      <c r="O1208" s="157" t="s">
        <v>3784</v>
      </c>
      <c r="P1208" s="161" t="b">
        <v>1</v>
      </c>
      <c r="Q1208" s="158">
        <v>0.397</v>
      </c>
      <c r="R1208" s="158">
        <v>0.0</v>
      </c>
      <c r="S1208" s="158">
        <v>0.397</v>
      </c>
      <c r="T1208" s="157" t="s">
        <v>551</v>
      </c>
      <c r="U1208" s="46" t="s">
        <v>651</v>
      </c>
      <c r="V1208" s="46" t="b">
        <v>1</v>
      </c>
      <c r="W1208" s="46">
        <v>0.95</v>
      </c>
      <c r="X1208" s="46">
        <v>0.0</v>
      </c>
      <c r="Y1208" s="46">
        <v>9.21551032982691</v>
      </c>
      <c r="Z1208" s="46" t="b">
        <v>1</v>
      </c>
      <c r="AA1208" s="46" t="b">
        <v>1</v>
      </c>
    </row>
    <row r="1209">
      <c r="A1209" s="157" t="s">
        <v>566</v>
      </c>
      <c r="B1209" s="158">
        <v>1.0</v>
      </c>
      <c r="C1209" s="157" t="s">
        <v>642</v>
      </c>
      <c r="D1209" s="157" t="s">
        <v>3783</v>
      </c>
      <c r="E1209" s="157" t="s">
        <v>3784</v>
      </c>
      <c r="F1209" s="157" t="s">
        <v>3788</v>
      </c>
      <c r="G1209" s="157" t="s">
        <v>3789</v>
      </c>
      <c r="H1209" s="157"/>
      <c r="I1209" s="158">
        <v>14.46791077</v>
      </c>
      <c r="J1209" s="158">
        <v>53.20684814</v>
      </c>
      <c r="K1209" s="157" t="s">
        <v>3790</v>
      </c>
      <c r="L1209" s="157" t="s">
        <v>648</v>
      </c>
      <c r="M1209" s="158">
        <v>2022.0</v>
      </c>
      <c r="N1209" s="157" t="s">
        <v>551</v>
      </c>
      <c r="O1209" s="157" t="s">
        <v>3784</v>
      </c>
      <c r="P1209" s="161" t="b">
        <v>1</v>
      </c>
      <c r="Q1209" s="158">
        <v>2.52</v>
      </c>
      <c r="R1209" s="158">
        <v>0.0</v>
      </c>
      <c r="S1209" s="158">
        <v>2.52</v>
      </c>
      <c r="T1209" s="157" t="s">
        <v>551</v>
      </c>
      <c r="U1209" s="46" t="s">
        <v>651</v>
      </c>
      <c r="V1209" s="46" t="b">
        <v>1</v>
      </c>
      <c r="W1209" s="46">
        <v>0.95</v>
      </c>
      <c r="X1209" s="46">
        <v>0.0</v>
      </c>
      <c r="Y1209" s="46">
        <v>68.7212767973682</v>
      </c>
      <c r="Z1209" s="46" t="b">
        <v>0</v>
      </c>
      <c r="AA1209" s="46" t="b">
        <v>1</v>
      </c>
    </row>
    <row r="1210">
      <c r="A1210" s="157" t="s">
        <v>566</v>
      </c>
      <c r="B1210" s="158">
        <v>1.0</v>
      </c>
      <c r="C1210" s="157" t="s">
        <v>642</v>
      </c>
      <c r="D1210" s="157" t="s">
        <v>3783</v>
      </c>
      <c r="E1210" s="157" t="s">
        <v>3784</v>
      </c>
      <c r="F1210" s="157" t="s">
        <v>3791</v>
      </c>
      <c r="G1210" s="157" t="s">
        <v>3792</v>
      </c>
      <c r="H1210" s="157"/>
      <c r="I1210" s="158">
        <v>16.98888969</v>
      </c>
      <c r="J1210" s="158">
        <v>52.43611145</v>
      </c>
      <c r="K1210" s="157" t="s">
        <v>2328</v>
      </c>
      <c r="L1210" s="157" t="s">
        <v>648</v>
      </c>
      <c r="M1210" s="158">
        <v>2022.0</v>
      </c>
      <c r="N1210" s="157" t="s">
        <v>551</v>
      </c>
      <c r="O1210" s="157" t="s">
        <v>3784</v>
      </c>
      <c r="P1210" s="161" t="b">
        <v>1</v>
      </c>
      <c r="Q1210" s="158">
        <v>1.25</v>
      </c>
      <c r="R1210" s="158">
        <v>0.0</v>
      </c>
      <c r="S1210" s="158">
        <v>1.25</v>
      </c>
      <c r="T1210" s="157" t="s">
        <v>551</v>
      </c>
      <c r="U1210" s="46" t="s">
        <v>651</v>
      </c>
      <c r="V1210" s="46" t="b">
        <v>1</v>
      </c>
      <c r="W1210" s="46">
        <v>0.95</v>
      </c>
      <c r="X1210" s="46">
        <v>0.0</v>
      </c>
      <c r="Y1210" s="46">
        <v>75.5378998382353</v>
      </c>
      <c r="Z1210" s="46" t="b">
        <v>0</v>
      </c>
      <c r="AA1210" s="46" t="b">
        <v>1</v>
      </c>
    </row>
    <row r="1211">
      <c r="A1211" s="157" t="s">
        <v>566</v>
      </c>
      <c r="B1211" s="158">
        <v>1.0</v>
      </c>
      <c r="C1211" s="157" t="s">
        <v>642</v>
      </c>
      <c r="D1211" s="157" t="s">
        <v>3783</v>
      </c>
      <c r="E1211" s="157" t="s">
        <v>3784</v>
      </c>
      <c r="F1211" s="157" t="s">
        <v>3793</v>
      </c>
      <c r="G1211" s="157" t="s">
        <v>3794</v>
      </c>
      <c r="H1211" s="157"/>
      <c r="I1211" s="158">
        <v>20.56609726</v>
      </c>
      <c r="J1211" s="158">
        <v>50.8081398</v>
      </c>
      <c r="K1211" s="157" t="s">
        <v>3795</v>
      </c>
      <c r="L1211" s="157" t="s">
        <v>648</v>
      </c>
      <c r="M1211" s="158">
        <v>2022.0</v>
      </c>
      <c r="N1211" s="157" t="s">
        <v>551</v>
      </c>
      <c r="O1211" s="157" t="s">
        <v>3784</v>
      </c>
      <c r="P1211" s="161" t="b">
        <v>1</v>
      </c>
      <c r="Q1211" s="158">
        <v>0.46</v>
      </c>
      <c r="R1211" s="158">
        <v>0.0</v>
      </c>
      <c r="S1211" s="158">
        <v>0.46</v>
      </c>
      <c r="T1211" s="157" t="s">
        <v>551</v>
      </c>
      <c r="U1211" s="46" t="s">
        <v>651</v>
      </c>
      <c r="V1211" s="46" t="b">
        <v>1</v>
      </c>
      <c r="W1211" s="46">
        <v>0.95</v>
      </c>
      <c r="X1211" s="46">
        <v>0.0</v>
      </c>
      <c r="Y1211" s="46" t="s">
        <v>640</v>
      </c>
      <c r="Z1211" s="46" t="b">
        <v>0</v>
      </c>
      <c r="AA1211" s="46" t="b">
        <v>0</v>
      </c>
    </row>
    <row r="1212">
      <c r="A1212" s="157" t="s">
        <v>566</v>
      </c>
      <c r="B1212" s="158">
        <v>1.0</v>
      </c>
      <c r="C1212" s="157" t="s">
        <v>642</v>
      </c>
      <c r="D1212" s="157" t="s">
        <v>3783</v>
      </c>
      <c r="E1212" s="157" t="s">
        <v>3784</v>
      </c>
      <c r="F1212" s="157" t="s">
        <v>3796</v>
      </c>
      <c r="G1212" s="157" t="s">
        <v>3797</v>
      </c>
      <c r="H1212" s="157"/>
      <c r="I1212" s="158">
        <v>14.58581066</v>
      </c>
      <c r="J1212" s="158">
        <v>53.41185379</v>
      </c>
      <c r="K1212" s="157" t="s">
        <v>1595</v>
      </c>
      <c r="L1212" s="157" t="s">
        <v>648</v>
      </c>
      <c r="M1212" s="158">
        <v>2022.0</v>
      </c>
      <c r="N1212" s="157" t="s">
        <v>551</v>
      </c>
      <c r="O1212" s="157" t="s">
        <v>3784</v>
      </c>
      <c r="P1212" s="161" t="b">
        <v>1</v>
      </c>
      <c r="Q1212" s="158">
        <v>0.261</v>
      </c>
      <c r="R1212" s="158">
        <v>0.0</v>
      </c>
      <c r="S1212" s="158">
        <v>0.261</v>
      </c>
      <c r="T1212" s="157" t="s">
        <v>551</v>
      </c>
      <c r="U1212" s="46" t="s">
        <v>651</v>
      </c>
      <c r="V1212" s="46" t="b">
        <v>1</v>
      </c>
      <c r="W1212" s="46">
        <v>0.95</v>
      </c>
      <c r="X1212" s="46">
        <v>0.0</v>
      </c>
      <c r="Y1212" s="46">
        <v>91.7296518681009</v>
      </c>
      <c r="Z1212" s="46" t="b">
        <v>0</v>
      </c>
      <c r="AA1212" s="46" t="b">
        <v>1</v>
      </c>
    </row>
    <row r="1213">
      <c r="A1213" s="157" t="s">
        <v>565</v>
      </c>
      <c r="B1213" s="158">
        <v>1.0</v>
      </c>
      <c r="C1213" s="157" t="s">
        <v>642</v>
      </c>
      <c r="D1213" s="157" t="s">
        <v>3798</v>
      </c>
      <c r="E1213" s="157" t="s">
        <v>3799</v>
      </c>
      <c r="F1213" s="157" t="s">
        <v>3800</v>
      </c>
      <c r="G1213" s="157" t="s">
        <v>3801</v>
      </c>
      <c r="H1213" s="157"/>
      <c r="I1213" s="158">
        <v>18.27581868</v>
      </c>
      <c r="J1213" s="158">
        <v>49.85923962</v>
      </c>
      <c r="K1213" s="157" t="s">
        <v>3802</v>
      </c>
      <c r="L1213" s="157" t="s">
        <v>648</v>
      </c>
      <c r="M1213" s="158">
        <v>2020.0</v>
      </c>
      <c r="N1213" s="157" t="s">
        <v>549</v>
      </c>
      <c r="O1213" s="157" t="s">
        <v>3799</v>
      </c>
      <c r="P1213" s="161" t="b">
        <v>1</v>
      </c>
      <c r="Q1213" s="158">
        <v>0.119106</v>
      </c>
      <c r="R1213" s="158">
        <v>0.0</v>
      </c>
      <c r="S1213" s="158">
        <v>0.119106</v>
      </c>
      <c r="T1213" s="157" t="s">
        <v>549</v>
      </c>
      <c r="U1213" s="46" t="s">
        <v>651</v>
      </c>
      <c r="V1213" s="46" t="b">
        <v>1</v>
      </c>
      <c r="W1213" s="46">
        <v>0.95</v>
      </c>
      <c r="X1213" s="46">
        <v>0.0</v>
      </c>
      <c r="Y1213" s="46" t="s">
        <v>640</v>
      </c>
      <c r="Z1213" s="46" t="b">
        <v>0</v>
      </c>
      <c r="AA1213" s="46" t="b">
        <v>0</v>
      </c>
    </row>
    <row r="1214">
      <c r="A1214" s="157" t="s">
        <v>557</v>
      </c>
      <c r="B1214" s="158">
        <v>1.0</v>
      </c>
      <c r="C1214" s="157" t="s">
        <v>642</v>
      </c>
      <c r="D1214" s="157" t="s">
        <v>3798</v>
      </c>
      <c r="E1214" s="157" t="s">
        <v>3799</v>
      </c>
      <c r="F1214" s="162" t="s">
        <v>3803</v>
      </c>
      <c r="G1214" s="157" t="s">
        <v>3804</v>
      </c>
      <c r="H1214" s="157"/>
      <c r="I1214" s="158">
        <v>6.72886541591025</v>
      </c>
      <c r="J1214" s="158">
        <v>51.5009910033005</v>
      </c>
      <c r="K1214" s="157" t="s">
        <v>3805</v>
      </c>
      <c r="L1214" s="157" t="s">
        <v>648</v>
      </c>
      <c r="M1214" s="158">
        <v>2022.0</v>
      </c>
      <c r="N1214" s="157" t="s">
        <v>549</v>
      </c>
      <c r="O1214" s="157" t="s">
        <v>3799</v>
      </c>
      <c r="P1214" s="161" t="b">
        <v>1</v>
      </c>
      <c r="Q1214" s="158">
        <v>1.82</v>
      </c>
      <c r="R1214" s="158">
        <v>0.0</v>
      </c>
      <c r="S1214" s="158">
        <v>1.82</v>
      </c>
      <c r="T1214" s="157" t="s">
        <v>549</v>
      </c>
      <c r="U1214" s="46" t="s">
        <v>651</v>
      </c>
      <c r="V1214" s="46" t="b">
        <v>1</v>
      </c>
      <c r="W1214" s="46">
        <v>0.95</v>
      </c>
      <c r="X1214" s="46">
        <v>0.0</v>
      </c>
      <c r="Y1214" s="46">
        <v>8.80336753368683</v>
      </c>
      <c r="Z1214" s="46" t="b">
        <v>1</v>
      </c>
      <c r="AA1214" s="46" t="b">
        <v>1</v>
      </c>
    </row>
    <row r="1215">
      <c r="A1215" s="157" t="s">
        <v>557</v>
      </c>
      <c r="B1215" s="158">
        <v>1.0</v>
      </c>
      <c r="C1215" s="157" t="s">
        <v>642</v>
      </c>
      <c r="D1215" s="157" t="s">
        <v>3798</v>
      </c>
      <c r="E1215" s="157" t="s">
        <v>3799</v>
      </c>
      <c r="F1215" s="162" t="s">
        <v>3806</v>
      </c>
      <c r="G1215" s="157" t="s">
        <v>3807</v>
      </c>
      <c r="H1215" s="157"/>
      <c r="I1215" s="158">
        <v>6.74357527104311</v>
      </c>
      <c r="J1215" s="158">
        <v>49.3478083436112</v>
      </c>
      <c r="K1215" s="157" t="s">
        <v>3808</v>
      </c>
      <c r="L1215" s="157" t="s">
        <v>648</v>
      </c>
      <c r="M1215" s="158">
        <v>2022.0</v>
      </c>
      <c r="N1215" s="157" t="s">
        <v>549</v>
      </c>
      <c r="O1215" s="157" t="s">
        <v>3799</v>
      </c>
      <c r="P1215" s="161" t="b">
        <v>1</v>
      </c>
      <c r="Q1215" s="158">
        <v>1.02</v>
      </c>
      <c r="R1215" s="158">
        <v>0.0</v>
      </c>
      <c r="S1215" s="158">
        <v>1.02</v>
      </c>
      <c r="T1215" s="157" t="s">
        <v>549</v>
      </c>
      <c r="U1215" s="46" t="s">
        <v>651</v>
      </c>
      <c r="V1215" s="46" t="b">
        <v>1</v>
      </c>
      <c r="W1215" s="46">
        <v>0.95</v>
      </c>
      <c r="X1215" s="46">
        <v>0.0</v>
      </c>
      <c r="Y1215" s="46">
        <v>21.313378918066</v>
      </c>
      <c r="Z1215" s="46" t="b">
        <v>1</v>
      </c>
      <c r="AA1215" s="46" t="b">
        <v>1</v>
      </c>
    </row>
    <row r="1216">
      <c r="A1216" s="157" t="s">
        <v>557</v>
      </c>
      <c r="B1216" s="158">
        <v>1.0</v>
      </c>
      <c r="C1216" s="157" t="s">
        <v>642</v>
      </c>
      <c r="D1216" s="157" t="s">
        <v>3798</v>
      </c>
      <c r="E1216" s="157" t="s">
        <v>3799</v>
      </c>
      <c r="F1216" s="162" t="s">
        <v>3809</v>
      </c>
      <c r="G1216" s="157" t="s">
        <v>3810</v>
      </c>
      <c r="H1216" s="157"/>
      <c r="I1216" s="158">
        <v>6.97077265943461</v>
      </c>
      <c r="J1216" s="158">
        <v>51.5212819267279</v>
      </c>
      <c r="K1216" s="157" t="s">
        <v>3811</v>
      </c>
      <c r="L1216" s="157" t="s">
        <v>648</v>
      </c>
      <c r="M1216" s="158">
        <v>2022.0</v>
      </c>
      <c r="N1216" s="157" t="s">
        <v>549</v>
      </c>
      <c r="O1216" s="157" t="s">
        <v>3799</v>
      </c>
      <c r="P1216" s="161" t="b">
        <v>1</v>
      </c>
      <c r="Q1216" s="158">
        <v>0.505</v>
      </c>
      <c r="R1216" s="158">
        <v>0.0</v>
      </c>
      <c r="S1216" s="158">
        <v>0.505</v>
      </c>
      <c r="T1216" s="157" t="s">
        <v>549</v>
      </c>
      <c r="U1216" s="46" t="s">
        <v>651</v>
      </c>
      <c r="V1216" s="46" t="b">
        <v>1</v>
      </c>
      <c r="W1216" s="46">
        <v>0.95</v>
      </c>
      <c r="X1216" s="46">
        <v>0.0</v>
      </c>
      <c r="Y1216" s="46">
        <v>11.7605601541547</v>
      </c>
      <c r="Z1216" s="46" t="b">
        <v>1</v>
      </c>
      <c r="AA1216" s="46" t="b">
        <v>1</v>
      </c>
    </row>
    <row r="1217">
      <c r="A1217" s="157" t="s">
        <v>569</v>
      </c>
      <c r="B1217" s="158">
        <v>1.0</v>
      </c>
      <c r="C1217" s="157" t="s">
        <v>642</v>
      </c>
      <c r="D1217" s="157" t="s">
        <v>3798</v>
      </c>
      <c r="E1217" s="157" t="s">
        <v>3799</v>
      </c>
      <c r="F1217" s="157" t="s">
        <v>3812</v>
      </c>
      <c r="G1217" s="157" t="s">
        <v>3813</v>
      </c>
      <c r="H1217" s="157"/>
      <c r="I1217" s="158">
        <v>18.937737</v>
      </c>
      <c r="J1217" s="158">
        <v>46.940316</v>
      </c>
      <c r="K1217" s="157" t="s">
        <v>2057</v>
      </c>
      <c r="L1217" s="157" t="s">
        <v>648</v>
      </c>
      <c r="M1217" s="158">
        <v>2022.0</v>
      </c>
      <c r="N1217" s="157" t="s">
        <v>549</v>
      </c>
      <c r="O1217" s="157" t="s">
        <v>3799</v>
      </c>
      <c r="P1217" s="161" t="b">
        <v>1</v>
      </c>
      <c r="Q1217" s="158">
        <v>0.121</v>
      </c>
      <c r="R1217" s="158">
        <v>0.0</v>
      </c>
      <c r="S1217" s="158">
        <v>0.121</v>
      </c>
      <c r="T1217" s="157" t="s">
        <v>549</v>
      </c>
      <c r="U1217" s="46" t="s">
        <v>651</v>
      </c>
      <c r="V1217" s="46" t="b">
        <v>1</v>
      </c>
      <c r="W1217" s="46">
        <v>0.95</v>
      </c>
      <c r="X1217" s="46">
        <v>0.0</v>
      </c>
      <c r="Y1217" s="46" t="s">
        <v>640</v>
      </c>
      <c r="Z1217" s="46" t="b">
        <v>0</v>
      </c>
      <c r="AA1217" s="46" t="b">
        <v>0</v>
      </c>
    </row>
    <row r="1218">
      <c r="A1218" s="157" t="s">
        <v>559</v>
      </c>
      <c r="B1218" s="158">
        <v>1.0</v>
      </c>
      <c r="C1218" s="157" t="s">
        <v>642</v>
      </c>
      <c r="D1218" s="157" t="s">
        <v>3798</v>
      </c>
      <c r="E1218" s="157" t="s">
        <v>3799</v>
      </c>
      <c r="F1218" s="157" t="s">
        <v>3814</v>
      </c>
      <c r="G1218" s="157" t="s">
        <v>3815</v>
      </c>
      <c r="H1218" s="157"/>
      <c r="I1218" s="158">
        <v>8.2897</v>
      </c>
      <c r="J1218" s="158">
        <v>44.3808</v>
      </c>
      <c r="K1218" s="157" t="s">
        <v>3816</v>
      </c>
      <c r="L1218" s="157" t="s">
        <v>648</v>
      </c>
      <c r="M1218" s="158">
        <v>2022.0</v>
      </c>
      <c r="N1218" s="157" t="s">
        <v>549</v>
      </c>
      <c r="O1218" s="157" t="s">
        <v>3799</v>
      </c>
      <c r="P1218" s="161" t="b">
        <v>1</v>
      </c>
      <c r="Q1218" s="158">
        <v>0.129179</v>
      </c>
      <c r="R1218" s="158">
        <v>0.0</v>
      </c>
      <c r="S1218" s="158">
        <v>0.129179</v>
      </c>
      <c r="T1218" s="157" t="s">
        <v>549</v>
      </c>
      <c r="U1218" s="46" t="s">
        <v>651</v>
      </c>
      <c r="V1218" s="46" t="b">
        <v>1</v>
      </c>
      <c r="W1218" s="46">
        <v>0.95</v>
      </c>
      <c r="X1218" s="46">
        <v>0.0</v>
      </c>
      <c r="Y1218" s="46">
        <v>81.0102779128909</v>
      </c>
      <c r="Z1218" s="46" t="b">
        <v>0</v>
      </c>
      <c r="AA1218" s="46" t="b">
        <v>1</v>
      </c>
    </row>
    <row r="1219">
      <c r="A1219" s="157" t="s">
        <v>566</v>
      </c>
      <c r="B1219" s="158">
        <v>1.0</v>
      </c>
      <c r="C1219" s="157" t="s">
        <v>642</v>
      </c>
      <c r="D1219" s="157" t="s">
        <v>3798</v>
      </c>
      <c r="E1219" s="157" t="s">
        <v>3799</v>
      </c>
      <c r="F1219" s="157" t="s">
        <v>3817</v>
      </c>
      <c r="G1219" s="157" t="s">
        <v>3818</v>
      </c>
      <c r="H1219" s="157"/>
      <c r="I1219" s="158">
        <v>19.33722496</v>
      </c>
      <c r="J1219" s="158">
        <v>50.34009171</v>
      </c>
      <c r="K1219" s="157" t="s">
        <v>921</v>
      </c>
      <c r="L1219" s="157" t="s">
        <v>648</v>
      </c>
      <c r="M1219" s="158">
        <v>2022.0</v>
      </c>
      <c r="N1219" s="157" t="s">
        <v>549</v>
      </c>
      <c r="O1219" s="157" t="s">
        <v>3799</v>
      </c>
      <c r="P1219" s="161" t="b">
        <v>1</v>
      </c>
      <c r="Q1219" s="158">
        <v>0.714</v>
      </c>
      <c r="R1219" s="158">
        <v>0.0</v>
      </c>
      <c r="S1219" s="158">
        <v>0.714</v>
      </c>
      <c r="T1219" s="157" t="s">
        <v>549</v>
      </c>
      <c r="U1219" s="46" t="s">
        <v>651</v>
      </c>
      <c r="V1219" s="46" t="b">
        <v>1</v>
      </c>
      <c r="W1219" s="46">
        <v>0.95</v>
      </c>
      <c r="X1219" s="46">
        <v>0.0</v>
      </c>
      <c r="Y1219" s="46" t="s">
        <v>640</v>
      </c>
      <c r="Z1219" s="46" t="b">
        <v>0</v>
      </c>
      <c r="AA1219" s="46" t="b">
        <v>0</v>
      </c>
    </row>
    <row r="1220">
      <c r="A1220" s="157" t="s">
        <v>566</v>
      </c>
      <c r="B1220" s="158">
        <v>1.0</v>
      </c>
      <c r="C1220" s="157" t="s">
        <v>642</v>
      </c>
      <c r="D1220" s="157" t="s">
        <v>3798</v>
      </c>
      <c r="E1220" s="157" t="s">
        <v>3799</v>
      </c>
      <c r="F1220" s="157" t="s">
        <v>3819</v>
      </c>
      <c r="G1220" s="157" t="s">
        <v>3820</v>
      </c>
      <c r="H1220" s="157"/>
      <c r="I1220" s="158">
        <v>18.14252853</v>
      </c>
      <c r="J1220" s="158">
        <v>50.41911316</v>
      </c>
      <c r="K1220" s="157" t="s">
        <v>3821</v>
      </c>
      <c r="L1220" s="157" t="s">
        <v>648</v>
      </c>
      <c r="M1220" s="158">
        <v>2022.0</v>
      </c>
      <c r="N1220" s="157" t="s">
        <v>549</v>
      </c>
      <c r="O1220" s="157" t="s">
        <v>3799</v>
      </c>
      <c r="P1220" s="161" t="b">
        <v>1</v>
      </c>
      <c r="Q1220" s="158">
        <v>0.675</v>
      </c>
      <c r="R1220" s="158">
        <v>0.0</v>
      </c>
      <c r="S1220" s="158">
        <v>0.675</v>
      </c>
      <c r="T1220" s="157" t="s">
        <v>549</v>
      </c>
      <c r="U1220" s="46" t="s">
        <v>651</v>
      </c>
      <c r="V1220" s="46" t="b">
        <v>1</v>
      </c>
      <c r="W1220" s="46">
        <v>0.95</v>
      </c>
      <c r="X1220" s="46">
        <v>0.0</v>
      </c>
      <c r="Y1220" s="46" t="s">
        <v>640</v>
      </c>
      <c r="Z1220" s="46" t="b">
        <v>0</v>
      </c>
      <c r="AA1220" s="46" t="b">
        <v>0</v>
      </c>
    </row>
    <row r="1221">
      <c r="A1221" s="157" t="s">
        <v>566</v>
      </c>
      <c r="B1221" s="158">
        <v>1.0</v>
      </c>
      <c r="C1221" s="157" t="s">
        <v>642</v>
      </c>
      <c r="D1221" s="157" t="s">
        <v>3798</v>
      </c>
      <c r="E1221" s="157" t="s">
        <v>3799</v>
      </c>
      <c r="F1221" s="157" t="s">
        <v>3822</v>
      </c>
      <c r="G1221" s="157" t="s">
        <v>3823</v>
      </c>
      <c r="H1221" s="157"/>
      <c r="I1221" s="158">
        <v>18.48666763</v>
      </c>
      <c r="J1221" s="158">
        <v>50.03777695</v>
      </c>
      <c r="K1221" s="157" t="s">
        <v>3824</v>
      </c>
      <c r="L1221" s="157" t="s">
        <v>648</v>
      </c>
      <c r="M1221" s="158">
        <v>2022.0</v>
      </c>
      <c r="N1221" s="157" t="s">
        <v>549</v>
      </c>
      <c r="O1221" s="157" t="s">
        <v>3799</v>
      </c>
      <c r="P1221" s="161" t="b">
        <v>1</v>
      </c>
      <c r="Q1221" s="158">
        <v>0.19</v>
      </c>
      <c r="R1221" s="158">
        <v>0.0</v>
      </c>
      <c r="S1221" s="158">
        <v>0.19</v>
      </c>
      <c r="T1221" s="157" t="s">
        <v>549</v>
      </c>
      <c r="U1221" s="46" t="s">
        <v>651</v>
      </c>
      <c r="V1221" s="46" t="b">
        <v>1</v>
      </c>
      <c r="W1221" s="46">
        <v>0.95</v>
      </c>
      <c r="X1221" s="46">
        <v>0.0</v>
      </c>
      <c r="Y1221" s="46" t="s">
        <v>640</v>
      </c>
      <c r="Z1221" s="46" t="b">
        <v>0</v>
      </c>
      <c r="AA1221" s="46" t="b">
        <v>0</v>
      </c>
    </row>
    <row r="1222">
      <c r="A1222" s="157" t="s">
        <v>565</v>
      </c>
      <c r="B1222" s="158">
        <v>4.0</v>
      </c>
      <c r="C1222" s="157" t="s">
        <v>1092</v>
      </c>
      <c r="D1222" s="157" t="s">
        <v>3825</v>
      </c>
      <c r="E1222" s="157" t="s">
        <v>3826</v>
      </c>
      <c r="F1222" s="157" t="s">
        <v>3827</v>
      </c>
      <c r="G1222" s="157" t="s">
        <v>3828</v>
      </c>
      <c r="H1222" s="157"/>
      <c r="I1222" s="158">
        <v>15.71540491</v>
      </c>
      <c r="J1222" s="158">
        <v>50.05719241</v>
      </c>
      <c r="K1222" s="157" t="s">
        <v>3829</v>
      </c>
      <c r="L1222" s="157" t="s">
        <v>648</v>
      </c>
      <c r="M1222" s="158">
        <v>2020.0</v>
      </c>
      <c r="N1222" s="157" t="s">
        <v>201</v>
      </c>
      <c r="O1222" s="157" t="s">
        <v>3830</v>
      </c>
      <c r="P1222" s="161" t="b">
        <v>1</v>
      </c>
      <c r="Q1222" s="158">
        <v>0.224</v>
      </c>
      <c r="R1222" s="158">
        <v>0.0</v>
      </c>
      <c r="S1222" s="158">
        <v>0.224</v>
      </c>
      <c r="T1222" s="157" t="s">
        <v>201</v>
      </c>
      <c r="U1222" s="46" t="s">
        <v>651</v>
      </c>
      <c r="V1222" s="46" t="b">
        <v>1</v>
      </c>
      <c r="W1222" s="46">
        <v>0.95</v>
      </c>
      <c r="X1222" s="46">
        <v>0.0</v>
      </c>
      <c r="Y1222" s="46" t="s">
        <v>640</v>
      </c>
      <c r="Z1222" s="46" t="b">
        <v>0</v>
      </c>
      <c r="AA1222" s="46" t="b">
        <v>0</v>
      </c>
    </row>
    <row r="1223">
      <c r="A1223" s="157" t="s">
        <v>568</v>
      </c>
      <c r="B1223" s="158">
        <v>2.0</v>
      </c>
      <c r="C1223" s="157" t="s">
        <v>916</v>
      </c>
      <c r="D1223" s="157" t="s">
        <v>3831</v>
      </c>
      <c r="E1223" s="157" t="s">
        <v>3832</v>
      </c>
      <c r="F1223" s="157" t="s">
        <v>3833</v>
      </c>
      <c r="G1223" s="157" t="s">
        <v>3834</v>
      </c>
      <c r="H1223" s="157"/>
      <c r="I1223" s="158">
        <v>12.007523964564</v>
      </c>
      <c r="J1223" s="158">
        <v>55.9611494448704</v>
      </c>
      <c r="K1223" s="157" t="s">
        <v>3835</v>
      </c>
      <c r="L1223" s="157" t="s">
        <v>648</v>
      </c>
      <c r="M1223" s="158">
        <v>2022.0</v>
      </c>
      <c r="N1223" s="157" t="s">
        <v>549</v>
      </c>
      <c r="O1223" s="157" t="s">
        <v>3836</v>
      </c>
      <c r="P1223" s="161" t="b">
        <v>1</v>
      </c>
      <c r="Q1223" s="158">
        <v>0.116493</v>
      </c>
      <c r="R1223" s="158">
        <v>0.0</v>
      </c>
      <c r="S1223" s="158">
        <v>0.116493</v>
      </c>
      <c r="T1223" s="157" t="s">
        <v>549</v>
      </c>
      <c r="U1223" s="46" t="s">
        <v>651</v>
      </c>
      <c r="V1223" s="46" t="b">
        <v>1</v>
      </c>
      <c r="W1223" s="46">
        <v>0.95</v>
      </c>
      <c r="X1223" s="46">
        <v>0.0</v>
      </c>
      <c r="Y1223" s="46">
        <v>40.1517826521606</v>
      </c>
      <c r="Z1223" s="46" t="b">
        <v>1</v>
      </c>
      <c r="AA1223" s="46" t="b">
        <v>1</v>
      </c>
    </row>
    <row r="1224">
      <c r="A1224" s="157" t="s">
        <v>556</v>
      </c>
      <c r="B1224" s="158">
        <v>2.0</v>
      </c>
      <c r="C1224" s="157" t="s">
        <v>916</v>
      </c>
      <c r="D1224" s="157" t="s">
        <v>3831</v>
      </c>
      <c r="E1224" s="157" t="s">
        <v>3832</v>
      </c>
      <c r="F1224" s="157" t="s">
        <v>3837</v>
      </c>
      <c r="G1224" s="157" t="s">
        <v>3838</v>
      </c>
      <c r="H1224" s="157"/>
      <c r="I1224" s="158">
        <v>2.3358</v>
      </c>
      <c r="J1224" s="158">
        <v>51.0164</v>
      </c>
      <c r="K1224" s="157" t="s">
        <v>912</v>
      </c>
      <c r="L1224" s="157" t="s">
        <v>648</v>
      </c>
      <c r="M1224" s="158">
        <v>2022.0</v>
      </c>
      <c r="N1224" s="157" t="s">
        <v>549</v>
      </c>
      <c r="O1224" s="157" t="s">
        <v>3836</v>
      </c>
      <c r="P1224" s="161" t="b">
        <v>1</v>
      </c>
      <c r="Q1224" s="158">
        <v>6.550000128</v>
      </c>
      <c r="R1224" s="158">
        <v>0.0</v>
      </c>
      <c r="S1224" s="158">
        <v>6.550000128</v>
      </c>
      <c r="T1224" s="157" t="s">
        <v>549</v>
      </c>
      <c r="U1224" s="46" t="s">
        <v>651</v>
      </c>
      <c r="V1224" s="46" t="b">
        <v>1</v>
      </c>
      <c r="W1224" s="46">
        <v>0.95</v>
      </c>
      <c r="X1224" s="46">
        <v>0.0</v>
      </c>
      <c r="Y1224" s="46">
        <v>2.63200147380794</v>
      </c>
      <c r="Z1224" s="46" t="b">
        <v>1</v>
      </c>
      <c r="AA1224" s="46" t="b">
        <v>1</v>
      </c>
    </row>
    <row r="1225">
      <c r="A1225" s="157" t="s">
        <v>556</v>
      </c>
      <c r="B1225" s="158">
        <v>2.0</v>
      </c>
      <c r="C1225" s="157" t="s">
        <v>916</v>
      </c>
      <c r="D1225" s="157" t="s">
        <v>3839</v>
      </c>
      <c r="E1225" s="157" t="s">
        <v>3840</v>
      </c>
      <c r="F1225" s="157" t="s">
        <v>3841</v>
      </c>
      <c r="G1225" s="157" t="s">
        <v>2856</v>
      </c>
      <c r="H1225" s="157"/>
      <c r="I1225" s="158">
        <v>4.66</v>
      </c>
      <c r="J1225" s="158">
        <v>44.1</v>
      </c>
      <c r="K1225" s="157" t="s">
        <v>3842</v>
      </c>
      <c r="L1225" s="157" t="s">
        <v>648</v>
      </c>
      <c r="M1225" s="158">
        <v>2022.0</v>
      </c>
      <c r="N1225" s="157" t="s">
        <v>549</v>
      </c>
      <c r="O1225" s="157" t="s">
        <v>3836</v>
      </c>
      <c r="P1225" s="161" t="b">
        <v>1</v>
      </c>
      <c r="Q1225" s="158">
        <v>0.232</v>
      </c>
      <c r="R1225" s="158">
        <v>0.0</v>
      </c>
      <c r="S1225" s="158">
        <v>0.232</v>
      </c>
      <c r="T1225" s="157" t="s">
        <v>549</v>
      </c>
      <c r="U1225" s="46" t="s">
        <v>651</v>
      </c>
      <c r="V1225" s="46" t="b">
        <v>1</v>
      </c>
      <c r="W1225" s="46">
        <v>0.95</v>
      </c>
      <c r="X1225" s="46">
        <v>0.0</v>
      </c>
      <c r="Y1225" s="46">
        <v>7.29992654491167</v>
      </c>
      <c r="Z1225" s="46" t="b">
        <v>1</v>
      </c>
      <c r="AA1225" s="46" t="b">
        <v>1</v>
      </c>
    </row>
    <row r="1226">
      <c r="A1226" s="157" t="s">
        <v>557</v>
      </c>
      <c r="B1226" s="158">
        <v>2.0</v>
      </c>
      <c r="C1226" s="157" t="s">
        <v>916</v>
      </c>
      <c r="D1226" s="157" t="s">
        <v>3843</v>
      </c>
      <c r="E1226" s="157" t="s">
        <v>3844</v>
      </c>
      <c r="F1226" s="162" t="s">
        <v>3845</v>
      </c>
      <c r="G1226" s="157" t="s">
        <v>3846</v>
      </c>
      <c r="H1226" s="157"/>
      <c r="I1226" s="158">
        <v>8.68672846423849</v>
      </c>
      <c r="J1226" s="158">
        <v>53.124939429531</v>
      </c>
      <c r="K1226" s="157" t="s">
        <v>899</v>
      </c>
      <c r="L1226" s="157" t="s">
        <v>648</v>
      </c>
      <c r="M1226" s="158">
        <v>2022.0</v>
      </c>
      <c r="N1226" s="157" t="s">
        <v>549</v>
      </c>
      <c r="O1226" s="157" t="s">
        <v>3836</v>
      </c>
      <c r="P1226" s="161" t="b">
        <v>1</v>
      </c>
      <c r="Q1226" s="158">
        <v>2.16</v>
      </c>
      <c r="R1226" s="158">
        <v>0.0</v>
      </c>
      <c r="S1226" s="158">
        <v>2.16</v>
      </c>
      <c r="T1226" s="157" t="s">
        <v>549</v>
      </c>
      <c r="U1226" s="46" t="s">
        <v>651</v>
      </c>
      <c r="V1226" s="46" t="b">
        <v>1</v>
      </c>
      <c r="W1226" s="46">
        <v>0.95</v>
      </c>
      <c r="X1226" s="46">
        <v>0.0</v>
      </c>
      <c r="Y1226" s="46">
        <v>8.88790918586125</v>
      </c>
      <c r="Z1226" s="46" t="b">
        <v>1</v>
      </c>
      <c r="AA1226" s="46" t="b">
        <v>1</v>
      </c>
    </row>
    <row r="1227">
      <c r="A1227" s="157" t="s">
        <v>557</v>
      </c>
      <c r="B1227" s="158">
        <v>2.0</v>
      </c>
      <c r="C1227" s="157" t="s">
        <v>916</v>
      </c>
      <c r="D1227" s="157" t="s">
        <v>3831</v>
      </c>
      <c r="E1227" s="157" t="s">
        <v>3832</v>
      </c>
      <c r="F1227" s="162" t="s">
        <v>3847</v>
      </c>
      <c r="G1227" s="157" t="s">
        <v>3848</v>
      </c>
      <c r="H1227" s="157"/>
      <c r="I1227" s="158">
        <v>6.75413698244507</v>
      </c>
      <c r="J1227" s="158">
        <v>49.3571721704399</v>
      </c>
      <c r="K1227" s="157" t="s">
        <v>3808</v>
      </c>
      <c r="L1227" s="157" t="s">
        <v>648</v>
      </c>
      <c r="M1227" s="158">
        <v>2022.0</v>
      </c>
      <c r="N1227" s="157" t="s">
        <v>549</v>
      </c>
      <c r="O1227" s="157" t="s">
        <v>3836</v>
      </c>
      <c r="P1227" s="161" t="b">
        <v>1</v>
      </c>
      <c r="Q1227" s="158">
        <v>0.853</v>
      </c>
      <c r="R1227" s="158">
        <v>0.0</v>
      </c>
      <c r="S1227" s="158">
        <v>0.853</v>
      </c>
      <c r="T1227" s="157" t="s">
        <v>549</v>
      </c>
      <c r="U1227" s="46" t="s">
        <v>651</v>
      </c>
      <c r="V1227" s="46" t="b">
        <v>1</v>
      </c>
      <c r="W1227" s="46">
        <v>0.95</v>
      </c>
      <c r="X1227" s="46">
        <v>0.0</v>
      </c>
      <c r="Y1227" s="46">
        <v>21.6995843906651</v>
      </c>
      <c r="Z1227" s="46" t="b">
        <v>1</v>
      </c>
      <c r="AA1227" s="46" t="b">
        <v>1</v>
      </c>
    </row>
    <row r="1228">
      <c r="A1228" s="157" t="s">
        <v>557</v>
      </c>
      <c r="B1228" s="158">
        <v>2.0</v>
      </c>
      <c r="C1228" s="157" t="s">
        <v>916</v>
      </c>
      <c r="D1228" s="157" t="s">
        <v>3831</v>
      </c>
      <c r="E1228" s="157" t="s">
        <v>3832</v>
      </c>
      <c r="F1228" s="162" t="s">
        <v>3849</v>
      </c>
      <c r="G1228" s="157" t="s">
        <v>3850</v>
      </c>
      <c r="H1228" s="157"/>
      <c r="I1228" s="158">
        <v>8.68672846423849</v>
      </c>
      <c r="J1228" s="158">
        <v>53.124939429531</v>
      </c>
      <c r="K1228" s="157" t="s">
        <v>899</v>
      </c>
      <c r="L1228" s="157" t="s">
        <v>648</v>
      </c>
      <c r="M1228" s="158">
        <v>2022.0</v>
      </c>
      <c r="N1228" s="157" t="s">
        <v>549</v>
      </c>
      <c r="O1228" s="157" t="s">
        <v>3836</v>
      </c>
      <c r="P1228" s="161" t="b">
        <v>1</v>
      </c>
      <c r="Q1228" s="158">
        <v>0.486</v>
      </c>
      <c r="R1228" s="158">
        <v>0.0</v>
      </c>
      <c r="S1228" s="158">
        <v>0.486</v>
      </c>
      <c r="T1228" s="157" t="s">
        <v>549</v>
      </c>
      <c r="U1228" s="46" t="s">
        <v>651</v>
      </c>
      <c r="V1228" s="46" t="b">
        <v>1</v>
      </c>
      <c r="W1228" s="46">
        <v>0.95</v>
      </c>
      <c r="X1228" s="46">
        <v>0.0</v>
      </c>
      <c r="Y1228" s="46">
        <v>8.88790918586125</v>
      </c>
      <c r="Z1228" s="46" t="b">
        <v>1</v>
      </c>
      <c r="AA1228" s="46" t="b">
        <v>1</v>
      </c>
    </row>
    <row r="1229">
      <c r="A1229" s="157" t="s">
        <v>557</v>
      </c>
      <c r="B1229" s="158">
        <v>2.0</v>
      </c>
      <c r="C1229" s="157" t="s">
        <v>916</v>
      </c>
      <c r="D1229" s="157" t="s">
        <v>3839</v>
      </c>
      <c r="E1229" s="157" t="s">
        <v>3840</v>
      </c>
      <c r="F1229" s="162" t="s">
        <v>3851</v>
      </c>
      <c r="G1229" s="157" t="s">
        <v>3852</v>
      </c>
      <c r="H1229" s="157"/>
      <c r="I1229" s="158">
        <v>9.01114385737888</v>
      </c>
      <c r="J1229" s="158">
        <v>50.8189066798328</v>
      </c>
      <c r="K1229" s="157" t="s">
        <v>3853</v>
      </c>
      <c r="L1229" s="157" t="s">
        <v>648</v>
      </c>
      <c r="M1229" s="158">
        <v>2022.0</v>
      </c>
      <c r="N1229" s="157" t="s">
        <v>549</v>
      </c>
      <c r="O1229" s="157" t="s">
        <v>3836</v>
      </c>
      <c r="P1229" s="161" t="b">
        <v>1</v>
      </c>
      <c r="Q1229" s="158">
        <v>0.175</v>
      </c>
      <c r="R1229" s="158">
        <v>0.0</v>
      </c>
      <c r="S1229" s="158">
        <v>0.175</v>
      </c>
      <c r="T1229" s="157" t="s">
        <v>549</v>
      </c>
      <c r="U1229" s="46" t="s">
        <v>651</v>
      </c>
      <c r="V1229" s="46" t="b">
        <v>1</v>
      </c>
      <c r="W1229" s="46">
        <v>0.95</v>
      </c>
      <c r="X1229" s="46">
        <v>0.0</v>
      </c>
      <c r="Y1229" s="46">
        <v>79.3345816410825</v>
      </c>
      <c r="Z1229" s="46" t="b">
        <v>0</v>
      </c>
      <c r="AA1229" s="46" t="b">
        <v>1</v>
      </c>
    </row>
    <row r="1230">
      <c r="A1230" s="157" t="s">
        <v>557</v>
      </c>
      <c r="B1230" s="158">
        <v>2.0</v>
      </c>
      <c r="C1230" s="157" t="s">
        <v>916</v>
      </c>
      <c r="D1230" s="157" t="s">
        <v>3831</v>
      </c>
      <c r="E1230" s="157" t="s">
        <v>3832</v>
      </c>
      <c r="F1230" s="162" t="s">
        <v>3854</v>
      </c>
      <c r="G1230" s="157" t="s">
        <v>3855</v>
      </c>
      <c r="H1230" s="157"/>
      <c r="I1230" s="158">
        <v>7.16596499401585</v>
      </c>
      <c r="J1230" s="158">
        <v>51.4707561253782</v>
      </c>
      <c r="K1230" s="157" t="s">
        <v>3856</v>
      </c>
      <c r="L1230" s="157" t="s">
        <v>648</v>
      </c>
      <c r="M1230" s="158">
        <v>2022.0</v>
      </c>
      <c r="N1230" s="157" t="s">
        <v>549</v>
      </c>
      <c r="O1230" s="157" t="s">
        <v>3836</v>
      </c>
      <c r="P1230" s="161" t="b">
        <v>1</v>
      </c>
      <c r="Q1230" s="158">
        <v>0.168</v>
      </c>
      <c r="R1230" s="158">
        <v>0.0</v>
      </c>
      <c r="S1230" s="158">
        <v>0.168</v>
      </c>
      <c r="T1230" s="157" t="s">
        <v>549</v>
      </c>
      <c r="U1230" s="46" t="s">
        <v>651</v>
      </c>
      <c r="V1230" s="46" t="b">
        <v>1</v>
      </c>
      <c r="W1230" s="46">
        <v>0.95</v>
      </c>
      <c r="X1230" s="46">
        <v>0.0</v>
      </c>
      <c r="Y1230" s="46">
        <v>6.83472435606983</v>
      </c>
      <c r="Z1230" s="46" t="b">
        <v>1</v>
      </c>
      <c r="AA1230" s="46" t="b">
        <v>1</v>
      </c>
    </row>
    <row r="1231">
      <c r="A1231" s="157" t="s">
        <v>566</v>
      </c>
      <c r="B1231" s="158">
        <v>2.0</v>
      </c>
      <c r="C1231" s="157" t="s">
        <v>916</v>
      </c>
      <c r="D1231" s="157" t="s">
        <v>3857</v>
      </c>
      <c r="E1231" s="157" t="s">
        <v>3858</v>
      </c>
      <c r="F1231" s="157" t="s">
        <v>3859</v>
      </c>
      <c r="G1231" s="157" t="s">
        <v>3860</v>
      </c>
      <c r="H1231" s="157"/>
      <c r="I1231" s="158">
        <v>19.45518112</v>
      </c>
      <c r="J1231" s="158">
        <v>50.49417496</v>
      </c>
      <c r="K1231" s="157" t="s">
        <v>3861</v>
      </c>
      <c r="L1231" s="157" t="s">
        <v>648</v>
      </c>
      <c r="M1231" s="158">
        <v>2022.0</v>
      </c>
      <c r="N1231" s="157" t="s">
        <v>549</v>
      </c>
      <c r="O1231" s="157" t="s">
        <v>3836</v>
      </c>
      <c r="P1231" s="161" t="b">
        <v>1</v>
      </c>
      <c r="Q1231" s="158">
        <v>0.236</v>
      </c>
      <c r="R1231" s="158">
        <v>0.0</v>
      </c>
      <c r="S1231" s="158">
        <v>0.236</v>
      </c>
      <c r="T1231" s="157" t="s">
        <v>549</v>
      </c>
      <c r="U1231" s="46" t="s">
        <v>651</v>
      </c>
      <c r="V1231" s="46" t="b">
        <v>1</v>
      </c>
      <c r="W1231" s="46">
        <v>0.95</v>
      </c>
      <c r="X1231" s="46">
        <v>0.0</v>
      </c>
      <c r="Y1231" s="46" t="s">
        <v>640</v>
      </c>
      <c r="Z1231" s="46" t="b">
        <v>0</v>
      </c>
      <c r="AA1231" s="46" t="b">
        <v>0</v>
      </c>
    </row>
    <row r="1232">
      <c r="A1232" s="157" t="s">
        <v>554</v>
      </c>
      <c r="B1232" s="158">
        <v>2.0</v>
      </c>
      <c r="C1232" s="157" t="s">
        <v>916</v>
      </c>
      <c r="D1232" s="157" t="s">
        <v>3831</v>
      </c>
      <c r="E1232" s="157" t="s">
        <v>3832</v>
      </c>
      <c r="F1232" s="157" t="s">
        <v>3862</v>
      </c>
      <c r="G1232" s="157" t="s">
        <v>3863</v>
      </c>
      <c r="H1232" s="157"/>
      <c r="I1232" s="158">
        <v>15.4512</v>
      </c>
      <c r="J1232" s="158">
        <v>60.4906</v>
      </c>
      <c r="K1232" s="157" t="s">
        <v>1506</v>
      </c>
      <c r="L1232" s="157" t="s">
        <v>648</v>
      </c>
      <c r="M1232" s="158">
        <v>2022.0</v>
      </c>
      <c r="N1232" s="157" t="s">
        <v>549</v>
      </c>
      <c r="O1232" s="157" t="s">
        <v>3836</v>
      </c>
      <c r="P1232" s="161" t="b">
        <v>1</v>
      </c>
      <c r="Q1232" s="158">
        <v>0.226</v>
      </c>
      <c r="R1232" s="158">
        <v>0.0</v>
      </c>
      <c r="S1232" s="158">
        <v>0.226</v>
      </c>
      <c r="T1232" s="157" t="s">
        <v>549</v>
      </c>
      <c r="U1232" s="46" t="s">
        <v>651</v>
      </c>
      <c r="V1232" s="46" t="b">
        <v>1</v>
      </c>
      <c r="W1232" s="46">
        <v>0.95</v>
      </c>
      <c r="X1232" s="46">
        <v>0.0</v>
      </c>
      <c r="Y1232" s="46" t="s">
        <v>640</v>
      </c>
      <c r="Z1232" s="46" t="b">
        <v>0</v>
      </c>
      <c r="AA1232" s="46" t="b">
        <v>0</v>
      </c>
    </row>
    <row r="1233">
      <c r="A1233" s="157" t="s">
        <v>564</v>
      </c>
      <c r="B1233" s="158">
        <v>2.0</v>
      </c>
      <c r="C1233" s="157" t="s">
        <v>916</v>
      </c>
      <c r="D1233" s="157" t="s">
        <v>3831</v>
      </c>
      <c r="E1233" s="157" t="s">
        <v>3832</v>
      </c>
      <c r="F1233" s="157" t="s">
        <v>3864</v>
      </c>
      <c r="G1233" s="157" t="s">
        <v>3865</v>
      </c>
      <c r="H1233" s="157"/>
      <c r="I1233" s="158">
        <v>7.5639</v>
      </c>
      <c r="J1233" s="158">
        <v>47.175</v>
      </c>
      <c r="K1233" s="157" t="s">
        <v>3866</v>
      </c>
      <c r="L1233" s="157" t="s">
        <v>648</v>
      </c>
      <c r="M1233" s="158">
        <v>2021.0</v>
      </c>
      <c r="N1233" s="157" t="s">
        <v>549</v>
      </c>
      <c r="O1233" s="157" t="s">
        <v>3836</v>
      </c>
      <c r="P1233" s="161" t="b">
        <v>1</v>
      </c>
      <c r="Q1233" s="158">
        <v>0.101</v>
      </c>
      <c r="R1233" s="158">
        <v>0.0</v>
      </c>
      <c r="S1233" s="158">
        <v>0.101</v>
      </c>
      <c r="T1233" s="157" t="s">
        <v>549</v>
      </c>
      <c r="U1233" s="46" t="s">
        <v>651</v>
      </c>
      <c r="V1233" s="46" t="b">
        <v>1</v>
      </c>
      <c r="W1233" s="46">
        <v>0.95</v>
      </c>
      <c r="X1233" s="46">
        <v>0.0</v>
      </c>
      <c r="Y1233" s="46">
        <v>38.5326400088889</v>
      </c>
      <c r="Z1233" s="46" t="b">
        <v>1</v>
      </c>
      <c r="AA1233" s="46" t="b">
        <v>1</v>
      </c>
    </row>
    <row r="1234">
      <c r="A1234" s="157" t="s">
        <v>564</v>
      </c>
      <c r="B1234" s="158">
        <v>2.0</v>
      </c>
      <c r="C1234" s="157" t="s">
        <v>916</v>
      </c>
      <c r="D1234" s="157" t="s">
        <v>3867</v>
      </c>
      <c r="E1234" s="157" t="s">
        <v>3868</v>
      </c>
      <c r="F1234" s="157" t="s">
        <v>3869</v>
      </c>
      <c r="G1234" s="157" t="s">
        <v>3870</v>
      </c>
      <c r="H1234" s="157"/>
      <c r="I1234" s="158">
        <v>8.4435</v>
      </c>
      <c r="J1234" s="158">
        <v>47.3007</v>
      </c>
      <c r="K1234" s="157" t="s">
        <v>3871</v>
      </c>
      <c r="L1234" s="157" t="s">
        <v>648</v>
      </c>
      <c r="M1234" s="158">
        <v>2021.0</v>
      </c>
      <c r="N1234" s="157" t="s">
        <v>549</v>
      </c>
      <c r="O1234" s="157" t="s">
        <v>3836</v>
      </c>
      <c r="P1234" s="161" t="b">
        <v>1</v>
      </c>
      <c r="Q1234" s="158">
        <v>0.00616</v>
      </c>
      <c r="R1234" s="158">
        <v>0.0</v>
      </c>
      <c r="S1234" s="158">
        <v>0.00616</v>
      </c>
      <c r="T1234" s="157" t="s">
        <v>549</v>
      </c>
      <c r="U1234" s="46" t="s">
        <v>651</v>
      </c>
      <c r="V1234" s="46" t="b">
        <v>0</v>
      </c>
      <c r="W1234" s="46">
        <v>0.95</v>
      </c>
      <c r="X1234" s="46">
        <v>0.0</v>
      </c>
      <c r="Y1234" s="46">
        <v>28.9953568105248</v>
      </c>
      <c r="Z1234" s="46" t="b">
        <v>1</v>
      </c>
      <c r="AA1234" s="46" t="b">
        <v>1</v>
      </c>
    </row>
    <row r="1235">
      <c r="A1235" s="157" t="s">
        <v>579</v>
      </c>
      <c r="B1235" s="158">
        <v>4.0</v>
      </c>
      <c r="C1235" s="157" t="s">
        <v>1092</v>
      </c>
      <c r="D1235" s="157" t="s">
        <v>3872</v>
      </c>
      <c r="E1235" s="157" t="s">
        <v>3873</v>
      </c>
      <c r="F1235" s="157" t="s">
        <v>3874</v>
      </c>
      <c r="G1235" s="157" t="s">
        <v>3875</v>
      </c>
      <c r="H1235" s="157"/>
      <c r="I1235" s="158">
        <v>16.79753</v>
      </c>
      <c r="J1235" s="158">
        <v>45.46648</v>
      </c>
      <c r="K1235" s="157" t="s">
        <v>3876</v>
      </c>
      <c r="L1235" s="157" t="s">
        <v>648</v>
      </c>
      <c r="M1235" s="158">
        <v>2022.0</v>
      </c>
      <c r="N1235" s="157" t="s">
        <v>201</v>
      </c>
      <c r="O1235" s="157" t="s">
        <v>3877</v>
      </c>
      <c r="P1235" s="161" t="b">
        <v>1</v>
      </c>
      <c r="Q1235" s="158">
        <v>0.12</v>
      </c>
      <c r="R1235" s="158">
        <v>0.0</v>
      </c>
      <c r="S1235" s="158">
        <v>0.12</v>
      </c>
      <c r="T1235" s="157" t="s">
        <v>201</v>
      </c>
      <c r="U1235" s="46" t="s">
        <v>651</v>
      </c>
      <c r="V1235" s="46" t="b">
        <v>1</v>
      </c>
      <c r="W1235" s="46">
        <v>0.95</v>
      </c>
      <c r="X1235" s="46">
        <v>0.0</v>
      </c>
      <c r="Y1235" s="46">
        <v>99.3672230741057</v>
      </c>
      <c r="Z1235" s="46" t="b">
        <v>0</v>
      </c>
      <c r="AA1235" s="46" t="b">
        <v>1</v>
      </c>
    </row>
    <row r="1236">
      <c r="A1236" s="157" t="s">
        <v>565</v>
      </c>
      <c r="B1236" s="158">
        <v>4.0</v>
      </c>
      <c r="C1236" s="157" t="s">
        <v>1092</v>
      </c>
      <c r="D1236" s="157" t="s">
        <v>3872</v>
      </c>
      <c r="E1236" s="157" t="s">
        <v>3873</v>
      </c>
      <c r="F1236" s="157" t="s">
        <v>3878</v>
      </c>
      <c r="G1236" s="157" t="s">
        <v>3879</v>
      </c>
      <c r="H1236" s="157"/>
      <c r="I1236" s="158">
        <v>14.07952847</v>
      </c>
      <c r="J1236" s="158">
        <v>50.51210615</v>
      </c>
      <c r="K1236" s="157" t="s">
        <v>3880</v>
      </c>
      <c r="L1236" s="157" t="s">
        <v>648</v>
      </c>
      <c r="M1236" s="158">
        <v>2020.0</v>
      </c>
      <c r="N1236" s="157" t="s">
        <v>201</v>
      </c>
      <c r="O1236" s="157" t="s">
        <v>3877</v>
      </c>
      <c r="P1236" s="161" t="b">
        <v>1</v>
      </c>
      <c r="Q1236" s="158">
        <v>0.209732</v>
      </c>
      <c r="R1236" s="158">
        <v>0.0</v>
      </c>
      <c r="S1236" s="158">
        <v>0.209732</v>
      </c>
      <c r="T1236" s="157" t="s">
        <v>201</v>
      </c>
      <c r="U1236" s="46" t="s">
        <v>651</v>
      </c>
      <c r="V1236" s="46" t="b">
        <v>1</v>
      </c>
      <c r="W1236" s="46">
        <v>0.95</v>
      </c>
      <c r="X1236" s="46">
        <v>0.0</v>
      </c>
      <c r="Y1236" s="46">
        <v>55.0472347987526</v>
      </c>
      <c r="Z1236" s="46" t="b">
        <v>0</v>
      </c>
      <c r="AA1236" s="46" t="b">
        <v>1</v>
      </c>
    </row>
    <row r="1237">
      <c r="A1237" s="157" t="s">
        <v>556</v>
      </c>
      <c r="B1237" s="158">
        <v>4.0</v>
      </c>
      <c r="C1237" s="157" t="s">
        <v>1092</v>
      </c>
      <c r="D1237" s="157" t="s">
        <v>3872</v>
      </c>
      <c r="E1237" s="157" t="s">
        <v>3873</v>
      </c>
      <c r="F1237" s="157" t="s">
        <v>3881</v>
      </c>
      <c r="G1237" s="157" t="s">
        <v>3882</v>
      </c>
      <c r="H1237" s="157"/>
      <c r="I1237" s="158">
        <v>7.50742</v>
      </c>
      <c r="J1237" s="158">
        <v>47.7871</v>
      </c>
      <c r="K1237" s="157" t="s">
        <v>3883</v>
      </c>
      <c r="L1237" s="157" t="s">
        <v>648</v>
      </c>
      <c r="M1237" s="158">
        <v>2022.0</v>
      </c>
      <c r="N1237" s="157" t="s">
        <v>201</v>
      </c>
      <c r="O1237" s="157" t="s">
        <v>3877</v>
      </c>
      <c r="P1237" s="161" t="b">
        <v>1</v>
      </c>
      <c r="Q1237" s="158">
        <v>0.412</v>
      </c>
      <c r="R1237" s="158">
        <v>0.0</v>
      </c>
      <c r="S1237" s="158">
        <v>0.412</v>
      </c>
      <c r="T1237" s="157" t="s">
        <v>201</v>
      </c>
      <c r="U1237" s="46" t="s">
        <v>651</v>
      </c>
      <c r="V1237" s="46" t="b">
        <v>1</v>
      </c>
      <c r="W1237" s="46">
        <v>0.95</v>
      </c>
      <c r="X1237" s="46">
        <v>0.0</v>
      </c>
      <c r="Y1237" s="46">
        <v>39.836267880207</v>
      </c>
      <c r="Z1237" s="46" t="b">
        <v>1</v>
      </c>
      <c r="AA1237" s="46" t="b">
        <v>1</v>
      </c>
    </row>
    <row r="1238">
      <c r="A1238" s="157" t="s">
        <v>572</v>
      </c>
      <c r="B1238" s="158">
        <v>4.0</v>
      </c>
      <c r="C1238" s="157" t="s">
        <v>1092</v>
      </c>
      <c r="D1238" s="157" t="s">
        <v>3872</v>
      </c>
      <c r="E1238" s="157" t="s">
        <v>3873</v>
      </c>
      <c r="F1238" s="157" t="s">
        <v>3884</v>
      </c>
      <c r="G1238" s="157" t="s">
        <v>3885</v>
      </c>
      <c r="H1238" s="157"/>
      <c r="I1238" s="158">
        <v>24.47708</v>
      </c>
      <c r="J1238" s="158">
        <v>40.95552</v>
      </c>
      <c r="K1238" s="157" t="s">
        <v>3886</v>
      </c>
      <c r="L1238" s="157" t="s">
        <v>648</v>
      </c>
      <c r="M1238" s="158">
        <v>2022.0</v>
      </c>
      <c r="N1238" s="157" t="s">
        <v>201</v>
      </c>
      <c r="O1238" s="157" t="s">
        <v>3877</v>
      </c>
      <c r="P1238" s="161" t="b">
        <v>1</v>
      </c>
      <c r="Q1238" s="158">
        <v>0.261</v>
      </c>
      <c r="R1238" s="158">
        <v>0.0</v>
      </c>
      <c r="S1238" s="158">
        <v>0.261</v>
      </c>
      <c r="T1238" s="157" t="s">
        <v>201</v>
      </c>
      <c r="U1238" s="46" t="s">
        <v>651</v>
      </c>
      <c r="V1238" s="46" t="b">
        <v>1</v>
      </c>
      <c r="W1238" s="46">
        <v>0.95</v>
      </c>
      <c r="X1238" s="46">
        <v>0.0</v>
      </c>
      <c r="Y1238" s="46" t="s">
        <v>640</v>
      </c>
      <c r="Z1238" s="46" t="b">
        <v>0</v>
      </c>
      <c r="AA1238" s="46" t="b">
        <v>0</v>
      </c>
    </row>
    <row r="1239">
      <c r="A1239" s="157" t="s">
        <v>569</v>
      </c>
      <c r="B1239" s="158">
        <v>4.0</v>
      </c>
      <c r="C1239" s="157" t="s">
        <v>1092</v>
      </c>
      <c r="D1239" s="157" t="s">
        <v>3872</v>
      </c>
      <c r="E1239" s="157" t="s">
        <v>3873</v>
      </c>
      <c r="F1239" s="157" t="s">
        <v>3887</v>
      </c>
      <c r="G1239" s="157" t="s">
        <v>3888</v>
      </c>
      <c r="H1239" s="157"/>
      <c r="I1239" s="158">
        <v>18.139487</v>
      </c>
      <c r="J1239" s="158">
        <v>47.158499</v>
      </c>
      <c r="K1239" s="157" t="s">
        <v>3889</v>
      </c>
      <c r="L1239" s="157" t="s">
        <v>648</v>
      </c>
      <c r="M1239" s="158">
        <v>2022.0</v>
      </c>
      <c r="N1239" s="157" t="s">
        <v>201</v>
      </c>
      <c r="O1239" s="157" t="s">
        <v>3877</v>
      </c>
      <c r="P1239" s="161" t="b">
        <v>1</v>
      </c>
      <c r="Q1239" s="158">
        <v>0.4544</v>
      </c>
      <c r="R1239" s="158">
        <v>0.0</v>
      </c>
      <c r="S1239" s="158">
        <v>0.4544</v>
      </c>
      <c r="T1239" s="157" t="s">
        <v>201</v>
      </c>
      <c r="U1239" s="46" t="s">
        <v>651</v>
      </c>
      <c r="V1239" s="46" t="b">
        <v>1</v>
      </c>
      <c r="W1239" s="46">
        <v>0.95</v>
      </c>
      <c r="X1239" s="46">
        <v>0.0</v>
      </c>
      <c r="Y1239" s="46" t="s">
        <v>640</v>
      </c>
      <c r="Z1239" s="46" t="b">
        <v>0</v>
      </c>
      <c r="AA1239" s="46" t="b">
        <v>0</v>
      </c>
    </row>
    <row r="1240">
      <c r="A1240" s="157" t="s">
        <v>571</v>
      </c>
      <c r="B1240" s="158">
        <v>4.0</v>
      </c>
      <c r="C1240" s="157" t="s">
        <v>1092</v>
      </c>
      <c r="D1240" s="157" t="s">
        <v>3872</v>
      </c>
      <c r="E1240" s="157" t="s">
        <v>3873</v>
      </c>
      <c r="F1240" s="157" t="s">
        <v>3890</v>
      </c>
      <c r="G1240" s="157" t="s">
        <v>3891</v>
      </c>
      <c r="H1240" s="157"/>
      <c r="I1240" s="158">
        <v>24.335496</v>
      </c>
      <c r="J1240" s="158">
        <v>55.083703</v>
      </c>
      <c r="K1240" s="157" t="s">
        <v>3892</v>
      </c>
      <c r="L1240" s="157" t="s">
        <v>648</v>
      </c>
      <c r="M1240" s="158">
        <v>2022.0</v>
      </c>
      <c r="N1240" s="157" t="s">
        <v>201</v>
      </c>
      <c r="O1240" s="157" t="s">
        <v>3877</v>
      </c>
      <c r="P1240" s="161" t="b">
        <v>1</v>
      </c>
      <c r="Q1240" s="158">
        <v>2.05</v>
      </c>
      <c r="R1240" s="158">
        <v>0.0</v>
      </c>
      <c r="S1240" s="158">
        <v>2.05</v>
      </c>
      <c r="T1240" s="157" t="s">
        <v>201</v>
      </c>
      <c r="U1240" s="46" t="s">
        <v>651</v>
      </c>
      <c r="V1240" s="46" t="b">
        <v>1</v>
      </c>
      <c r="W1240" s="46">
        <v>0.95</v>
      </c>
      <c r="X1240" s="46">
        <v>0.0</v>
      </c>
      <c r="Y1240" s="46">
        <v>199.206809980435</v>
      </c>
      <c r="Z1240" s="46" t="b">
        <v>0</v>
      </c>
      <c r="AA1240" s="46" t="b">
        <v>0</v>
      </c>
    </row>
    <row r="1241">
      <c r="A1241" s="157" t="s">
        <v>570</v>
      </c>
      <c r="B1241" s="158">
        <v>4.0</v>
      </c>
      <c r="C1241" s="157" t="s">
        <v>1092</v>
      </c>
      <c r="D1241" s="157" t="s">
        <v>3872</v>
      </c>
      <c r="E1241" s="157" t="s">
        <v>3873</v>
      </c>
      <c r="F1241" s="157" t="s">
        <v>3893</v>
      </c>
      <c r="G1241" s="157" t="s">
        <v>3894</v>
      </c>
      <c r="H1241" s="157"/>
      <c r="I1241" s="158">
        <v>3.85005</v>
      </c>
      <c r="J1241" s="158">
        <v>51.27764</v>
      </c>
      <c r="K1241" s="157" t="s">
        <v>3895</v>
      </c>
      <c r="L1241" s="157" t="s">
        <v>648</v>
      </c>
      <c r="M1241" s="158">
        <v>2022.0</v>
      </c>
      <c r="N1241" s="157" t="s">
        <v>201</v>
      </c>
      <c r="O1241" s="157" t="s">
        <v>3877</v>
      </c>
      <c r="P1241" s="161" t="b">
        <v>1</v>
      </c>
      <c r="Q1241" s="158">
        <v>2.68</v>
      </c>
      <c r="R1241" s="158">
        <v>0.0</v>
      </c>
      <c r="S1241" s="158">
        <v>2.68</v>
      </c>
      <c r="T1241" s="157" t="s">
        <v>201</v>
      </c>
      <c r="U1241" s="46" t="s">
        <v>651</v>
      </c>
      <c r="V1241" s="46" t="b">
        <v>1</v>
      </c>
      <c r="W1241" s="46">
        <v>0.95</v>
      </c>
      <c r="X1241" s="46">
        <v>0.0</v>
      </c>
      <c r="Y1241" s="46">
        <v>15.1054624404989</v>
      </c>
      <c r="Z1241" s="46" t="b">
        <v>1</v>
      </c>
      <c r="AA1241" s="46" t="b">
        <v>1</v>
      </c>
    </row>
    <row r="1242">
      <c r="A1242" s="157" t="s">
        <v>566</v>
      </c>
      <c r="B1242" s="158">
        <v>4.0</v>
      </c>
      <c r="C1242" s="157" t="s">
        <v>1092</v>
      </c>
      <c r="D1242" s="157" t="s">
        <v>3872</v>
      </c>
      <c r="E1242" s="157" t="s">
        <v>3873</v>
      </c>
      <c r="F1242" s="157" t="s">
        <v>3896</v>
      </c>
      <c r="G1242" s="157" t="s">
        <v>3897</v>
      </c>
      <c r="H1242" s="157"/>
      <c r="I1242" s="158">
        <v>21.97403145</v>
      </c>
      <c r="J1242" s="158">
        <v>51.46070862</v>
      </c>
      <c r="K1242" s="157" t="s">
        <v>3898</v>
      </c>
      <c r="L1242" s="157" t="s">
        <v>648</v>
      </c>
      <c r="M1242" s="158">
        <v>2022.0</v>
      </c>
      <c r="N1242" s="157" t="s">
        <v>201</v>
      </c>
      <c r="O1242" s="157" t="s">
        <v>3877</v>
      </c>
      <c r="P1242" s="161" t="b">
        <v>1</v>
      </c>
      <c r="Q1242" s="158">
        <v>2.79</v>
      </c>
      <c r="R1242" s="158">
        <v>0.0</v>
      </c>
      <c r="S1242" s="158">
        <v>2.79</v>
      </c>
      <c r="T1242" s="157" t="s">
        <v>201</v>
      </c>
      <c r="U1242" s="46" t="s">
        <v>651</v>
      </c>
      <c r="V1242" s="46" t="b">
        <v>1</v>
      </c>
      <c r="W1242" s="46">
        <v>0.95</v>
      </c>
      <c r="X1242" s="46">
        <v>0.0</v>
      </c>
      <c r="Y1242" s="46" t="s">
        <v>640</v>
      </c>
      <c r="Z1242" s="46" t="b">
        <v>0</v>
      </c>
      <c r="AA1242" s="46" t="b">
        <v>0</v>
      </c>
    </row>
    <row r="1243">
      <c r="A1243" s="157" t="s">
        <v>576</v>
      </c>
      <c r="B1243" s="158">
        <v>4.0</v>
      </c>
      <c r="C1243" s="157" t="s">
        <v>1092</v>
      </c>
      <c r="D1243" s="157" t="s">
        <v>3872</v>
      </c>
      <c r="E1243" s="157" t="s">
        <v>3873</v>
      </c>
      <c r="F1243" s="157" t="s">
        <v>3899</v>
      </c>
      <c r="G1243" s="157" t="s">
        <v>3900</v>
      </c>
      <c r="H1243" s="157"/>
      <c r="I1243" s="158">
        <v>24.506814</v>
      </c>
      <c r="J1243" s="158">
        <v>46.515151</v>
      </c>
      <c r="K1243" s="157" t="s">
        <v>3901</v>
      </c>
      <c r="L1243" s="157" t="s">
        <v>648</v>
      </c>
      <c r="M1243" s="158">
        <v>2022.0</v>
      </c>
      <c r="N1243" s="157" t="s">
        <v>201</v>
      </c>
      <c r="O1243" s="157" t="s">
        <v>3877</v>
      </c>
      <c r="P1243" s="161" t="b">
        <v>1</v>
      </c>
      <c r="Q1243" s="158">
        <v>0.17</v>
      </c>
      <c r="R1243" s="158">
        <v>0.0</v>
      </c>
      <c r="S1243" s="158">
        <v>0.17</v>
      </c>
      <c r="T1243" s="157" t="s">
        <v>201</v>
      </c>
      <c r="U1243" s="46" t="s">
        <v>651</v>
      </c>
      <c r="V1243" s="46" t="b">
        <v>1</v>
      </c>
      <c r="W1243" s="46">
        <v>0.95</v>
      </c>
      <c r="X1243" s="46">
        <v>0.0</v>
      </c>
      <c r="Y1243" s="46" t="s">
        <v>640</v>
      </c>
      <c r="Z1243" s="46" t="b">
        <v>0</v>
      </c>
      <c r="AA1243" s="46" t="b">
        <v>0</v>
      </c>
    </row>
    <row r="1244">
      <c r="A1244" s="157" t="s">
        <v>561</v>
      </c>
      <c r="B1244" s="158">
        <v>4.0</v>
      </c>
      <c r="C1244" s="157" t="s">
        <v>1092</v>
      </c>
      <c r="D1244" s="157" t="s">
        <v>3872</v>
      </c>
      <c r="E1244" s="157" t="s">
        <v>3873</v>
      </c>
      <c r="F1244" s="157" t="s">
        <v>3902</v>
      </c>
      <c r="G1244" s="157" t="s">
        <v>3903</v>
      </c>
      <c r="H1244" s="157"/>
      <c r="I1244" s="158">
        <v>-4.0586</v>
      </c>
      <c r="J1244" s="158">
        <v>38.6659</v>
      </c>
      <c r="K1244" s="157" t="s">
        <v>3904</v>
      </c>
      <c r="L1244" s="157" t="s">
        <v>648</v>
      </c>
      <c r="M1244" s="158">
        <v>2022.0</v>
      </c>
      <c r="N1244" s="157" t="s">
        <v>201</v>
      </c>
      <c r="O1244" s="157" t="s">
        <v>3877</v>
      </c>
      <c r="P1244" s="161" t="b">
        <v>1</v>
      </c>
      <c r="Q1244" s="158">
        <v>0.386</v>
      </c>
      <c r="R1244" s="158">
        <v>0.0</v>
      </c>
      <c r="S1244" s="158">
        <v>0.386</v>
      </c>
      <c r="T1244" s="157" t="s">
        <v>201</v>
      </c>
      <c r="U1244" s="46" t="s">
        <v>651</v>
      </c>
      <c r="V1244" s="46" t="b">
        <v>1</v>
      </c>
      <c r="W1244" s="46">
        <v>0.95</v>
      </c>
      <c r="X1244" s="46">
        <v>0.0</v>
      </c>
      <c r="Y1244" s="46" t="s">
        <v>640</v>
      </c>
      <c r="Z1244" s="46" t="b">
        <v>0</v>
      </c>
      <c r="AA1244" s="46" t="b">
        <v>0</v>
      </c>
    </row>
    <row r="1245">
      <c r="A1245" s="157" t="s">
        <v>561</v>
      </c>
      <c r="B1245" s="158">
        <v>4.0</v>
      </c>
      <c r="C1245" s="157" t="s">
        <v>1092</v>
      </c>
      <c r="D1245" s="157" t="s">
        <v>3872</v>
      </c>
      <c r="E1245" s="157" t="s">
        <v>3873</v>
      </c>
      <c r="F1245" s="157" t="s">
        <v>3905</v>
      </c>
      <c r="G1245" s="157" t="s">
        <v>3906</v>
      </c>
      <c r="H1245" s="157"/>
      <c r="I1245" s="158">
        <v>-6.887875</v>
      </c>
      <c r="J1245" s="158">
        <v>37.184313</v>
      </c>
      <c r="K1245" s="157" t="s">
        <v>2549</v>
      </c>
      <c r="L1245" s="157" t="s">
        <v>648</v>
      </c>
      <c r="M1245" s="158">
        <v>2022.0</v>
      </c>
      <c r="N1245" s="157" t="s">
        <v>201</v>
      </c>
      <c r="O1245" s="157" t="s">
        <v>3877</v>
      </c>
      <c r="P1245" s="161" t="b">
        <v>1</v>
      </c>
      <c r="Q1245" s="158">
        <v>0.31</v>
      </c>
      <c r="R1245" s="158">
        <v>0.0</v>
      </c>
      <c r="S1245" s="158">
        <v>0.31</v>
      </c>
      <c r="T1245" s="157" t="s">
        <v>201</v>
      </c>
      <c r="U1245" s="46" t="s">
        <v>651</v>
      </c>
      <c r="V1245" s="46" t="b">
        <v>1</v>
      </c>
      <c r="W1245" s="46">
        <v>0.95</v>
      </c>
      <c r="X1245" s="46">
        <v>0.0</v>
      </c>
      <c r="Y1245" s="46" t="s">
        <v>640</v>
      </c>
      <c r="Z1245" s="46" t="b">
        <v>0</v>
      </c>
      <c r="AA1245" s="46" t="b">
        <v>0</v>
      </c>
    </row>
    <row r="1246">
      <c r="A1246" s="157" t="s">
        <v>563</v>
      </c>
      <c r="B1246" s="158">
        <v>4.0</v>
      </c>
      <c r="C1246" s="157" t="s">
        <v>1092</v>
      </c>
      <c r="D1246" s="157" t="s">
        <v>3872</v>
      </c>
      <c r="E1246" s="157" t="s">
        <v>3873</v>
      </c>
      <c r="F1246" s="157" t="s">
        <v>3907</v>
      </c>
      <c r="G1246" s="157" t="s">
        <v>3908</v>
      </c>
      <c r="H1246" s="157"/>
      <c r="I1246" s="158">
        <v>-2.7971083</v>
      </c>
      <c r="J1246" s="158">
        <v>53.281007</v>
      </c>
      <c r="K1246" s="157" t="s">
        <v>3909</v>
      </c>
      <c r="L1246" s="157" t="s">
        <v>648</v>
      </c>
      <c r="M1246" s="158">
        <v>2019.0</v>
      </c>
      <c r="N1246" s="157" t="s">
        <v>201</v>
      </c>
      <c r="O1246" s="157" t="s">
        <v>3877</v>
      </c>
      <c r="P1246" s="161" t="b">
        <v>1</v>
      </c>
      <c r="Q1246" s="158">
        <v>0.627</v>
      </c>
      <c r="R1246" s="158">
        <v>0.0</v>
      </c>
      <c r="S1246" s="158">
        <v>0.627</v>
      </c>
      <c r="T1246" s="157" t="s">
        <v>201</v>
      </c>
      <c r="U1246" s="46" t="s">
        <v>651</v>
      </c>
      <c r="V1246" s="46" t="b">
        <v>1</v>
      </c>
      <c r="W1246" s="46">
        <v>0.95</v>
      </c>
      <c r="X1246" s="46">
        <v>0.0</v>
      </c>
      <c r="Y1246" s="46">
        <v>3.43029466421139</v>
      </c>
      <c r="Z1246" s="46" t="b">
        <v>1</v>
      </c>
      <c r="AA1246" s="46" t="b">
        <v>1</v>
      </c>
    </row>
    <row r="1247">
      <c r="A1247" s="157" t="s">
        <v>567</v>
      </c>
      <c r="B1247" s="158">
        <v>4.0</v>
      </c>
      <c r="C1247" s="157" t="s">
        <v>1092</v>
      </c>
      <c r="D1247" s="157" t="s">
        <v>3872</v>
      </c>
      <c r="E1247" s="157" t="s">
        <v>3873</v>
      </c>
      <c r="F1247" s="157" t="s">
        <v>3910</v>
      </c>
      <c r="G1247" s="157" t="s">
        <v>3911</v>
      </c>
      <c r="H1247" s="157"/>
      <c r="I1247" s="158">
        <v>9.621395</v>
      </c>
      <c r="J1247" s="158">
        <v>59.1204567</v>
      </c>
      <c r="K1247" s="157" t="s">
        <v>3912</v>
      </c>
      <c r="L1247" s="157" t="s">
        <v>648</v>
      </c>
      <c r="M1247" s="158">
        <v>2017.0</v>
      </c>
      <c r="N1247" s="157" t="s">
        <v>201</v>
      </c>
      <c r="O1247" s="157" t="s">
        <v>3877</v>
      </c>
      <c r="P1247" s="161" t="b">
        <v>1</v>
      </c>
      <c r="Q1247" s="158">
        <v>0.487</v>
      </c>
      <c r="R1247" s="158">
        <v>0.0</v>
      </c>
      <c r="S1247" s="158">
        <v>0.487</v>
      </c>
      <c r="T1247" s="157" t="s">
        <v>201</v>
      </c>
      <c r="U1247" s="46" t="s">
        <v>651</v>
      </c>
      <c r="V1247" s="46" t="b">
        <v>1</v>
      </c>
      <c r="W1247" s="46">
        <v>0.95</v>
      </c>
      <c r="X1247" s="46">
        <v>0.0</v>
      </c>
      <c r="Y1247" s="46" t="s">
        <v>640</v>
      </c>
      <c r="Z1247" s="46" t="b">
        <v>0</v>
      </c>
      <c r="AA1247" s="46" t="b">
        <v>0</v>
      </c>
    </row>
    <row r="1248">
      <c r="A1248" s="157" t="s">
        <v>581</v>
      </c>
      <c r="B1248" s="158">
        <v>8.0</v>
      </c>
      <c r="C1248" s="157" t="s">
        <v>1175</v>
      </c>
      <c r="D1248" s="157" t="s">
        <v>1176</v>
      </c>
      <c r="E1248" s="157" t="s">
        <v>1177</v>
      </c>
      <c r="F1248" s="157" t="s">
        <v>3913</v>
      </c>
      <c r="G1248" s="157" t="s">
        <v>3914</v>
      </c>
      <c r="H1248" s="157"/>
      <c r="I1248" s="158">
        <v>26.5279</v>
      </c>
      <c r="J1248" s="158">
        <v>43.5692</v>
      </c>
      <c r="K1248" s="157" t="s">
        <v>3915</v>
      </c>
      <c r="L1248" s="157" t="s">
        <v>648</v>
      </c>
      <c r="M1248" s="158">
        <v>2021.0</v>
      </c>
      <c r="N1248" s="157" t="s">
        <v>552</v>
      </c>
      <c r="O1248" s="157" t="s">
        <v>1181</v>
      </c>
      <c r="P1248" s="161" t="b">
        <v>1</v>
      </c>
      <c r="Q1248" s="158">
        <v>0.130545</v>
      </c>
      <c r="R1248" s="158">
        <v>0.0</v>
      </c>
      <c r="S1248" s="158">
        <v>0.130545</v>
      </c>
      <c r="T1248" s="157" t="s">
        <v>552</v>
      </c>
      <c r="U1248" s="46" t="s">
        <v>651</v>
      </c>
      <c r="V1248" s="46" t="b">
        <v>1</v>
      </c>
      <c r="W1248" s="46">
        <v>0.95</v>
      </c>
      <c r="X1248" s="46">
        <v>0.0</v>
      </c>
      <c r="Y1248" s="46">
        <v>80.0207411983133</v>
      </c>
      <c r="Z1248" s="46" t="b">
        <v>0</v>
      </c>
      <c r="AA1248" s="46" t="b">
        <v>1</v>
      </c>
    </row>
    <row r="1249">
      <c r="A1249" s="157" t="s">
        <v>568</v>
      </c>
      <c r="B1249" s="158">
        <v>8.0</v>
      </c>
      <c r="C1249" s="157" t="s">
        <v>1175</v>
      </c>
      <c r="D1249" s="157" t="s">
        <v>1176</v>
      </c>
      <c r="E1249" s="157" t="s">
        <v>1177</v>
      </c>
      <c r="F1249" s="157" t="s">
        <v>3916</v>
      </c>
      <c r="G1249" s="157" t="s">
        <v>3917</v>
      </c>
      <c r="H1249" s="157"/>
      <c r="I1249" s="158">
        <v>11.8766961740924</v>
      </c>
      <c r="J1249" s="158">
        <v>54.7622728235396</v>
      </c>
      <c r="K1249" s="157" t="s">
        <v>3918</v>
      </c>
      <c r="L1249" s="157" t="s">
        <v>648</v>
      </c>
      <c r="M1249" s="158">
        <v>2022.0</v>
      </c>
      <c r="N1249" s="157" t="s">
        <v>552</v>
      </c>
      <c r="O1249" s="157" t="s">
        <v>1181</v>
      </c>
      <c r="P1249" s="161" t="b">
        <v>1</v>
      </c>
      <c r="Q1249" s="158">
        <v>0.083235</v>
      </c>
      <c r="R1249" s="158">
        <v>0.0</v>
      </c>
      <c r="S1249" s="158">
        <v>0.083235</v>
      </c>
      <c r="T1249" s="157" t="s">
        <v>552</v>
      </c>
      <c r="U1249" s="46" t="s">
        <v>651</v>
      </c>
      <c r="V1249" s="46" t="b">
        <v>0</v>
      </c>
      <c r="W1249" s="46">
        <v>0.95</v>
      </c>
      <c r="X1249" s="46">
        <v>0.0</v>
      </c>
      <c r="Y1249" s="46">
        <v>84.8995176948232</v>
      </c>
      <c r="Z1249" s="46" t="b">
        <v>0</v>
      </c>
      <c r="AA1249" s="46" t="b">
        <v>1</v>
      </c>
    </row>
    <row r="1250">
      <c r="A1250" s="157" t="s">
        <v>568</v>
      </c>
      <c r="B1250" s="158">
        <v>8.0</v>
      </c>
      <c r="C1250" s="157" t="s">
        <v>1175</v>
      </c>
      <c r="D1250" s="157" t="s">
        <v>1176</v>
      </c>
      <c r="E1250" s="157" t="s">
        <v>1177</v>
      </c>
      <c r="F1250" s="157" t="s">
        <v>3919</v>
      </c>
      <c r="G1250" s="157" t="s">
        <v>3920</v>
      </c>
      <c r="H1250" s="157"/>
      <c r="I1250" s="158">
        <v>11.1473328717118</v>
      </c>
      <c r="J1250" s="158">
        <v>54.8309033091461</v>
      </c>
      <c r="K1250" s="157" t="s">
        <v>3921</v>
      </c>
      <c r="L1250" s="157" t="s">
        <v>648</v>
      </c>
      <c r="M1250" s="158">
        <v>2022.0</v>
      </c>
      <c r="N1250" s="157" t="s">
        <v>552</v>
      </c>
      <c r="O1250" s="157" t="s">
        <v>1181</v>
      </c>
      <c r="P1250" s="161" t="b">
        <v>1</v>
      </c>
      <c r="Q1250" s="158">
        <v>0.081235</v>
      </c>
      <c r="R1250" s="158">
        <v>0.0</v>
      </c>
      <c r="S1250" s="158">
        <v>0.081235</v>
      </c>
      <c r="T1250" s="157" t="s">
        <v>552</v>
      </c>
      <c r="U1250" s="46" t="s">
        <v>651</v>
      </c>
      <c r="V1250" s="46" t="b">
        <v>0</v>
      </c>
      <c r="W1250" s="46">
        <v>0.95</v>
      </c>
      <c r="X1250" s="46">
        <v>0.0</v>
      </c>
      <c r="Y1250" s="46">
        <v>55.35828156682</v>
      </c>
      <c r="Z1250" s="46" t="b">
        <v>0</v>
      </c>
      <c r="AA1250" s="46" t="b">
        <v>1</v>
      </c>
    </row>
    <row r="1251">
      <c r="A1251" s="157" t="s">
        <v>568</v>
      </c>
      <c r="B1251" s="158">
        <v>8.0</v>
      </c>
      <c r="C1251" s="157" t="s">
        <v>1175</v>
      </c>
      <c r="D1251" s="157" t="s">
        <v>1176</v>
      </c>
      <c r="E1251" s="157" t="s">
        <v>1177</v>
      </c>
      <c r="F1251" s="157" t="s">
        <v>3922</v>
      </c>
      <c r="G1251" s="157" t="s">
        <v>3923</v>
      </c>
      <c r="H1251" s="157"/>
      <c r="I1251" s="158">
        <v>9.72995537774214</v>
      </c>
      <c r="J1251" s="158">
        <v>55.5837637281969</v>
      </c>
      <c r="K1251" s="157" t="s">
        <v>3924</v>
      </c>
      <c r="L1251" s="157" t="s">
        <v>648</v>
      </c>
      <c r="M1251" s="158">
        <v>2022.0</v>
      </c>
      <c r="N1251" s="157" t="s">
        <v>552</v>
      </c>
      <c r="O1251" s="157" t="s">
        <v>1181</v>
      </c>
      <c r="P1251" s="161" t="b">
        <v>1</v>
      </c>
      <c r="Q1251" s="158">
        <v>0.011104</v>
      </c>
      <c r="R1251" s="158">
        <v>0.0</v>
      </c>
      <c r="S1251" s="158">
        <v>0.011104</v>
      </c>
      <c r="T1251" s="157" t="s">
        <v>552</v>
      </c>
      <c r="U1251" s="46" t="s">
        <v>651</v>
      </c>
      <c r="V1251" s="46" t="b">
        <v>0</v>
      </c>
      <c r="W1251" s="46">
        <v>0.95</v>
      </c>
      <c r="X1251" s="46">
        <v>0.0</v>
      </c>
      <c r="Y1251" s="46">
        <v>22.8076506383637</v>
      </c>
      <c r="Z1251" s="46" t="b">
        <v>1</v>
      </c>
      <c r="AA1251" s="46" t="b">
        <v>1</v>
      </c>
    </row>
    <row r="1252">
      <c r="A1252" s="157" t="s">
        <v>568</v>
      </c>
      <c r="B1252" s="158">
        <v>8.0</v>
      </c>
      <c r="C1252" s="157" t="s">
        <v>1175</v>
      </c>
      <c r="D1252" s="157" t="s">
        <v>1176</v>
      </c>
      <c r="E1252" s="157" t="s">
        <v>1177</v>
      </c>
      <c r="F1252" s="157" t="s">
        <v>3925</v>
      </c>
      <c r="G1252" s="157" t="s">
        <v>3926</v>
      </c>
      <c r="H1252" s="157"/>
      <c r="I1252" s="158">
        <v>12.1149898218878</v>
      </c>
      <c r="J1252" s="158">
        <v>55.25993826</v>
      </c>
      <c r="K1252" s="157" t="s">
        <v>3927</v>
      </c>
      <c r="L1252" s="157" t="s">
        <v>648</v>
      </c>
      <c r="M1252" s="158">
        <v>2022.0</v>
      </c>
      <c r="N1252" s="157" t="s">
        <v>552</v>
      </c>
      <c r="O1252" s="157" t="s">
        <v>1181</v>
      </c>
      <c r="P1252" s="161" t="b">
        <v>1</v>
      </c>
      <c r="Q1252" s="158">
        <v>0.005717328</v>
      </c>
      <c r="R1252" s="158">
        <v>0.0</v>
      </c>
      <c r="S1252" s="158">
        <v>0.005717328</v>
      </c>
      <c r="T1252" s="157" t="s">
        <v>552</v>
      </c>
      <c r="U1252" s="46" t="s">
        <v>651</v>
      </c>
      <c r="V1252" s="46" t="b">
        <v>0</v>
      </c>
      <c r="W1252" s="46">
        <v>0.95</v>
      </c>
      <c r="X1252" s="46">
        <v>0.0</v>
      </c>
      <c r="Y1252" s="46">
        <v>35.4773246125166</v>
      </c>
      <c r="Z1252" s="46" t="b">
        <v>1</v>
      </c>
      <c r="AA1252" s="46" t="b">
        <v>1</v>
      </c>
    </row>
    <row r="1253">
      <c r="A1253" s="157" t="s">
        <v>557</v>
      </c>
      <c r="B1253" s="158">
        <v>8.0</v>
      </c>
      <c r="C1253" s="157" t="s">
        <v>1175</v>
      </c>
      <c r="D1253" s="157" t="s">
        <v>1176</v>
      </c>
      <c r="E1253" s="157" t="s">
        <v>1177</v>
      </c>
      <c r="F1253" s="162" t="s">
        <v>3928</v>
      </c>
      <c r="G1253" s="157" t="s">
        <v>3929</v>
      </c>
      <c r="H1253" s="157"/>
      <c r="I1253" s="158">
        <v>10.5595538731267</v>
      </c>
      <c r="J1253" s="158">
        <v>52.9783673737054</v>
      </c>
      <c r="K1253" s="157" t="s">
        <v>3930</v>
      </c>
      <c r="L1253" s="157" t="s">
        <v>648</v>
      </c>
      <c r="M1253" s="158">
        <v>2022.0</v>
      </c>
      <c r="N1253" s="157" t="s">
        <v>552</v>
      </c>
      <c r="O1253" s="157" t="s">
        <v>1181</v>
      </c>
      <c r="P1253" s="161" t="b">
        <v>1</v>
      </c>
      <c r="Q1253" s="158">
        <v>0.169</v>
      </c>
      <c r="R1253" s="158">
        <v>0.0</v>
      </c>
      <c r="S1253" s="158">
        <v>0.169</v>
      </c>
      <c r="T1253" s="157" t="s">
        <v>552</v>
      </c>
      <c r="U1253" s="46" t="s">
        <v>651</v>
      </c>
      <c r="V1253" s="46" t="b">
        <v>1</v>
      </c>
      <c r="W1253" s="46">
        <v>0.95</v>
      </c>
      <c r="X1253" s="46">
        <v>0.0</v>
      </c>
      <c r="Y1253" s="46">
        <v>59.424299247281</v>
      </c>
      <c r="Z1253" s="46" t="b">
        <v>0</v>
      </c>
      <c r="AA1253" s="46" t="b">
        <v>1</v>
      </c>
    </row>
    <row r="1254">
      <c r="A1254" s="157" t="s">
        <v>557</v>
      </c>
      <c r="B1254" s="158">
        <v>8.0</v>
      </c>
      <c r="C1254" s="157" t="s">
        <v>1175</v>
      </c>
      <c r="D1254" s="157" t="s">
        <v>1176</v>
      </c>
      <c r="E1254" s="157" t="s">
        <v>1177</v>
      </c>
      <c r="F1254" s="162" t="s">
        <v>3931</v>
      </c>
      <c r="G1254" s="157" t="s">
        <v>3932</v>
      </c>
      <c r="H1254" s="157"/>
      <c r="I1254" s="158">
        <v>6.66358395440062</v>
      </c>
      <c r="J1254" s="158">
        <v>51.3389851698415</v>
      </c>
      <c r="K1254" s="157" t="s">
        <v>3933</v>
      </c>
      <c r="L1254" s="157" t="s">
        <v>648</v>
      </c>
      <c r="M1254" s="158">
        <v>2022.0</v>
      </c>
      <c r="N1254" s="157" t="s">
        <v>552</v>
      </c>
      <c r="O1254" s="157" t="s">
        <v>1181</v>
      </c>
      <c r="P1254" s="161" t="b">
        <v>1</v>
      </c>
      <c r="Q1254" s="158">
        <v>0.168</v>
      </c>
      <c r="R1254" s="158">
        <v>0.0</v>
      </c>
      <c r="S1254" s="158">
        <v>0.168</v>
      </c>
      <c r="T1254" s="157" t="s">
        <v>552</v>
      </c>
      <c r="U1254" s="46" t="s">
        <v>651</v>
      </c>
      <c r="V1254" s="46" t="b">
        <v>1</v>
      </c>
      <c r="W1254" s="46">
        <v>0.95</v>
      </c>
      <c r="X1254" s="46">
        <v>0.0</v>
      </c>
      <c r="Y1254" s="46">
        <v>6.08924018180625</v>
      </c>
      <c r="Z1254" s="46" t="b">
        <v>1</v>
      </c>
      <c r="AA1254" s="46" t="b">
        <v>1</v>
      </c>
    </row>
    <row r="1255">
      <c r="A1255" s="157" t="s">
        <v>557</v>
      </c>
      <c r="B1255" s="158">
        <v>8.0</v>
      </c>
      <c r="C1255" s="157" t="s">
        <v>1175</v>
      </c>
      <c r="D1255" s="157" t="s">
        <v>1176</v>
      </c>
      <c r="E1255" s="157" t="s">
        <v>1177</v>
      </c>
      <c r="F1255" s="162" t="s">
        <v>3934</v>
      </c>
      <c r="G1255" s="157" t="s">
        <v>3935</v>
      </c>
      <c r="H1255" s="157"/>
      <c r="I1255" s="158">
        <v>9.79506332154024</v>
      </c>
      <c r="J1255" s="158">
        <v>52.1709049159077</v>
      </c>
      <c r="K1255" s="157" t="s">
        <v>3936</v>
      </c>
      <c r="L1255" s="157" t="s">
        <v>648</v>
      </c>
      <c r="M1255" s="158">
        <v>2022.0</v>
      </c>
      <c r="N1255" s="157" t="s">
        <v>552</v>
      </c>
      <c r="O1255" s="157" t="s">
        <v>1181</v>
      </c>
      <c r="P1255" s="161" t="b">
        <v>1</v>
      </c>
      <c r="Q1255" s="158">
        <v>0.152</v>
      </c>
      <c r="R1255" s="158">
        <v>0.0</v>
      </c>
      <c r="S1255" s="158">
        <v>0.152</v>
      </c>
      <c r="T1255" s="157" t="s">
        <v>552</v>
      </c>
      <c r="U1255" s="46" t="s">
        <v>651</v>
      </c>
      <c r="V1255" s="46" t="b">
        <v>1</v>
      </c>
      <c r="W1255" s="46">
        <v>0.95</v>
      </c>
      <c r="X1255" s="46">
        <v>0.0</v>
      </c>
      <c r="Y1255" s="46">
        <v>15.4611243691068</v>
      </c>
      <c r="Z1255" s="46" t="b">
        <v>1</v>
      </c>
      <c r="AA1255" s="46" t="b">
        <v>1</v>
      </c>
    </row>
    <row r="1256">
      <c r="A1256" s="157" t="s">
        <v>557</v>
      </c>
      <c r="B1256" s="158">
        <v>8.0</v>
      </c>
      <c r="C1256" s="157" t="s">
        <v>1175</v>
      </c>
      <c r="D1256" s="157" t="s">
        <v>1176</v>
      </c>
      <c r="E1256" s="157" t="s">
        <v>1177</v>
      </c>
      <c r="F1256" s="162" t="s">
        <v>3937</v>
      </c>
      <c r="G1256" s="157" t="s">
        <v>3938</v>
      </c>
      <c r="H1256" s="157"/>
      <c r="I1256" s="158">
        <v>10.0801581297894</v>
      </c>
      <c r="J1256" s="158">
        <v>49.6666275180351</v>
      </c>
      <c r="K1256" s="157" t="s">
        <v>3939</v>
      </c>
      <c r="L1256" s="157" t="s">
        <v>648</v>
      </c>
      <c r="M1256" s="158">
        <v>2022.0</v>
      </c>
      <c r="N1256" s="157" t="s">
        <v>552</v>
      </c>
      <c r="O1256" s="157" t="s">
        <v>1181</v>
      </c>
      <c r="P1256" s="161" t="b">
        <v>1</v>
      </c>
      <c r="Q1256" s="158">
        <v>0.142</v>
      </c>
      <c r="R1256" s="158">
        <v>0.0</v>
      </c>
      <c r="S1256" s="158">
        <v>0.142</v>
      </c>
      <c r="T1256" s="157" t="s">
        <v>552</v>
      </c>
      <c r="U1256" s="46" t="s">
        <v>651</v>
      </c>
      <c r="V1256" s="46" t="b">
        <v>1</v>
      </c>
      <c r="W1256" s="46">
        <v>0.95</v>
      </c>
      <c r="X1256" s="46">
        <v>0.0</v>
      </c>
      <c r="Y1256" s="46">
        <v>23.944154225093</v>
      </c>
      <c r="Z1256" s="46" t="b">
        <v>1</v>
      </c>
      <c r="AA1256" s="46" t="b">
        <v>1</v>
      </c>
    </row>
    <row r="1257">
      <c r="A1257" s="157" t="s">
        <v>557</v>
      </c>
      <c r="B1257" s="158">
        <v>8.0</v>
      </c>
      <c r="C1257" s="157" t="s">
        <v>1175</v>
      </c>
      <c r="D1257" s="157" t="s">
        <v>1176</v>
      </c>
      <c r="E1257" s="157" t="s">
        <v>1177</v>
      </c>
      <c r="F1257" s="162" t="s">
        <v>3940</v>
      </c>
      <c r="G1257" s="157" t="s">
        <v>3941</v>
      </c>
      <c r="H1257" s="157"/>
      <c r="I1257" s="158">
        <v>8.22098281442473</v>
      </c>
      <c r="J1257" s="158">
        <v>49.60038812</v>
      </c>
      <c r="K1257" s="157" t="s">
        <v>3942</v>
      </c>
      <c r="L1257" s="157" t="s">
        <v>648</v>
      </c>
      <c r="M1257" s="158">
        <v>2022.0</v>
      </c>
      <c r="N1257" s="157" t="s">
        <v>552</v>
      </c>
      <c r="O1257" s="157" t="s">
        <v>1181</v>
      </c>
      <c r="P1257" s="161" t="b">
        <v>1</v>
      </c>
      <c r="Q1257" s="158">
        <v>0.134</v>
      </c>
      <c r="R1257" s="158">
        <v>0.0</v>
      </c>
      <c r="S1257" s="158">
        <v>0.134</v>
      </c>
      <c r="T1257" s="157" t="s">
        <v>552</v>
      </c>
      <c r="U1257" s="46" t="s">
        <v>651</v>
      </c>
      <c r="V1257" s="46" t="b">
        <v>1</v>
      </c>
      <c r="W1257" s="46">
        <v>0.95</v>
      </c>
      <c r="X1257" s="46">
        <v>0.0</v>
      </c>
      <c r="Y1257" s="46">
        <v>8.38394532792503</v>
      </c>
      <c r="Z1257" s="46" t="b">
        <v>1</v>
      </c>
      <c r="AA1257" s="46" t="b">
        <v>1</v>
      </c>
    </row>
    <row r="1258">
      <c r="A1258" s="157" t="s">
        <v>557</v>
      </c>
      <c r="B1258" s="158">
        <v>8.0</v>
      </c>
      <c r="C1258" s="157" t="s">
        <v>1175</v>
      </c>
      <c r="D1258" s="157" t="s">
        <v>1176</v>
      </c>
      <c r="E1258" s="157" t="s">
        <v>1177</v>
      </c>
      <c r="F1258" s="162" t="s">
        <v>3943</v>
      </c>
      <c r="G1258" s="157" t="s">
        <v>3944</v>
      </c>
      <c r="H1258" s="157"/>
      <c r="I1258" s="158">
        <v>6.37312120156878</v>
      </c>
      <c r="J1258" s="158">
        <v>50.9166163514704</v>
      </c>
      <c r="K1258" s="157" t="s">
        <v>3945</v>
      </c>
      <c r="L1258" s="157" t="s">
        <v>648</v>
      </c>
      <c r="M1258" s="158">
        <v>2022.0</v>
      </c>
      <c r="N1258" s="157" t="s">
        <v>552</v>
      </c>
      <c r="O1258" s="157" t="s">
        <v>1181</v>
      </c>
      <c r="P1258" s="161" t="b">
        <v>1</v>
      </c>
      <c r="Q1258" s="158">
        <v>0.105</v>
      </c>
      <c r="R1258" s="158">
        <v>0.0</v>
      </c>
      <c r="S1258" s="158">
        <v>0.105</v>
      </c>
      <c r="T1258" s="157" t="s">
        <v>552</v>
      </c>
      <c r="U1258" s="46" t="s">
        <v>651</v>
      </c>
      <c r="V1258" s="46" t="b">
        <v>1</v>
      </c>
      <c r="W1258" s="46">
        <v>0.95</v>
      </c>
      <c r="X1258" s="46">
        <v>0.0</v>
      </c>
      <c r="Y1258" s="46">
        <v>7.54907525774402</v>
      </c>
      <c r="Z1258" s="46" t="b">
        <v>1</v>
      </c>
      <c r="AA1258" s="46" t="b">
        <v>1</v>
      </c>
    </row>
    <row r="1259">
      <c r="A1259" s="157" t="s">
        <v>557</v>
      </c>
      <c r="B1259" s="158">
        <v>8.0</v>
      </c>
      <c r="C1259" s="157" t="s">
        <v>1175</v>
      </c>
      <c r="D1259" s="157" t="s">
        <v>1176</v>
      </c>
      <c r="E1259" s="157" t="s">
        <v>1177</v>
      </c>
      <c r="F1259" s="162" t="s">
        <v>3946</v>
      </c>
      <c r="G1259" s="157" t="s">
        <v>3947</v>
      </c>
      <c r="H1259" s="157"/>
      <c r="I1259" s="158">
        <v>12.8827501613666</v>
      </c>
      <c r="J1259" s="158">
        <v>48.7876195970641</v>
      </c>
      <c r="K1259" s="157" t="s">
        <v>3948</v>
      </c>
      <c r="L1259" s="157" t="s">
        <v>648</v>
      </c>
      <c r="M1259" s="158">
        <v>2022.0</v>
      </c>
      <c r="N1259" s="157" t="s">
        <v>552</v>
      </c>
      <c r="O1259" s="157" t="s">
        <v>1181</v>
      </c>
      <c r="P1259" s="161" t="b">
        <v>1</v>
      </c>
      <c r="Q1259" s="158">
        <v>0.101</v>
      </c>
      <c r="R1259" s="158">
        <v>0.0</v>
      </c>
      <c r="S1259" s="158">
        <v>0.101</v>
      </c>
      <c r="T1259" s="157" t="s">
        <v>552</v>
      </c>
      <c r="U1259" s="46" t="s">
        <v>651</v>
      </c>
      <c r="V1259" s="46" t="b">
        <v>1</v>
      </c>
      <c r="W1259" s="46">
        <v>0.95</v>
      </c>
      <c r="X1259" s="46">
        <v>0.0</v>
      </c>
      <c r="Y1259" s="46">
        <v>65.1621043490871</v>
      </c>
      <c r="Z1259" s="46" t="b">
        <v>0</v>
      </c>
      <c r="AA1259" s="46" t="b">
        <v>1</v>
      </c>
    </row>
    <row r="1260">
      <c r="A1260" s="157" t="s">
        <v>563</v>
      </c>
      <c r="B1260" s="158">
        <v>8.0</v>
      </c>
      <c r="C1260" s="157" t="s">
        <v>1175</v>
      </c>
      <c r="D1260" s="157" t="s">
        <v>1176</v>
      </c>
      <c r="E1260" s="157" t="s">
        <v>1177</v>
      </c>
      <c r="F1260" s="157" t="s">
        <v>3949</v>
      </c>
      <c r="G1260" s="157" t="s">
        <v>3950</v>
      </c>
      <c r="H1260" s="157"/>
      <c r="I1260" s="158">
        <v>-4.8334</v>
      </c>
      <c r="J1260" s="158">
        <v>55.26071</v>
      </c>
      <c r="K1260" s="157" t="s">
        <v>3951</v>
      </c>
      <c r="L1260" s="157" t="s">
        <v>648</v>
      </c>
      <c r="M1260" s="158">
        <v>2019.0</v>
      </c>
      <c r="N1260" s="157" t="s">
        <v>552</v>
      </c>
      <c r="O1260" s="157" t="s">
        <v>1181</v>
      </c>
      <c r="P1260" s="161" t="b">
        <v>1</v>
      </c>
      <c r="Q1260" s="158">
        <v>0.165</v>
      </c>
      <c r="R1260" s="158">
        <v>0.0</v>
      </c>
      <c r="S1260" s="158">
        <v>0.165</v>
      </c>
      <c r="T1260" s="157" t="s">
        <v>552</v>
      </c>
      <c r="U1260" s="46" t="s">
        <v>651</v>
      </c>
      <c r="V1260" s="46" t="b">
        <v>1</v>
      </c>
      <c r="W1260" s="46">
        <v>0.95</v>
      </c>
      <c r="X1260" s="46">
        <v>0.0</v>
      </c>
      <c r="Y1260" s="46">
        <v>111.937012970239</v>
      </c>
      <c r="Z1260" s="46" t="b">
        <v>0</v>
      </c>
      <c r="AA1260" s="46" t="b">
        <v>0</v>
      </c>
    </row>
    <row r="1261">
      <c r="A1261" s="157" t="s">
        <v>568</v>
      </c>
      <c r="B1261" s="158">
        <v>5.0</v>
      </c>
      <c r="C1261" s="157" t="s">
        <v>652</v>
      </c>
      <c r="D1261" s="157" t="s">
        <v>895</v>
      </c>
      <c r="E1261" s="157" t="s">
        <v>896</v>
      </c>
      <c r="F1261" s="157" t="s">
        <v>3952</v>
      </c>
      <c r="G1261" s="157" t="s">
        <v>3953</v>
      </c>
      <c r="H1261" s="157"/>
      <c r="I1261" s="158">
        <v>10.8136639584265</v>
      </c>
      <c r="J1261" s="158">
        <v>55.3036141713478</v>
      </c>
      <c r="K1261" s="157" t="s">
        <v>3954</v>
      </c>
      <c r="L1261" s="157" t="s">
        <v>648</v>
      </c>
      <c r="M1261" s="158">
        <v>2022.0</v>
      </c>
      <c r="N1261" s="157" t="s">
        <v>116</v>
      </c>
      <c r="O1261" s="157" t="s">
        <v>900</v>
      </c>
      <c r="P1261" s="161" t="b">
        <v>1</v>
      </c>
      <c r="Q1261" s="158">
        <v>0.171</v>
      </c>
      <c r="R1261" s="158">
        <v>0.0</v>
      </c>
      <c r="S1261" s="158">
        <v>0.171</v>
      </c>
      <c r="T1261" s="157" t="s">
        <v>116</v>
      </c>
      <c r="U1261" s="46" t="s">
        <v>651</v>
      </c>
      <c r="V1261" s="46" t="b">
        <v>1</v>
      </c>
      <c r="W1261" s="46">
        <v>0.95</v>
      </c>
      <c r="X1261" s="46">
        <v>0.0</v>
      </c>
      <c r="Y1261" s="46">
        <v>5.3727845674154</v>
      </c>
      <c r="Z1261" s="46" t="b">
        <v>1</v>
      </c>
      <c r="AA1261" s="46" t="b">
        <v>1</v>
      </c>
    </row>
    <row r="1262">
      <c r="A1262" s="157" t="s">
        <v>568</v>
      </c>
      <c r="B1262" s="158">
        <v>5.0</v>
      </c>
      <c r="C1262" s="157" t="s">
        <v>652</v>
      </c>
      <c r="D1262" s="157" t="s">
        <v>895</v>
      </c>
      <c r="E1262" s="157" t="s">
        <v>896</v>
      </c>
      <c r="F1262" s="157" t="s">
        <v>3955</v>
      </c>
      <c r="G1262" s="157" t="s">
        <v>3956</v>
      </c>
      <c r="H1262" s="157"/>
      <c r="I1262" s="158">
        <v>12.1345270883254</v>
      </c>
      <c r="J1262" s="158">
        <v>55.2547735786258</v>
      </c>
      <c r="K1262" s="157" t="s">
        <v>3927</v>
      </c>
      <c r="L1262" s="157" t="s">
        <v>648</v>
      </c>
      <c r="M1262" s="158">
        <v>2022.0</v>
      </c>
      <c r="N1262" s="157" t="s">
        <v>116</v>
      </c>
      <c r="O1262" s="157" t="s">
        <v>900</v>
      </c>
      <c r="P1262" s="161" t="b">
        <v>1</v>
      </c>
      <c r="Q1262" s="158">
        <v>4.804E-6</v>
      </c>
      <c r="R1262" s="158">
        <v>0.0</v>
      </c>
      <c r="S1262" s="158">
        <v>4.804E-6</v>
      </c>
      <c r="T1262" s="157" t="s">
        <v>116</v>
      </c>
      <c r="U1262" s="46" t="s">
        <v>651</v>
      </c>
      <c r="V1262" s="46" t="b">
        <v>0</v>
      </c>
      <c r="W1262" s="46">
        <v>0.95</v>
      </c>
      <c r="X1262" s="46">
        <v>0.0</v>
      </c>
      <c r="Y1262" s="46">
        <v>36.2558095775628</v>
      </c>
      <c r="Z1262" s="46" t="b">
        <v>1</v>
      </c>
      <c r="AA1262" s="46" t="b">
        <v>1</v>
      </c>
    </row>
    <row r="1263">
      <c r="A1263" s="157" t="s">
        <v>555</v>
      </c>
      <c r="B1263" s="158">
        <v>5.0</v>
      </c>
      <c r="C1263" s="157" t="s">
        <v>652</v>
      </c>
      <c r="D1263" s="157" t="s">
        <v>895</v>
      </c>
      <c r="E1263" s="157" t="s">
        <v>896</v>
      </c>
      <c r="F1263" s="162" t="s">
        <v>3957</v>
      </c>
      <c r="G1263" s="157" t="s">
        <v>3958</v>
      </c>
      <c r="H1263" s="157"/>
      <c r="I1263" s="158">
        <v>24.83237</v>
      </c>
      <c r="J1263" s="158">
        <v>60.77227</v>
      </c>
      <c r="K1263" s="157" t="s">
        <v>3959</v>
      </c>
      <c r="L1263" s="157" t="s">
        <v>648</v>
      </c>
      <c r="M1263" s="158">
        <v>2022.0</v>
      </c>
      <c r="N1263" s="157" t="s">
        <v>116</v>
      </c>
      <c r="O1263" s="157" t="s">
        <v>900</v>
      </c>
      <c r="P1263" s="161" t="b">
        <v>1</v>
      </c>
      <c r="Q1263" s="158">
        <v>0.342</v>
      </c>
      <c r="R1263" s="158">
        <v>0.0</v>
      </c>
      <c r="S1263" s="158">
        <v>0.342</v>
      </c>
      <c r="T1263" s="157" t="s">
        <v>116</v>
      </c>
      <c r="U1263" s="46" t="s">
        <v>651</v>
      </c>
      <c r="V1263" s="46" t="b">
        <v>1</v>
      </c>
      <c r="W1263" s="46">
        <v>0.95</v>
      </c>
      <c r="X1263" s="46">
        <v>0.0</v>
      </c>
      <c r="Y1263" s="46" t="s">
        <v>640</v>
      </c>
      <c r="Z1263" s="46" t="b">
        <v>0</v>
      </c>
      <c r="AA1263" s="46" t="b">
        <v>0</v>
      </c>
    </row>
    <row r="1264">
      <c r="A1264" s="157" t="s">
        <v>557</v>
      </c>
      <c r="B1264" s="158">
        <v>5.0</v>
      </c>
      <c r="C1264" s="157" t="s">
        <v>652</v>
      </c>
      <c r="D1264" s="157" t="s">
        <v>895</v>
      </c>
      <c r="E1264" s="157" t="s">
        <v>896</v>
      </c>
      <c r="F1264" s="162" t="s">
        <v>3960</v>
      </c>
      <c r="G1264" s="157" t="s">
        <v>3961</v>
      </c>
      <c r="H1264" s="157"/>
      <c r="I1264" s="158">
        <v>13.5171565621373</v>
      </c>
      <c r="J1264" s="158">
        <v>52.07809835</v>
      </c>
      <c r="K1264" s="157" t="s">
        <v>3962</v>
      </c>
      <c r="L1264" s="157" t="s">
        <v>648</v>
      </c>
      <c r="M1264" s="158">
        <v>2022.0</v>
      </c>
      <c r="N1264" s="157" t="s">
        <v>116</v>
      </c>
      <c r="O1264" s="157" t="s">
        <v>900</v>
      </c>
      <c r="P1264" s="161" t="b">
        <v>1</v>
      </c>
      <c r="Q1264" s="158">
        <v>0.429</v>
      </c>
      <c r="R1264" s="158">
        <v>0.0</v>
      </c>
      <c r="S1264" s="158">
        <v>0.429</v>
      </c>
      <c r="T1264" s="157" t="s">
        <v>116</v>
      </c>
      <c r="U1264" s="46" t="s">
        <v>651</v>
      </c>
      <c r="V1264" s="46" t="b">
        <v>1</v>
      </c>
      <c r="W1264" s="46">
        <v>0.95</v>
      </c>
      <c r="X1264" s="46">
        <v>0.0</v>
      </c>
      <c r="Y1264" s="46">
        <v>44.4665595786857</v>
      </c>
      <c r="Z1264" s="46" t="b">
        <v>1</v>
      </c>
      <c r="AA1264" s="46" t="b">
        <v>1</v>
      </c>
    </row>
    <row r="1265">
      <c r="A1265" s="157" t="s">
        <v>557</v>
      </c>
      <c r="B1265" s="158">
        <v>5.0</v>
      </c>
      <c r="C1265" s="157" t="s">
        <v>652</v>
      </c>
      <c r="D1265" s="157" t="s">
        <v>895</v>
      </c>
      <c r="E1265" s="157" t="s">
        <v>896</v>
      </c>
      <c r="F1265" s="162" t="s">
        <v>3963</v>
      </c>
      <c r="G1265" s="157" t="s">
        <v>3964</v>
      </c>
      <c r="H1265" s="157"/>
      <c r="I1265" s="158">
        <v>6.63440381669402</v>
      </c>
      <c r="J1265" s="158">
        <v>51.3789065321906</v>
      </c>
      <c r="K1265" s="157" t="s">
        <v>3933</v>
      </c>
      <c r="L1265" s="157" t="s">
        <v>648</v>
      </c>
      <c r="M1265" s="158">
        <v>2022.0</v>
      </c>
      <c r="N1265" s="157" t="s">
        <v>116</v>
      </c>
      <c r="O1265" s="157" t="s">
        <v>900</v>
      </c>
      <c r="P1265" s="161" t="b">
        <v>1</v>
      </c>
      <c r="Q1265" s="158">
        <v>0.299</v>
      </c>
      <c r="R1265" s="158">
        <v>0.0</v>
      </c>
      <c r="S1265" s="158">
        <v>0.299</v>
      </c>
      <c r="T1265" s="157" t="s">
        <v>116</v>
      </c>
      <c r="U1265" s="46" t="s">
        <v>651</v>
      </c>
      <c r="V1265" s="46" t="b">
        <v>1</v>
      </c>
      <c r="W1265" s="46">
        <v>0.95</v>
      </c>
      <c r="X1265" s="46">
        <v>0.0</v>
      </c>
      <c r="Y1265" s="46">
        <v>2.68026341952497</v>
      </c>
      <c r="Z1265" s="46" t="b">
        <v>1</v>
      </c>
      <c r="AA1265" s="46" t="b">
        <v>1</v>
      </c>
    </row>
    <row r="1266">
      <c r="A1266" s="157" t="s">
        <v>557</v>
      </c>
      <c r="B1266" s="158">
        <v>5.0</v>
      </c>
      <c r="C1266" s="157" t="s">
        <v>652</v>
      </c>
      <c r="D1266" s="157" t="s">
        <v>895</v>
      </c>
      <c r="E1266" s="157" t="s">
        <v>896</v>
      </c>
      <c r="F1266" s="162" t="s">
        <v>3965</v>
      </c>
      <c r="G1266" s="157" t="s">
        <v>3966</v>
      </c>
      <c r="H1266" s="157"/>
      <c r="I1266" s="158">
        <v>12.0194529164339</v>
      </c>
      <c r="J1266" s="158">
        <v>51.181555468297</v>
      </c>
      <c r="K1266" s="157" t="s">
        <v>3967</v>
      </c>
      <c r="L1266" s="157" t="s">
        <v>648</v>
      </c>
      <c r="M1266" s="158">
        <v>2022.0</v>
      </c>
      <c r="N1266" s="157" t="s">
        <v>116</v>
      </c>
      <c r="O1266" s="157" t="s">
        <v>900</v>
      </c>
      <c r="P1266" s="161" t="b">
        <v>1</v>
      </c>
      <c r="Q1266" s="158">
        <v>0.298</v>
      </c>
      <c r="R1266" s="158">
        <v>0.0</v>
      </c>
      <c r="S1266" s="158">
        <v>0.298</v>
      </c>
      <c r="T1266" s="157" t="s">
        <v>116</v>
      </c>
      <c r="U1266" s="46" t="s">
        <v>651</v>
      </c>
      <c r="V1266" s="46" t="b">
        <v>1</v>
      </c>
      <c r="W1266" s="46">
        <v>0.95</v>
      </c>
      <c r="X1266" s="46">
        <v>0.0</v>
      </c>
      <c r="Y1266" s="46">
        <v>15.7202848518738</v>
      </c>
      <c r="Z1266" s="46" t="b">
        <v>1</v>
      </c>
      <c r="AA1266" s="46" t="b">
        <v>1</v>
      </c>
    </row>
    <row r="1267">
      <c r="A1267" s="157" t="s">
        <v>557</v>
      </c>
      <c r="B1267" s="158">
        <v>5.0</v>
      </c>
      <c r="C1267" s="157" t="s">
        <v>652</v>
      </c>
      <c r="D1267" s="157" t="s">
        <v>895</v>
      </c>
      <c r="E1267" s="157" t="s">
        <v>896</v>
      </c>
      <c r="F1267" s="162" t="s">
        <v>3968</v>
      </c>
      <c r="G1267" s="157" t="s">
        <v>3969</v>
      </c>
      <c r="H1267" s="157"/>
      <c r="I1267" s="158">
        <v>7.39776960254191</v>
      </c>
      <c r="J1267" s="158">
        <v>53.0995110270963</v>
      </c>
      <c r="K1267" s="157" t="s">
        <v>3970</v>
      </c>
      <c r="L1267" s="157" t="s">
        <v>648</v>
      </c>
      <c r="M1267" s="158">
        <v>2022.0</v>
      </c>
      <c r="N1267" s="157" t="s">
        <v>116</v>
      </c>
      <c r="O1267" s="157" t="s">
        <v>900</v>
      </c>
      <c r="P1267" s="161" t="b">
        <v>1</v>
      </c>
      <c r="Q1267" s="158">
        <v>0.296</v>
      </c>
      <c r="R1267" s="158">
        <v>0.0</v>
      </c>
      <c r="S1267" s="158">
        <v>0.296</v>
      </c>
      <c r="T1267" s="157" t="s">
        <v>116</v>
      </c>
      <c r="U1267" s="46" t="s">
        <v>651</v>
      </c>
      <c r="V1267" s="46" t="b">
        <v>1</v>
      </c>
      <c r="W1267" s="46">
        <v>0.95</v>
      </c>
      <c r="X1267" s="46">
        <v>0.0</v>
      </c>
      <c r="Y1267" s="46">
        <v>1.24781152267959</v>
      </c>
      <c r="Z1267" s="46" t="b">
        <v>1</v>
      </c>
      <c r="AA1267" s="46" t="b">
        <v>1</v>
      </c>
    </row>
    <row r="1268">
      <c r="A1268" s="157" t="s">
        <v>557</v>
      </c>
      <c r="B1268" s="158">
        <v>5.0</v>
      </c>
      <c r="C1268" s="157" t="s">
        <v>652</v>
      </c>
      <c r="D1268" s="157" t="s">
        <v>895</v>
      </c>
      <c r="E1268" s="157" t="s">
        <v>896</v>
      </c>
      <c r="F1268" s="162" t="s">
        <v>3971</v>
      </c>
      <c r="G1268" s="157" t="s">
        <v>3972</v>
      </c>
      <c r="H1268" s="157"/>
      <c r="I1268" s="158">
        <v>14.2557528609743</v>
      </c>
      <c r="J1268" s="158">
        <v>52.1812612704417</v>
      </c>
      <c r="K1268" s="157" t="s">
        <v>3973</v>
      </c>
      <c r="L1268" s="157" t="s">
        <v>648</v>
      </c>
      <c r="M1268" s="158">
        <v>2022.0</v>
      </c>
      <c r="N1268" s="157" t="s">
        <v>116</v>
      </c>
      <c r="O1268" s="157" t="s">
        <v>900</v>
      </c>
      <c r="P1268" s="161" t="b">
        <v>1</v>
      </c>
      <c r="Q1268" s="158">
        <v>0.289</v>
      </c>
      <c r="R1268" s="158">
        <v>0.0</v>
      </c>
      <c r="S1268" s="158">
        <v>0.289</v>
      </c>
      <c r="T1268" s="157" t="s">
        <v>116</v>
      </c>
      <c r="U1268" s="46" t="s">
        <v>651</v>
      </c>
      <c r="V1268" s="46" t="b">
        <v>1</v>
      </c>
      <c r="W1268" s="46">
        <v>0.95</v>
      </c>
      <c r="X1268" s="46">
        <v>0.0</v>
      </c>
      <c r="Y1268" s="46">
        <v>3.320421748857</v>
      </c>
      <c r="Z1268" s="46" t="b">
        <v>1</v>
      </c>
      <c r="AA1268" s="46" t="b">
        <v>1</v>
      </c>
    </row>
    <row r="1269">
      <c r="A1269" s="157" t="s">
        <v>557</v>
      </c>
      <c r="B1269" s="158">
        <v>5.0</v>
      </c>
      <c r="C1269" s="157" t="s">
        <v>652</v>
      </c>
      <c r="D1269" s="157" t="s">
        <v>895</v>
      </c>
      <c r="E1269" s="157" t="s">
        <v>896</v>
      </c>
      <c r="F1269" s="162" t="s">
        <v>3974</v>
      </c>
      <c r="G1269" s="157" t="s">
        <v>3975</v>
      </c>
      <c r="H1269" s="157"/>
      <c r="I1269" s="158">
        <v>8.76211082876905</v>
      </c>
      <c r="J1269" s="158">
        <v>50.1294248356279</v>
      </c>
      <c r="K1269" s="157" t="s">
        <v>1030</v>
      </c>
      <c r="L1269" s="157" t="s">
        <v>648</v>
      </c>
      <c r="M1269" s="158">
        <v>2022.0</v>
      </c>
      <c r="N1269" s="157" t="s">
        <v>116</v>
      </c>
      <c r="O1269" s="157" t="s">
        <v>900</v>
      </c>
      <c r="P1269" s="161" t="b">
        <v>1</v>
      </c>
      <c r="Q1269" s="158">
        <v>0.272</v>
      </c>
      <c r="R1269" s="158">
        <v>0.0</v>
      </c>
      <c r="S1269" s="158">
        <v>0.272</v>
      </c>
      <c r="T1269" s="157" t="s">
        <v>116</v>
      </c>
      <c r="U1269" s="46" t="s">
        <v>651</v>
      </c>
      <c r="V1269" s="46" t="b">
        <v>1</v>
      </c>
      <c r="W1269" s="46">
        <v>0.95</v>
      </c>
      <c r="X1269" s="46">
        <v>0.0</v>
      </c>
      <c r="Y1269" s="46">
        <v>3.14319235544909</v>
      </c>
      <c r="Z1269" s="46" t="b">
        <v>1</v>
      </c>
      <c r="AA1269" s="46" t="b">
        <v>1</v>
      </c>
    </row>
    <row r="1270">
      <c r="A1270" s="157" t="s">
        <v>557</v>
      </c>
      <c r="B1270" s="158">
        <v>5.0</v>
      </c>
      <c r="C1270" s="157" t="s">
        <v>652</v>
      </c>
      <c r="D1270" s="157" t="s">
        <v>895</v>
      </c>
      <c r="E1270" s="157" t="s">
        <v>896</v>
      </c>
      <c r="F1270" s="162" t="s">
        <v>3976</v>
      </c>
      <c r="G1270" s="157" t="s">
        <v>3977</v>
      </c>
      <c r="H1270" s="157"/>
      <c r="I1270" s="158">
        <v>8.95241654099319</v>
      </c>
      <c r="J1270" s="158">
        <v>51.8849210513724</v>
      </c>
      <c r="K1270" s="157" t="s">
        <v>3978</v>
      </c>
      <c r="L1270" s="157" t="s">
        <v>648</v>
      </c>
      <c r="M1270" s="158">
        <v>2022.0</v>
      </c>
      <c r="N1270" s="157" t="s">
        <v>116</v>
      </c>
      <c r="O1270" s="157" t="s">
        <v>900</v>
      </c>
      <c r="P1270" s="161" t="b">
        <v>1</v>
      </c>
      <c r="Q1270" s="158">
        <v>0.237</v>
      </c>
      <c r="R1270" s="158">
        <v>0.0</v>
      </c>
      <c r="S1270" s="158">
        <v>0.237</v>
      </c>
      <c r="T1270" s="157" t="s">
        <v>116</v>
      </c>
      <c r="U1270" s="46" t="s">
        <v>651</v>
      </c>
      <c r="V1270" s="46" t="b">
        <v>1</v>
      </c>
      <c r="W1270" s="46">
        <v>0.95</v>
      </c>
      <c r="X1270" s="46">
        <v>0.0</v>
      </c>
      <c r="Y1270" s="46">
        <v>45.4225744297926</v>
      </c>
      <c r="Z1270" s="46" t="b">
        <v>1</v>
      </c>
      <c r="AA1270" s="46" t="b">
        <v>1</v>
      </c>
    </row>
    <row r="1271">
      <c r="A1271" s="157" t="s">
        <v>557</v>
      </c>
      <c r="B1271" s="158">
        <v>5.0</v>
      </c>
      <c r="C1271" s="157" t="s">
        <v>652</v>
      </c>
      <c r="D1271" s="157" t="s">
        <v>895</v>
      </c>
      <c r="E1271" s="157" t="s">
        <v>896</v>
      </c>
      <c r="F1271" s="162" t="s">
        <v>3979</v>
      </c>
      <c r="G1271" s="157" t="s">
        <v>3980</v>
      </c>
      <c r="H1271" s="157"/>
      <c r="I1271" s="158">
        <v>7.472332581</v>
      </c>
      <c r="J1271" s="158">
        <v>51.6195750434093</v>
      </c>
      <c r="K1271" s="157" t="s">
        <v>1535</v>
      </c>
      <c r="L1271" s="157" t="s">
        <v>648</v>
      </c>
      <c r="M1271" s="158">
        <v>2022.0</v>
      </c>
      <c r="N1271" s="157" t="s">
        <v>116</v>
      </c>
      <c r="O1271" s="157" t="s">
        <v>900</v>
      </c>
      <c r="P1271" s="161" t="b">
        <v>1</v>
      </c>
      <c r="Q1271" s="158">
        <v>0.202</v>
      </c>
      <c r="R1271" s="158">
        <v>0.0</v>
      </c>
      <c r="S1271" s="158">
        <v>0.202</v>
      </c>
      <c r="T1271" s="157" t="s">
        <v>116</v>
      </c>
      <c r="U1271" s="46" t="s">
        <v>651</v>
      </c>
      <c r="V1271" s="46" t="b">
        <v>1</v>
      </c>
      <c r="W1271" s="46">
        <v>0.95</v>
      </c>
      <c r="X1271" s="46">
        <v>0.0</v>
      </c>
      <c r="Y1271" s="46">
        <v>0.394239241990769</v>
      </c>
      <c r="Z1271" s="46" t="b">
        <v>1</v>
      </c>
      <c r="AA1271" s="46" t="b">
        <v>1</v>
      </c>
    </row>
    <row r="1272">
      <c r="A1272" s="157" t="s">
        <v>557</v>
      </c>
      <c r="B1272" s="158">
        <v>5.0</v>
      </c>
      <c r="C1272" s="157" t="s">
        <v>652</v>
      </c>
      <c r="D1272" s="157" t="s">
        <v>895</v>
      </c>
      <c r="E1272" s="157" t="s">
        <v>896</v>
      </c>
      <c r="F1272" s="162" t="s">
        <v>3981</v>
      </c>
      <c r="G1272" s="157" t="s">
        <v>3982</v>
      </c>
      <c r="H1272" s="157"/>
      <c r="I1272" s="158">
        <v>8.0731821024339</v>
      </c>
      <c r="J1272" s="158">
        <v>50.7024165783518</v>
      </c>
      <c r="K1272" s="157" t="s">
        <v>3983</v>
      </c>
      <c r="L1272" s="157" t="s">
        <v>648</v>
      </c>
      <c r="M1272" s="158">
        <v>2022.0</v>
      </c>
      <c r="N1272" s="157" t="s">
        <v>116</v>
      </c>
      <c r="O1272" s="157" t="s">
        <v>900</v>
      </c>
      <c r="P1272" s="161" t="b">
        <v>1</v>
      </c>
      <c r="Q1272" s="158">
        <v>0.198</v>
      </c>
      <c r="R1272" s="158">
        <v>0.0</v>
      </c>
      <c r="S1272" s="158">
        <v>0.198</v>
      </c>
      <c r="T1272" s="157" t="s">
        <v>116</v>
      </c>
      <c r="U1272" s="46" t="s">
        <v>651</v>
      </c>
      <c r="V1272" s="46" t="b">
        <v>1</v>
      </c>
      <c r="W1272" s="46">
        <v>0.95</v>
      </c>
      <c r="X1272" s="46">
        <v>0.0</v>
      </c>
      <c r="Y1272" s="46">
        <v>42.3815051453994</v>
      </c>
      <c r="Z1272" s="46" t="b">
        <v>1</v>
      </c>
      <c r="AA1272" s="46" t="b">
        <v>1</v>
      </c>
    </row>
    <row r="1273">
      <c r="A1273" s="157" t="s">
        <v>557</v>
      </c>
      <c r="B1273" s="158">
        <v>5.0</v>
      </c>
      <c r="C1273" s="157" t="s">
        <v>652</v>
      </c>
      <c r="D1273" s="157" t="s">
        <v>895</v>
      </c>
      <c r="E1273" s="157" t="s">
        <v>896</v>
      </c>
      <c r="F1273" s="162" t="s">
        <v>3984</v>
      </c>
      <c r="G1273" s="157" t="s">
        <v>3985</v>
      </c>
      <c r="H1273" s="157"/>
      <c r="I1273" s="158">
        <v>11.4789708504873</v>
      </c>
      <c r="J1273" s="158">
        <v>48.6945720057996</v>
      </c>
      <c r="K1273" s="157" t="s">
        <v>3986</v>
      </c>
      <c r="L1273" s="157" t="s">
        <v>648</v>
      </c>
      <c r="M1273" s="158">
        <v>2022.0</v>
      </c>
      <c r="N1273" s="157" t="s">
        <v>116</v>
      </c>
      <c r="O1273" s="157" t="s">
        <v>900</v>
      </c>
      <c r="P1273" s="161" t="b">
        <v>1</v>
      </c>
      <c r="Q1273" s="158">
        <v>0.196</v>
      </c>
      <c r="R1273" s="158">
        <v>0.0</v>
      </c>
      <c r="S1273" s="158">
        <v>0.196</v>
      </c>
      <c r="T1273" s="157" t="s">
        <v>116</v>
      </c>
      <c r="U1273" s="46" t="s">
        <v>651</v>
      </c>
      <c r="V1273" s="46" t="b">
        <v>1</v>
      </c>
      <c r="W1273" s="46">
        <v>0.95</v>
      </c>
      <c r="X1273" s="46">
        <v>0.0</v>
      </c>
      <c r="Y1273" s="46">
        <v>23.1196305467509</v>
      </c>
      <c r="Z1273" s="46" t="b">
        <v>1</v>
      </c>
      <c r="AA1273" s="46" t="b">
        <v>1</v>
      </c>
    </row>
    <row r="1274">
      <c r="A1274" s="157" t="s">
        <v>557</v>
      </c>
      <c r="B1274" s="158">
        <v>5.0</v>
      </c>
      <c r="C1274" s="157" t="s">
        <v>652</v>
      </c>
      <c r="D1274" s="157" t="s">
        <v>895</v>
      </c>
      <c r="E1274" s="157" t="s">
        <v>896</v>
      </c>
      <c r="F1274" s="162" t="s">
        <v>3987</v>
      </c>
      <c r="G1274" s="157" t="s">
        <v>3988</v>
      </c>
      <c r="H1274" s="157"/>
      <c r="I1274" s="158">
        <v>6.87344826377586</v>
      </c>
      <c r="J1274" s="158">
        <v>52.6193412397699</v>
      </c>
      <c r="K1274" s="157" t="s">
        <v>3989</v>
      </c>
      <c r="L1274" s="157" t="s">
        <v>648</v>
      </c>
      <c r="M1274" s="158">
        <v>2022.0</v>
      </c>
      <c r="N1274" s="157" t="s">
        <v>116</v>
      </c>
      <c r="O1274" s="157" t="s">
        <v>900</v>
      </c>
      <c r="P1274" s="161" t="b">
        <v>1</v>
      </c>
      <c r="Q1274" s="158">
        <v>0.185</v>
      </c>
      <c r="R1274" s="158">
        <v>0.0</v>
      </c>
      <c r="S1274" s="158">
        <v>0.185</v>
      </c>
      <c r="T1274" s="157" t="s">
        <v>116</v>
      </c>
      <c r="U1274" s="46" t="s">
        <v>651</v>
      </c>
      <c r="V1274" s="46" t="b">
        <v>1</v>
      </c>
      <c r="W1274" s="46">
        <v>0.95</v>
      </c>
      <c r="X1274" s="46">
        <v>0.0</v>
      </c>
      <c r="Y1274" s="46">
        <v>36.1854948707534</v>
      </c>
      <c r="Z1274" s="46" t="b">
        <v>1</v>
      </c>
      <c r="AA1274" s="46" t="b">
        <v>1</v>
      </c>
    </row>
    <row r="1275">
      <c r="A1275" s="157" t="s">
        <v>557</v>
      </c>
      <c r="B1275" s="158">
        <v>5.0</v>
      </c>
      <c r="C1275" s="157" t="s">
        <v>652</v>
      </c>
      <c r="D1275" s="157" t="s">
        <v>895</v>
      </c>
      <c r="E1275" s="157" t="s">
        <v>896</v>
      </c>
      <c r="F1275" s="162" t="s">
        <v>3990</v>
      </c>
      <c r="G1275" s="157" t="s">
        <v>3991</v>
      </c>
      <c r="H1275" s="157"/>
      <c r="I1275" s="158">
        <v>7.20169769087538</v>
      </c>
      <c r="J1275" s="158">
        <v>53.3406807156754</v>
      </c>
      <c r="K1275" s="157" t="s">
        <v>3992</v>
      </c>
      <c r="L1275" s="157" t="s">
        <v>648</v>
      </c>
      <c r="M1275" s="158">
        <v>2022.0</v>
      </c>
      <c r="N1275" s="157" t="s">
        <v>116</v>
      </c>
      <c r="O1275" s="157" t="s">
        <v>900</v>
      </c>
      <c r="P1275" s="161" t="b">
        <v>1</v>
      </c>
      <c r="Q1275" s="158">
        <v>0.183</v>
      </c>
      <c r="R1275" s="158">
        <v>0.0</v>
      </c>
      <c r="S1275" s="158">
        <v>0.183</v>
      </c>
      <c r="T1275" s="157" t="s">
        <v>116</v>
      </c>
      <c r="U1275" s="46" t="s">
        <v>651</v>
      </c>
      <c r="V1275" s="46" t="b">
        <v>1</v>
      </c>
      <c r="W1275" s="46">
        <v>0.95</v>
      </c>
      <c r="X1275" s="46">
        <v>0.0</v>
      </c>
      <c r="Y1275" s="46">
        <v>1.87521633701567</v>
      </c>
      <c r="Z1275" s="46" t="b">
        <v>1</v>
      </c>
      <c r="AA1275" s="46" t="b">
        <v>1</v>
      </c>
    </row>
    <row r="1276">
      <c r="A1276" s="157" t="s">
        <v>557</v>
      </c>
      <c r="B1276" s="158">
        <v>5.0</v>
      </c>
      <c r="C1276" s="157" t="s">
        <v>652</v>
      </c>
      <c r="D1276" s="157" t="s">
        <v>895</v>
      </c>
      <c r="E1276" s="157" t="s">
        <v>896</v>
      </c>
      <c r="F1276" s="162" t="s">
        <v>3993</v>
      </c>
      <c r="G1276" s="157" t="s">
        <v>3994</v>
      </c>
      <c r="H1276" s="157"/>
      <c r="I1276" s="158">
        <v>7.81991703273898</v>
      </c>
      <c r="J1276" s="158">
        <v>48.5829149971171</v>
      </c>
      <c r="K1276" s="157" t="s">
        <v>3995</v>
      </c>
      <c r="L1276" s="157" t="s">
        <v>648</v>
      </c>
      <c r="M1276" s="158">
        <v>2022.0</v>
      </c>
      <c r="N1276" s="157" t="s">
        <v>116</v>
      </c>
      <c r="O1276" s="157" t="s">
        <v>900</v>
      </c>
      <c r="P1276" s="161" t="b">
        <v>1</v>
      </c>
      <c r="Q1276" s="158">
        <v>0.178</v>
      </c>
      <c r="R1276" s="158">
        <v>0.0</v>
      </c>
      <c r="S1276" s="158">
        <v>0.178</v>
      </c>
      <c r="T1276" s="157" t="s">
        <v>116</v>
      </c>
      <c r="U1276" s="46" t="s">
        <v>651</v>
      </c>
      <c r="V1276" s="46" t="b">
        <v>1</v>
      </c>
      <c r="W1276" s="46">
        <v>0.95</v>
      </c>
      <c r="X1276" s="46">
        <v>0.0</v>
      </c>
      <c r="Y1276" s="46">
        <v>32.1750367534203</v>
      </c>
      <c r="Z1276" s="46" t="b">
        <v>1</v>
      </c>
      <c r="AA1276" s="46" t="b">
        <v>1</v>
      </c>
    </row>
    <row r="1277">
      <c r="A1277" s="157" t="s">
        <v>557</v>
      </c>
      <c r="B1277" s="158">
        <v>5.0</v>
      </c>
      <c r="C1277" s="157" t="s">
        <v>652</v>
      </c>
      <c r="D1277" s="157" t="s">
        <v>895</v>
      </c>
      <c r="E1277" s="157" t="s">
        <v>896</v>
      </c>
      <c r="F1277" s="162" t="s">
        <v>3996</v>
      </c>
      <c r="G1277" s="157" t="s">
        <v>3997</v>
      </c>
      <c r="H1277" s="157"/>
      <c r="I1277" s="158">
        <v>9.115096908</v>
      </c>
      <c r="J1277" s="158">
        <v>52.5458477395675</v>
      </c>
      <c r="K1277" s="157" t="s">
        <v>3998</v>
      </c>
      <c r="L1277" s="157" t="s">
        <v>648</v>
      </c>
      <c r="M1277" s="158">
        <v>2022.0</v>
      </c>
      <c r="N1277" s="157" t="s">
        <v>116</v>
      </c>
      <c r="O1277" s="157" t="s">
        <v>900</v>
      </c>
      <c r="P1277" s="161" t="b">
        <v>1</v>
      </c>
      <c r="Q1277" s="158">
        <v>0.133</v>
      </c>
      <c r="R1277" s="158">
        <v>0.0</v>
      </c>
      <c r="S1277" s="158">
        <v>0.133</v>
      </c>
      <c r="T1277" s="157" t="s">
        <v>116</v>
      </c>
      <c r="U1277" s="46" t="s">
        <v>651</v>
      </c>
      <c r="V1277" s="46" t="b">
        <v>1</v>
      </c>
      <c r="W1277" s="46">
        <v>0.95</v>
      </c>
      <c r="X1277" s="46">
        <v>0.0</v>
      </c>
      <c r="Y1277" s="46">
        <v>32.0627021983684</v>
      </c>
      <c r="Z1277" s="46" t="b">
        <v>1</v>
      </c>
      <c r="AA1277" s="46" t="b">
        <v>1</v>
      </c>
    </row>
    <row r="1278">
      <c r="A1278" s="157" t="s">
        <v>557</v>
      </c>
      <c r="B1278" s="158">
        <v>5.0</v>
      </c>
      <c r="C1278" s="157" t="s">
        <v>652</v>
      </c>
      <c r="D1278" s="157" t="s">
        <v>895</v>
      </c>
      <c r="E1278" s="157" t="s">
        <v>896</v>
      </c>
      <c r="F1278" s="162" t="s">
        <v>3999</v>
      </c>
      <c r="G1278" s="157" t="s">
        <v>4000</v>
      </c>
      <c r="H1278" s="157"/>
      <c r="I1278" s="158">
        <v>9.06184800341969</v>
      </c>
      <c r="J1278" s="158">
        <v>48.6932974396926</v>
      </c>
      <c r="K1278" s="157" t="s">
        <v>4001</v>
      </c>
      <c r="L1278" s="157" t="s">
        <v>648</v>
      </c>
      <c r="M1278" s="158">
        <v>2022.0</v>
      </c>
      <c r="N1278" s="157" t="s">
        <v>116</v>
      </c>
      <c r="O1278" s="157" t="s">
        <v>900</v>
      </c>
      <c r="P1278" s="161" t="b">
        <v>1</v>
      </c>
      <c r="Q1278" s="158">
        <v>0.132</v>
      </c>
      <c r="R1278" s="158">
        <v>0.0</v>
      </c>
      <c r="S1278" s="158">
        <v>0.132</v>
      </c>
      <c r="T1278" s="157" t="s">
        <v>116</v>
      </c>
      <c r="U1278" s="46" t="s">
        <v>651</v>
      </c>
      <c r="V1278" s="46" t="b">
        <v>1</v>
      </c>
      <c r="W1278" s="46">
        <v>0.95</v>
      </c>
      <c r="X1278" s="46">
        <v>0.0</v>
      </c>
      <c r="Y1278" s="46">
        <v>15.3509501215597</v>
      </c>
      <c r="Z1278" s="46" t="b">
        <v>1</v>
      </c>
      <c r="AA1278" s="46" t="b">
        <v>1</v>
      </c>
    </row>
    <row r="1279">
      <c r="A1279" s="157" t="s">
        <v>557</v>
      </c>
      <c r="B1279" s="158">
        <v>5.0</v>
      </c>
      <c r="C1279" s="157" t="s">
        <v>652</v>
      </c>
      <c r="D1279" s="157" t="s">
        <v>895</v>
      </c>
      <c r="E1279" s="157" t="s">
        <v>896</v>
      </c>
      <c r="F1279" s="162" t="s">
        <v>4002</v>
      </c>
      <c r="G1279" s="157" t="s">
        <v>4003</v>
      </c>
      <c r="H1279" s="157"/>
      <c r="I1279" s="158">
        <v>7.62975704197108</v>
      </c>
      <c r="J1279" s="158">
        <v>51.6210865092591</v>
      </c>
      <c r="K1279" s="157" t="s">
        <v>4004</v>
      </c>
      <c r="L1279" s="157" t="s">
        <v>648</v>
      </c>
      <c r="M1279" s="158">
        <v>2022.0</v>
      </c>
      <c r="N1279" s="157" t="s">
        <v>116</v>
      </c>
      <c r="O1279" s="157" t="s">
        <v>900</v>
      </c>
      <c r="P1279" s="161" t="b">
        <v>1</v>
      </c>
      <c r="Q1279" s="158">
        <v>0.131</v>
      </c>
      <c r="R1279" s="158">
        <v>0.0</v>
      </c>
      <c r="S1279" s="158">
        <v>0.131</v>
      </c>
      <c r="T1279" s="157" t="s">
        <v>116</v>
      </c>
      <c r="U1279" s="46" t="s">
        <v>651</v>
      </c>
      <c r="V1279" s="46" t="b">
        <v>1</v>
      </c>
      <c r="W1279" s="46">
        <v>0.95</v>
      </c>
      <c r="X1279" s="46">
        <v>0.0</v>
      </c>
      <c r="Y1279" s="46">
        <v>3.18169143870632</v>
      </c>
      <c r="Z1279" s="46" t="b">
        <v>1</v>
      </c>
      <c r="AA1279" s="46" t="b">
        <v>1</v>
      </c>
    </row>
    <row r="1280">
      <c r="A1280" s="157" t="s">
        <v>557</v>
      </c>
      <c r="B1280" s="158">
        <v>5.0</v>
      </c>
      <c r="C1280" s="157" t="s">
        <v>652</v>
      </c>
      <c r="D1280" s="157" t="s">
        <v>895</v>
      </c>
      <c r="E1280" s="157" t="s">
        <v>896</v>
      </c>
      <c r="F1280" s="162" t="s">
        <v>4005</v>
      </c>
      <c r="G1280" s="157" t="s">
        <v>4006</v>
      </c>
      <c r="H1280" s="157"/>
      <c r="I1280" s="158">
        <v>10.0717072012753</v>
      </c>
      <c r="J1280" s="158">
        <v>53.53156778</v>
      </c>
      <c r="K1280" s="157" t="s">
        <v>903</v>
      </c>
      <c r="L1280" s="157" t="s">
        <v>648</v>
      </c>
      <c r="M1280" s="158">
        <v>2022.0</v>
      </c>
      <c r="N1280" s="157" t="s">
        <v>116</v>
      </c>
      <c r="O1280" s="157" t="s">
        <v>900</v>
      </c>
      <c r="P1280" s="161" t="b">
        <v>1</v>
      </c>
      <c r="Q1280" s="158">
        <v>0.127</v>
      </c>
      <c r="R1280" s="158">
        <v>0.0</v>
      </c>
      <c r="S1280" s="158">
        <v>0.127</v>
      </c>
      <c r="T1280" s="157" t="s">
        <v>116</v>
      </c>
      <c r="U1280" s="46" t="s">
        <v>651</v>
      </c>
      <c r="V1280" s="46" t="b">
        <v>1</v>
      </c>
      <c r="W1280" s="46">
        <v>0.95</v>
      </c>
      <c r="X1280" s="46">
        <v>0.0</v>
      </c>
      <c r="Y1280" s="46">
        <v>6.14142892205384</v>
      </c>
      <c r="Z1280" s="46" t="b">
        <v>1</v>
      </c>
      <c r="AA1280" s="46" t="b">
        <v>1</v>
      </c>
    </row>
    <row r="1281">
      <c r="A1281" s="157" t="s">
        <v>557</v>
      </c>
      <c r="B1281" s="158">
        <v>5.0</v>
      </c>
      <c r="C1281" s="157" t="s">
        <v>652</v>
      </c>
      <c r="D1281" s="157" t="s">
        <v>895</v>
      </c>
      <c r="E1281" s="157" t="s">
        <v>896</v>
      </c>
      <c r="F1281" s="162" t="s">
        <v>4007</v>
      </c>
      <c r="G1281" s="157" t="s">
        <v>4008</v>
      </c>
      <c r="H1281" s="157"/>
      <c r="I1281" s="158">
        <v>8.2627727883252</v>
      </c>
      <c r="J1281" s="158">
        <v>50.0453026408052</v>
      </c>
      <c r="K1281" s="157" t="s">
        <v>3398</v>
      </c>
      <c r="L1281" s="157" t="s">
        <v>648</v>
      </c>
      <c r="M1281" s="158">
        <v>2022.0</v>
      </c>
      <c r="N1281" s="157" t="s">
        <v>116</v>
      </c>
      <c r="O1281" s="157" t="s">
        <v>900</v>
      </c>
      <c r="P1281" s="161" t="b">
        <v>1</v>
      </c>
      <c r="Q1281" s="158">
        <v>0.126</v>
      </c>
      <c r="R1281" s="158">
        <v>0.0</v>
      </c>
      <c r="S1281" s="158">
        <v>0.126</v>
      </c>
      <c r="T1281" s="157" t="s">
        <v>116</v>
      </c>
      <c r="U1281" s="46" t="s">
        <v>651</v>
      </c>
      <c r="V1281" s="46" t="b">
        <v>1</v>
      </c>
      <c r="W1281" s="46">
        <v>0.95</v>
      </c>
      <c r="X1281" s="46">
        <v>0.0</v>
      </c>
      <c r="Y1281" s="46">
        <v>9.60841567787187</v>
      </c>
      <c r="Z1281" s="46" t="b">
        <v>1</v>
      </c>
      <c r="AA1281" s="46" t="b">
        <v>1</v>
      </c>
    </row>
    <row r="1282">
      <c r="A1282" s="157" t="s">
        <v>557</v>
      </c>
      <c r="B1282" s="158">
        <v>5.0</v>
      </c>
      <c r="C1282" s="157" t="s">
        <v>652</v>
      </c>
      <c r="D1282" s="157" t="s">
        <v>895</v>
      </c>
      <c r="E1282" s="157" t="s">
        <v>896</v>
      </c>
      <c r="F1282" s="162" t="s">
        <v>4009</v>
      </c>
      <c r="G1282" s="157" t="s">
        <v>4010</v>
      </c>
      <c r="H1282" s="157"/>
      <c r="I1282" s="158">
        <v>8.49490776409237</v>
      </c>
      <c r="J1282" s="158">
        <v>49.7790920056326</v>
      </c>
      <c r="K1282" s="157" t="s">
        <v>4011</v>
      </c>
      <c r="L1282" s="157" t="s">
        <v>648</v>
      </c>
      <c r="M1282" s="158">
        <v>2022.0</v>
      </c>
      <c r="N1282" s="157" t="s">
        <v>116</v>
      </c>
      <c r="O1282" s="157" t="s">
        <v>900</v>
      </c>
      <c r="P1282" s="161" t="b">
        <v>1</v>
      </c>
      <c r="Q1282" s="158">
        <v>0.125</v>
      </c>
      <c r="R1282" s="158">
        <v>0.0</v>
      </c>
      <c r="S1282" s="158">
        <v>0.125</v>
      </c>
      <c r="T1282" s="157" t="s">
        <v>116</v>
      </c>
      <c r="U1282" s="46" t="s">
        <v>651</v>
      </c>
      <c r="V1282" s="46" t="b">
        <v>1</v>
      </c>
      <c r="W1282" s="46">
        <v>0.95</v>
      </c>
      <c r="X1282" s="46">
        <v>0.0</v>
      </c>
      <c r="Y1282" s="164">
        <v>7.77000095651382E-7</v>
      </c>
      <c r="Z1282" s="46" t="b">
        <v>1</v>
      </c>
      <c r="AA1282" s="46" t="b">
        <v>1</v>
      </c>
    </row>
    <row r="1283">
      <c r="A1283" s="157" t="s">
        <v>557</v>
      </c>
      <c r="B1283" s="158">
        <v>5.0</v>
      </c>
      <c r="C1283" s="157" t="s">
        <v>652</v>
      </c>
      <c r="D1283" s="157" t="s">
        <v>895</v>
      </c>
      <c r="E1283" s="157" t="s">
        <v>896</v>
      </c>
      <c r="F1283" s="162" t="s">
        <v>4012</v>
      </c>
      <c r="G1283" s="157" t="s">
        <v>4013</v>
      </c>
      <c r="H1283" s="157"/>
      <c r="I1283" s="158">
        <v>7.465965313</v>
      </c>
      <c r="J1283" s="158">
        <v>51.62247744</v>
      </c>
      <c r="K1283" s="157" t="s">
        <v>1535</v>
      </c>
      <c r="L1283" s="157" t="s">
        <v>648</v>
      </c>
      <c r="M1283" s="158">
        <v>2022.0</v>
      </c>
      <c r="N1283" s="157" t="s">
        <v>116</v>
      </c>
      <c r="O1283" s="157" t="s">
        <v>900</v>
      </c>
      <c r="P1283" s="161" t="b">
        <v>1</v>
      </c>
      <c r="Q1283" s="158">
        <v>0.125</v>
      </c>
      <c r="R1283" s="158">
        <v>0.0</v>
      </c>
      <c r="S1283" s="158">
        <v>0.125</v>
      </c>
      <c r="T1283" s="157" t="s">
        <v>116</v>
      </c>
      <c r="U1283" s="46" t="s">
        <v>651</v>
      </c>
      <c r="V1283" s="46" t="b">
        <v>1</v>
      </c>
      <c r="W1283" s="46">
        <v>0.95</v>
      </c>
      <c r="X1283" s="46">
        <v>0.0</v>
      </c>
      <c r="Y1283" s="46">
        <v>0.0349398375395133</v>
      </c>
      <c r="Z1283" s="46" t="b">
        <v>1</v>
      </c>
      <c r="AA1283" s="46" t="b">
        <v>1</v>
      </c>
    </row>
    <row r="1284">
      <c r="A1284" s="157" t="s">
        <v>557</v>
      </c>
      <c r="B1284" s="158">
        <v>5.0</v>
      </c>
      <c r="C1284" s="157" t="s">
        <v>652</v>
      </c>
      <c r="D1284" s="157" t="s">
        <v>895</v>
      </c>
      <c r="E1284" s="157" t="s">
        <v>896</v>
      </c>
      <c r="F1284" s="162" t="s">
        <v>4014</v>
      </c>
      <c r="G1284" s="157" t="s">
        <v>4015</v>
      </c>
      <c r="H1284" s="157"/>
      <c r="I1284" s="158">
        <v>13.5047333343765</v>
      </c>
      <c r="J1284" s="158">
        <v>51.4660611425215</v>
      </c>
      <c r="K1284" s="157" t="s">
        <v>4016</v>
      </c>
      <c r="L1284" s="157" t="s">
        <v>648</v>
      </c>
      <c r="M1284" s="158">
        <v>2022.0</v>
      </c>
      <c r="N1284" s="157" t="s">
        <v>116</v>
      </c>
      <c r="O1284" s="157" t="s">
        <v>900</v>
      </c>
      <c r="P1284" s="161" t="b">
        <v>1</v>
      </c>
      <c r="Q1284" s="158">
        <v>0.116</v>
      </c>
      <c r="R1284" s="158">
        <v>0.0</v>
      </c>
      <c r="S1284" s="158">
        <v>0.116</v>
      </c>
      <c r="T1284" s="157" t="s">
        <v>116</v>
      </c>
      <c r="U1284" s="46" t="s">
        <v>651</v>
      </c>
      <c r="V1284" s="46" t="b">
        <v>1</v>
      </c>
      <c r="W1284" s="46">
        <v>0.95</v>
      </c>
      <c r="X1284" s="46">
        <v>0.0</v>
      </c>
      <c r="Y1284" s="164">
        <v>4.31816308489416E-8</v>
      </c>
      <c r="Z1284" s="46" t="b">
        <v>1</v>
      </c>
      <c r="AA1284" s="46" t="b">
        <v>1</v>
      </c>
    </row>
    <row r="1285">
      <c r="A1285" s="157" t="s">
        <v>557</v>
      </c>
      <c r="B1285" s="158">
        <v>5.0</v>
      </c>
      <c r="C1285" s="157" t="s">
        <v>652</v>
      </c>
      <c r="D1285" s="157" t="s">
        <v>895</v>
      </c>
      <c r="E1285" s="157" t="s">
        <v>896</v>
      </c>
      <c r="F1285" s="162" t="s">
        <v>4017</v>
      </c>
      <c r="G1285" s="157" t="s">
        <v>4018</v>
      </c>
      <c r="H1285" s="157"/>
      <c r="I1285" s="158">
        <v>7.17140668462104</v>
      </c>
      <c r="J1285" s="158">
        <v>49.6034960741515</v>
      </c>
      <c r="K1285" s="157" t="s">
        <v>4019</v>
      </c>
      <c r="L1285" s="157" t="s">
        <v>648</v>
      </c>
      <c r="M1285" s="158">
        <v>2022.0</v>
      </c>
      <c r="N1285" s="157" t="s">
        <v>116</v>
      </c>
      <c r="O1285" s="157" t="s">
        <v>900</v>
      </c>
      <c r="P1285" s="161" t="b">
        <v>1</v>
      </c>
      <c r="Q1285" s="158">
        <v>0.107</v>
      </c>
      <c r="R1285" s="158">
        <v>0.0</v>
      </c>
      <c r="S1285" s="158">
        <v>0.107</v>
      </c>
      <c r="T1285" s="157" t="s">
        <v>116</v>
      </c>
      <c r="U1285" s="46" t="s">
        <v>651</v>
      </c>
      <c r="V1285" s="46" t="b">
        <v>1</v>
      </c>
      <c r="W1285" s="46">
        <v>0.95</v>
      </c>
      <c r="X1285" s="46">
        <v>0.0</v>
      </c>
      <c r="Y1285" s="46">
        <v>26.0297816834913</v>
      </c>
      <c r="Z1285" s="46" t="b">
        <v>1</v>
      </c>
      <c r="AA1285" s="46" t="b">
        <v>1</v>
      </c>
    </row>
    <row r="1286">
      <c r="A1286" s="157" t="s">
        <v>570</v>
      </c>
      <c r="B1286" s="158">
        <v>5.0</v>
      </c>
      <c r="C1286" s="157" t="s">
        <v>652</v>
      </c>
      <c r="D1286" s="157" t="s">
        <v>895</v>
      </c>
      <c r="E1286" s="157" t="s">
        <v>896</v>
      </c>
      <c r="F1286" s="157" t="s">
        <v>4020</v>
      </c>
      <c r="G1286" s="157" t="s">
        <v>4021</v>
      </c>
      <c r="H1286" s="157"/>
      <c r="I1286" s="158">
        <v>6.90699</v>
      </c>
      <c r="J1286" s="158">
        <v>52.77499</v>
      </c>
      <c r="K1286" s="157" t="s">
        <v>4022</v>
      </c>
      <c r="L1286" s="157" t="s">
        <v>648</v>
      </c>
      <c r="M1286" s="158">
        <v>2022.0</v>
      </c>
      <c r="N1286" s="157" t="s">
        <v>116</v>
      </c>
      <c r="O1286" s="157" t="s">
        <v>900</v>
      </c>
      <c r="P1286" s="161" t="b">
        <v>1</v>
      </c>
      <c r="Q1286" s="158">
        <v>0.147</v>
      </c>
      <c r="R1286" s="158">
        <v>0.0</v>
      </c>
      <c r="S1286" s="158">
        <v>0.147</v>
      </c>
      <c r="T1286" s="157" t="s">
        <v>116</v>
      </c>
      <c r="U1286" s="46" t="s">
        <v>651</v>
      </c>
      <c r="V1286" s="46" t="b">
        <v>1</v>
      </c>
      <c r="W1286" s="46">
        <v>0.95</v>
      </c>
      <c r="X1286" s="46">
        <v>0.0</v>
      </c>
      <c r="Y1286" s="46">
        <v>33.164141111164</v>
      </c>
      <c r="Z1286" s="46" t="b">
        <v>1</v>
      </c>
      <c r="AA1286" s="46" t="b">
        <v>1</v>
      </c>
    </row>
    <row r="1287">
      <c r="A1287" s="157" t="s">
        <v>570</v>
      </c>
      <c r="B1287" s="158">
        <v>5.0</v>
      </c>
      <c r="C1287" s="157" t="s">
        <v>652</v>
      </c>
      <c r="D1287" s="157" t="s">
        <v>895</v>
      </c>
      <c r="E1287" s="157" t="s">
        <v>896</v>
      </c>
      <c r="F1287" s="157" t="s">
        <v>4023</v>
      </c>
      <c r="G1287" s="157" t="s">
        <v>4024</v>
      </c>
      <c r="H1287" s="157"/>
      <c r="I1287" s="158">
        <v>4.59954</v>
      </c>
      <c r="J1287" s="158">
        <v>51.69383</v>
      </c>
      <c r="K1287" s="157" t="s">
        <v>4025</v>
      </c>
      <c r="L1287" s="157" t="s">
        <v>648</v>
      </c>
      <c r="M1287" s="158">
        <v>2022.0</v>
      </c>
      <c r="N1287" s="157" t="s">
        <v>116</v>
      </c>
      <c r="O1287" s="157" t="s">
        <v>900</v>
      </c>
      <c r="P1287" s="161" t="b">
        <v>1</v>
      </c>
      <c r="Q1287" s="158">
        <v>0.144</v>
      </c>
      <c r="R1287" s="158">
        <v>0.0</v>
      </c>
      <c r="S1287" s="158">
        <v>0.144</v>
      </c>
      <c r="T1287" s="157" t="s">
        <v>116</v>
      </c>
      <c r="U1287" s="46" t="s">
        <v>651</v>
      </c>
      <c r="V1287" s="46" t="b">
        <v>1</v>
      </c>
      <c r="W1287" s="46">
        <v>0.95</v>
      </c>
      <c r="X1287" s="46">
        <v>0.0</v>
      </c>
      <c r="Y1287" s="46">
        <v>3.40272978999474</v>
      </c>
      <c r="Z1287" s="46" t="b">
        <v>1</v>
      </c>
      <c r="AA1287" s="46" t="b">
        <v>1</v>
      </c>
    </row>
    <row r="1288">
      <c r="A1288" s="157" t="s">
        <v>563</v>
      </c>
      <c r="B1288" s="158">
        <v>5.0</v>
      </c>
      <c r="C1288" s="157" t="s">
        <v>652</v>
      </c>
      <c r="D1288" s="157" t="s">
        <v>895</v>
      </c>
      <c r="E1288" s="157" t="s">
        <v>896</v>
      </c>
      <c r="F1288" s="157" t="s">
        <v>4026</v>
      </c>
      <c r="G1288" s="157" t="s">
        <v>4027</v>
      </c>
      <c r="H1288" s="157"/>
      <c r="I1288" s="158">
        <v>-1.4314543</v>
      </c>
      <c r="J1288" s="158">
        <v>50.897365</v>
      </c>
      <c r="K1288" s="157" t="s">
        <v>4028</v>
      </c>
      <c r="L1288" s="157" t="s">
        <v>648</v>
      </c>
      <c r="M1288" s="158">
        <v>2019.0</v>
      </c>
      <c r="N1288" s="157" t="s">
        <v>116</v>
      </c>
      <c r="O1288" s="157" t="s">
        <v>900</v>
      </c>
      <c r="P1288" s="161" t="b">
        <v>1</v>
      </c>
      <c r="Q1288" s="158">
        <v>0.19</v>
      </c>
      <c r="R1288" s="158">
        <v>0.0</v>
      </c>
      <c r="S1288" s="158">
        <v>0.19</v>
      </c>
      <c r="T1288" s="157" t="s">
        <v>116</v>
      </c>
      <c r="U1288" s="46" t="s">
        <v>651</v>
      </c>
      <c r="V1288" s="46" t="b">
        <v>1</v>
      </c>
      <c r="W1288" s="46">
        <v>0.95</v>
      </c>
      <c r="X1288" s="46">
        <v>0.0</v>
      </c>
      <c r="Y1288" s="46" t="s">
        <v>640</v>
      </c>
      <c r="Z1288" s="46" t="b">
        <v>0</v>
      </c>
      <c r="AA1288" s="46" t="b">
        <v>0</v>
      </c>
    </row>
    <row r="1289">
      <c r="A1289" s="157" t="s">
        <v>562</v>
      </c>
      <c r="B1289" s="158">
        <v>4.0</v>
      </c>
      <c r="C1289" s="157" t="s">
        <v>1092</v>
      </c>
      <c r="D1289" s="157" t="s">
        <v>4029</v>
      </c>
      <c r="E1289" s="157" t="s">
        <v>4030</v>
      </c>
      <c r="F1289" s="162" t="s">
        <v>4031</v>
      </c>
      <c r="G1289" s="157" t="s">
        <v>4032</v>
      </c>
      <c r="H1289" s="157"/>
      <c r="I1289" s="158">
        <v>4.28761</v>
      </c>
      <c r="J1289" s="158">
        <v>51.34162</v>
      </c>
      <c r="K1289" s="157" t="s">
        <v>2148</v>
      </c>
      <c r="L1289" s="157" t="s">
        <v>648</v>
      </c>
      <c r="M1289" s="158">
        <v>2022.0</v>
      </c>
      <c r="N1289" s="157" t="s">
        <v>201</v>
      </c>
      <c r="O1289" s="157" t="s">
        <v>4033</v>
      </c>
      <c r="P1289" s="161" t="b">
        <v>1</v>
      </c>
      <c r="Q1289" s="158">
        <v>0.734</v>
      </c>
      <c r="R1289" s="158">
        <v>0.0</v>
      </c>
      <c r="S1289" s="158">
        <v>0.734</v>
      </c>
      <c r="T1289" s="157" t="s">
        <v>201</v>
      </c>
      <c r="U1289" s="46" t="s">
        <v>651</v>
      </c>
      <c r="V1289" s="46" t="b">
        <v>1</v>
      </c>
      <c r="W1289" s="46">
        <v>0.95</v>
      </c>
      <c r="X1289" s="46">
        <v>0.0</v>
      </c>
      <c r="Y1289" s="46">
        <v>3.82613313196401</v>
      </c>
      <c r="Z1289" s="46" t="b">
        <v>1</v>
      </c>
      <c r="AA1289" s="46" t="b">
        <v>1</v>
      </c>
    </row>
    <row r="1290">
      <c r="A1290" s="157" t="s">
        <v>562</v>
      </c>
      <c r="B1290" s="158">
        <v>4.0</v>
      </c>
      <c r="C1290" s="157" t="s">
        <v>1092</v>
      </c>
      <c r="D1290" s="157" t="s">
        <v>4029</v>
      </c>
      <c r="E1290" s="157" t="s">
        <v>4030</v>
      </c>
      <c r="F1290" s="162" t="s">
        <v>4034</v>
      </c>
      <c r="G1290" s="157" t="s">
        <v>4032</v>
      </c>
      <c r="H1290" s="157"/>
      <c r="I1290" s="158">
        <v>4.32686</v>
      </c>
      <c r="J1290" s="158">
        <v>51.29134</v>
      </c>
      <c r="K1290" s="157" t="s">
        <v>2148</v>
      </c>
      <c r="L1290" s="157" t="s">
        <v>648</v>
      </c>
      <c r="M1290" s="158">
        <v>2022.0</v>
      </c>
      <c r="N1290" s="157" t="s">
        <v>201</v>
      </c>
      <c r="O1290" s="157" t="s">
        <v>4033</v>
      </c>
      <c r="P1290" s="161" t="b">
        <v>1</v>
      </c>
      <c r="Q1290" s="158">
        <v>0.202</v>
      </c>
      <c r="R1290" s="158">
        <v>0.0</v>
      </c>
      <c r="S1290" s="158">
        <v>0.202</v>
      </c>
      <c r="T1290" s="157" t="s">
        <v>201</v>
      </c>
      <c r="U1290" s="46" t="s">
        <v>651</v>
      </c>
      <c r="V1290" s="46" t="b">
        <v>1</v>
      </c>
      <c r="W1290" s="46">
        <v>0.95</v>
      </c>
      <c r="X1290" s="46">
        <v>0.0</v>
      </c>
      <c r="Y1290" s="46">
        <v>2.33895409274589</v>
      </c>
      <c r="Z1290" s="46" t="b">
        <v>1</v>
      </c>
      <c r="AA1290" s="46" t="b">
        <v>1</v>
      </c>
    </row>
    <row r="1291">
      <c r="A1291" s="157" t="s">
        <v>555</v>
      </c>
      <c r="B1291" s="158">
        <v>4.0</v>
      </c>
      <c r="C1291" s="157" t="s">
        <v>1092</v>
      </c>
      <c r="D1291" s="157" t="s">
        <v>4029</v>
      </c>
      <c r="E1291" s="157" t="s">
        <v>4030</v>
      </c>
      <c r="F1291" s="162" t="s">
        <v>4035</v>
      </c>
      <c r="G1291" s="157" t="s">
        <v>4036</v>
      </c>
      <c r="H1291" s="157"/>
      <c r="I1291" s="158">
        <v>25.51675</v>
      </c>
      <c r="J1291" s="158">
        <v>60.31768</v>
      </c>
      <c r="K1291" s="157" t="s">
        <v>1113</v>
      </c>
      <c r="L1291" s="157" t="s">
        <v>648</v>
      </c>
      <c r="M1291" s="158">
        <v>2022.0</v>
      </c>
      <c r="N1291" s="157" t="s">
        <v>201</v>
      </c>
      <c r="O1291" s="157" t="s">
        <v>4033</v>
      </c>
      <c r="P1291" s="161" t="b">
        <v>1</v>
      </c>
      <c r="Q1291" s="158">
        <v>0.16</v>
      </c>
      <c r="R1291" s="158">
        <v>0.0</v>
      </c>
      <c r="S1291" s="158">
        <v>0.16</v>
      </c>
      <c r="T1291" s="157" t="s">
        <v>201</v>
      </c>
      <c r="U1291" s="46" t="s">
        <v>651</v>
      </c>
      <c r="V1291" s="46" t="b">
        <v>1</v>
      </c>
      <c r="W1291" s="46">
        <v>0.95</v>
      </c>
      <c r="X1291" s="46">
        <v>0.0</v>
      </c>
      <c r="Y1291" s="46" t="s">
        <v>640</v>
      </c>
      <c r="Z1291" s="46" t="b">
        <v>0</v>
      </c>
      <c r="AA1291" s="46" t="b">
        <v>0</v>
      </c>
    </row>
    <row r="1292">
      <c r="A1292" s="157" t="s">
        <v>556</v>
      </c>
      <c r="B1292" s="158">
        <v>4.0</v>
      </c>
      <c r="C1292" s="157" t="s">
        <v>1092</v>
      </c>
      <c r="D1292" s="157" t="s">
        <v>4029</v>
      </c>
      <c r="E1292" s="157" t="s">
        <v>4030</v>
      </c>
      <c r="F1292" s="157" t="s">
        <v>4037</v>
      </c>
      <c r="G1292" s="157" t="s">
        <v>4038</v>
      </c>
      <c r="H1292" s="157"/>
      <c r="I1292" s="158">
        <v>0.20993</v>
      </c>
      <c r="J1292" s="158">
        <v>49.5052</v>
      </c>
      <c r="K1292" s="157" t="s">
        <v>3370</v>
      </c>
      <c r="L1292" s="157" t="s">
        <v>648</v>
      </c>
      <c r="M1292" s="158">
        <v>2022.0</v>
      </c>
      <c r="N1292" s="157" t="s">
        <v>201</v>
      </c>
      <c r="O1292" s="157" t="s">
        <v>4033</v>
      </c>
      <c r="P1292" s="161" t="b">
        <v>1</v>
      </c>
      <c r="Q1292" s="158">
        <v>0.752</v>
      </c>
      <c r="R1292" s="158">
        <v>0.0</v>
      </c>
      <c r="S1292" s="158">
        <v>0.752</v>
      </c>
      <c r="T1292" s="157" t="s">
        <v>201</v>
      </c>
      <c r="U1292" s="46" t="s">
        <v>651</v>
      </c>
      <c r="V1292" s="46" t="b">
        <v>1</v>
      </c>
      <c r="W1292" s="46">
        <v>0.95</v>
      </c>
      <c r="X1292" s="46">
        <v>0.0</v>
      </c>
      <c r="Y1292" s="46">
        <v>1.80301265034609</v>
      </c>
      <c r="Z1292" s="46" t="b">
        <v>1</v>
      </c>
      <c r="AA1292" s="46" t="b">
        <v>1</v>
      </c>
    </row>
    <row r="1293">
      <c r="A1293" s="157" t="s">
        <v>556</v>
      </c>
      <c r="B1293" s="158">
        <v>4.0</v>
      </c>
      <c r="C1293" s="157" t="s">
        <v>1092</v>
      </c>
      <c r="D1293" s="157" t="s">
        <v>4029</v>
      </c>
      <c r="E1293" s="157" t="s">
        <v>4030</v>
      </c>
      <c r="F1293" s="157" t="s">
        <v>4039</v>
      </c>
      <c r="G1293" s="157" t="s">
        <v>4040</v>
      </c>
      <c r="H1293" s="157"/>
      <c r="I1293" s="158">
        <v>0.56521</v>
      </c>
      <c r="J1293" s="158">
        <v>49.4884</v>
      </c>
      <c r="K1293" s="157" t="s">
        <v>3384</v>
      </c>
      <c r="L1293" s="157" t="s">
        <v>648</v>
      </c>
      <c r="M1293" s="158">
        <v>2022.0</v>
      </c>
      <c r="N1293" s="157" t="s">
        <v>201</v>
      </c>
      <c r="O1293" s="157" t="s">
        <v>4033</v>
      </c>
      <c r="P1293" s="161" t="b">
        <v>1</v>
      </c>
      <c r="Q1293" s="158">
        <v>0.215</v>
      </c>
      <c r="R1293" s="158">
        <v>0.0</v>
      </c>
      <c r="S1293" s="158">
        <v>0.215</v>
      </c>
      <c r="T1293" s="157" t="s">
        <v>201</v>
      </c>
      <c r="U1293" s="46" t="s">
        <v>651</v>
      </c>
      <c r="V1293" s="46" t="b">
        <v>1</v>
      </c>
      <c r="W1293" s="46">
        <v>0.95</v>
      </c>
      <c r="X1293" s="46">
        <v>0.0</v>
      </c>
      <c r="Y1293" s="46">
        <v>1.75314640334535</v>
      </c>
      <c r="Z1293" s="46" t="b">
        <v>1</v>
      </c>
      <c r="AA1293" s="46" t="b">
        <v>1</v>
      </c>
    </row>
    <row r="1294">
      <c r="A1294" s="157" t="s">
        <v>556</v>
      </c>
      <c r="B1294" s="158">
        <v>4.0</v>
      </c>
      <c r="C1294" s="157" t="s">
        <v>1092</v>
      </c>
      <c r="D1294" s="157" t="s">
        <v>4029</v>
      </c>
      <c r="E1294" s="157" t="s">
        <v>4030</v>
      </c>
      <c r="F1294" s="157" t="s">
        <v>4041</v>
      </c>
      <c r="G1294" s="157" t="s">
        <v>4042</v>
      </c>
      <c r="H1294" s="157"/>
      <c r="I1294" s="158">
        <v>2.88563</v>
      </c>
      <c r="J1294" s="158">
        <v>48.6105</v>
      </c>
      <c r="K1294" s="157" t="s">
        <v>4043</v>
      </c>
      <c r="L1294" s="157" t="s">
        <v>648</v>
      </c>
      <c r="M1294" s="158">
        <v>2022.0</v>
      </c>
      <c r="N1294" s="157" t="s">
        <v>201</v>
      </c>
      <c r="O1294" s="157" t="s">
        <v>4033</v>
      </c>
      <c r="P1294" s="161" t="b">
        <v>1</v>
      </c>
      <c r="Q1294" s="158">
        <v>0.214</v>
      </c>
      <c r="R1294" s="158">
        <v>0.0</v>
      </c>
      <c r="S1294" s="158">
        <v>0.214</v>
      </c>
      <c r="T1294" s="157" t="s">
        <v>201</v>
      </c>
      <c r="U1294" s="46" t="s">
        <v>651</v>
      </c>
      <c r="V1294" s="46" t="b">
        <v>1</v>
      </c>
      <c r="W1294" s="46">
        <v>0.95</v>
      </c>
      <c r="X1294" s="46">
        <v>0.0</v>
      </c>
      <c r="Y1294" s="46">
        <v>3.46387892543094</v>
      </c>
      <c r="Z1294" s="46" t="b">
        <v>1</v>
      </c>
      <c r="AA1294" s="46" t="b">
        <v>1</v>
      </c>
    </row>
    <row r="1295">
      <c r="A1295" s="157" t="s">
        <v>556</v>
      </c>
      <c r="B1295" s="158">
        <v>4.0</v>
      </c>
      <c r="C1295" s="157" t="s">
        <v>1092</v>
      </c>
      <c r="D1295" s="157" t="s">
        <v>4029</v>
      </c>
      <c r="E1295" s="157" t="s">
        <v>4030</v>
      </c>
      <c r="F1295" s="157" t="s">
        <v>4044</v>
      </c>
      <c r="G1295" s="157" t="s">
        <v>4045</v>
      </c>
      <c r="H1295" s="157"/>
      <c r="I1295" s="158">
        <v>5.00058</v>
      </c>
      <c r="J1295" s="158">
        <v>43.39464</v>
      </c>
      <c r="K1295" s="157" t="s">
        <v>1476</v>
      </c>
      <c r="L1295" s="157" t="s">
        <v>648</v>
      </c>
      <c r="M1295" s="158">
        <v>2022.0</v>
      </c>
      <c r="N1295" s="157" t="s">
        <v>201</v>
      </c>
      <c r="O1295" s="157" t="s">
        <v>4033</v>
      </c>
      <c r="P1295" s="161" t="b">
        <v>1</v>
      </c>
      <c r="Q1295" s="158">
        <v>0.134</v>
      </c>
      <c r="R1295" s="158">
        <v>0.0</v>
      </c>
      <c r="S1295" s="158">
        <v>0.134</v>
      </c>
      <c r="T1295" s="157" t="s">
        <v>201</v>
      </c>
      <c r="U1295" s="46" t="s">
        <v>651</v>
      </c>
      <c r="V1295" s="46" t="b">
        <v>1</v>
      </c>
      <c r="W1295" s="46">
        <v>0.95</v>
      </c>
      <c r="X1295" s="46">
        <v>0.0</v>
      </c>
      <c r="Y1295" s="46">
        <v>26.5122923239281</v>
      </c>
      <c r="Z1295" s="46" t="b">
        <v>1</v>
      </c>
      <c r="AA1295" s="46" t="b">
        <v>1</v>
      </c>
    </row>
    <row r="1296">
      <c r="A1296" s="157" t="s">
        <v>556</v>
      </c>
      <c r="B1296" s="158">
        <v>4.0</v>
      </c>
      <c r="C1296" s="157" t="s">
        <v>1092</v>
      </c>
      <c r="D1296" s="157" t="s">
        <v>4029</v>
      </c>
      <c r="E1296" s="157" t="s">
        <v>4030</v>
      </c>
      <c r="F1296" s="157" t="s">
        <v>4046</v>
      </c>
      <c r="G1296" s="157" t="s">
        <v>4047</v>
      </c>
      <c r="H1296" s="157"/>
      <c r="I1296" s="158">
        <v>7.54591</v>
      </c>
      <c r="J1296" s="158">
        <v>47.8265</v>
      </c>
      <c r="K1296" s="157" t="s">
        <v>4048</v>
      </c>
      <c r="L1296" s="157" t="s">
        <v>648</v>
      </c>
      <c r="M1296" s="158">
        <v>2022.0</v>
      </c>
      <c r="N1296" s="157" t="s">
        <v>201</v>
      </c>
      <c r="O1296" s="157" t="s">
        <v>4033</v>
      </c>
      <c r="P1296" s="161" t="b">
        <v>1</v>
      </c>
      <c r="Q1296" s="158">
        <v>0.109</v>
      </c>
      <c r="R1296" s="158">
        <v>0.0</v>
      </c>
      <c r="S1296" s="158">
        <v>0.109</v>
      </c>
      <c r="T1296" s="157" t="s">
        <v>201</v>
      </c>
      <c r="U1296" s="46" t="s">
        <v>651</v>
      </c>
      <c r="V1296" s="46" t="b">
        <v>1</v>
      </c>
      <c r="W1296" s="46">
        <v>0.95</v>
      </c>
      <c r="X1296" s="46">
        <v>0.0</v>
      </c>
      <c r="Y1296" s="46">
        <v>36.8018242697384</v>
      </c>
      <c r="Z1296" s="46" t="b">
        <v>1</v>
      </c>
      <c r="AA1296" s="46" t="b">
        <v>1</v>
      </c>
    </row>
    <row r="1297">
      <c r="A1297" s="157" t="s">
        <v>557</v>
      </c>
      <c r="B1297" s="158">
        <v>4.0</v>
      </c>
      <c r="C1297" s="157" t="s">
        <v>1092</v>
      </c>
      <c r="D1297" s="157" t="s">
        <v>4029</v>
      </c>
      <c r="E1297" s="157" t="s">
        <v>4030</v>
      </c>
      <c r="F1297" s="162" t="s">
        <v>4049</v>
      </c>
      <c r="G1297" s="157" t="s">
        <v>4050</v>
      </c>
      <c r="H1297" s="157"/>
      <c r="I1297" s="158">
        <v>9.207870944</v>
      </c>
      <c r="J1297" s="158">
        <v>53.9106443443535</v>
      </c>
      <c r="K1297" s="157" t="s">
        <v>4051</v>
      </c>
      <c r="L1297" s="157" t="s">
        <v>648</v>
      </c>
      <c r="M1297" s="158">
        <v>2022.0</v>
      </c>
      <c r="N1297" s="157" t="s">
        <v>201</v>
      </c>
      <c r="O1297" s="157" t="s">
        <v>4033</v>
      </c>
      <c r="P1297" s="161" t="b">
        <v>1</v>
      </c>
      <c r="Q1297" s="158">
        <v>0.742</v>
      </c>
      <c r="R1297" s="158">
        <v>0.0</v>
      </c>
      <c r="S1297" s="158">
        <v>0.742</v>
      </c>
      <c r="T1297" s="157" t="s">
        <v>201</v>
      </c>
      <c r="U1297" s="46" t="s">
        <v>651</v>
      </c>
      <c r="V1297" s="46" t="b">
        <v>1</v>
      </c>
      <c r="W1297" s="46">
        <v>0.95</v>
      </c>
      <c r="X1297" s="46">
        <v>0.0</v>
      </c>
      <c r="Y1297" s="46">
        <v>27.0813110788267</v>
      </c>
      <c r="Z1297" s="46" t="b">
        <v>1</v>
      </c>
      <c r="AA1297" s="46" t="b">
        <v>1</v>
      </c>
    </row>
    <row r="1298">
      <c r="A1298" s="157" t="s">
        <v>557</v>
      </c>
      <c r="B1298" s="158">
        <v>4.0</v>
      </c>
      <c r="C1298" s="157" t="s">
        <v>1092</v>
      </c>
      <c r="D1298" s="157" t="s">
        <v>4029</v>
      </c>
      <c r="E1298" s="157" t="s">
        <v>4030</v>
      </c>
      <c r="F1298" s="162" t="s">
        <v>4052</v>
      </c>
      <c r="G1298" s="157" t="s">
        <v>4053</v>
      </c>
      <c r="H1298" s="157"/>
      <c r="I1298" s="158">
        <v>9.50412189043017</v>
      </c>
      <c r="J1298" s="158">
        <v>53.6403579506449</v>
      </c>
      <c r="K1298" s="157" t="s">
        <v>4054</v>
      </c>
      <c r="L1298" s="157" t="s">
        <v>648</v>
      </c>
      <c r="M1298" s="158">
        <v>2022.0</v>
      </c>
      <c r="N1298" s="157" t="s">
        <v>201</v>
      </c>
      <c r="O1298" s="157" t="s">
        <v>4033</v>
      </c>
      <c r="P1298" s="161" t="b">
        <v>1</v>
      </c>
      <c r="Q1298" s="158">
        <v>0.549</v>
      </c>
      <c r="R1298" s="158">
        <v>0.0</v>
      </c>
      <c r="S1298" s="158">
        <v>0.549</v>
      </c>
      <c r="T1298" s="157" t="s">
        <v>201</v>
      </c>
      <c r="U1298" s="46" t="s">
        <v>651</v>
      </c>
      <c r="V1298" s="46" t="b">
        <v>1</v>
      </c>
      <c r="W1298" s="46">
        <v>0.95</v>
      </c>
      <c r="X1298" s="46">
        <v>0.0</v>
      </c>
      <c r="Y1298" s="46">
        <v>14.0418172129771</v>
      </c>
      <c r="Z1298" s="46" t="b">
        <v>1</v>
      </c>
      <c r="AA1298" s="46" t="b">
        <v>1</v>
      </c>
    </row>
    <row r="1299">
      <c r="A1299" s="157" t="s">
        <v>557</v>
      </c>
      <c r="B1299" s="158">
        <v>4.0</v>
      </c>
      <c r="C1299" s="157" t="s">
        <v>1092</v>
      </c>
      <c r="D1299" s="157" t="s">
        <v>4029</v>
      </c>
      <c r="E1299" s="157" t="s">
        <v>4030</v>
      </c>
      <c r="F1299" s="162" t="s">
        <v>4055</v>
      </c>
      <c r="G1299" s="157" t="s">
        <v>4056</v>
      </c>
      <c r="H1299" s="157"/>
      <c r="I1299" s="158">
        <v>12.0021410035314</v>
      </c>
      <c r="J1299" s="158">
        <v>51.322589772339</v>
      </c>
      <c r="K1299" s="157" t="s">
        <v>4057</v>
      </c>
      <c r="L1299" s="157" t="s">
        <v>648</v>
      </c>
      <c r="M1299" s="158">
        <v>2022.0</v>
      </c>
      <c r="N1299" s="157" t="s">
        <v>201</v>
      </c>
      <c r="O1299" s="157" t="s">
        <v>4033</v>
      </c>
      <c r="P1299" s="161" t="b">
        <v>1</v>
      </c>
      <c r="Q1299" s="158">
        <v>0.244</v>
      </c>
      <c r="R1299" s="158">
        <v>0.0</v>
      </c>
      <c r="S1299" s="158">
        <v>0.244</v>
      </c>
      <c r="T1299" s="157" t="s">
        <v>201</v>
      </c>
      <c r="U1299" s="46" t="s">
        <v>651</v>
      </c>
      <c r="V1299" s="46" t="b">
        <v>1</v>
      </c>
      <c r="W1299" s="46">
        <v>0.95</v>
      </c>
      <c r="X1299" s="46">
        <v>0.0</v>
      </c>
      <c r="Y1299" s="46">
        <v>4.29204605817299</v>
      </c>
      <c r="Z1299" s="46" t="b">
        <v>1</v>
      </c>
      <c r="AA1299" s="46" t="b">
        <v>1</v>
      </c>
    </row>
    <row r="1300">
      <c r="A1300" s="157" t="s">
        <v>557</v>
      </c>
      <c r="B1300" s="158">
        <v>4.0</v>
      </c>
      <c r="C1300" s="157" t="s">
        <v>1092</v>
      </c>
      <c r="D1300" s="157" t="s">
        <v>4029</v>
      </c>
      <c r="E1300" s="157" t="s">
        <v>4030</v>
      </c>
      <c r="F1300" s="162" t="s">
        <v>4058</v>
      </c>
      <c r="G1300" s="157" t="s">
        <v>4059</v>
      </c>
      <c r="H1300" s="157"/>
      <c r="I1300" s="158">
        <v>11.9958175443404</v>
      </c>
      <c r="J1300" s="158">
        <v>51.2901100291085</v>
      </c>
      <c r="K1300" s="157" t="s">
        <v>4057</v>
      </c>
      <c r="L1300" s="157" t="s">
        <v>648</v>
      </c>
      <c r="M1300" s="158">
        <v>2022.0</v>
      </c>
      <c r="N1300" s="157" t="s">
        <v>201</v>
      </c>
      <c r="O1300" s="157" t="s">
        <v>4033</v>
      </c>
      <c r="P1300" s="161" t="b">
        <v>1</v>
      </c>
      <c r="Q1300" s="158">
        <v>0.182</v>
      </c>
      <c r="R1300" s="158">
        <v>0.0</v>
      </c>
      <c r="S1300" s="158">
        <v>0.182</v>
      </c>
      <c r="T1300" s="157" t="s">
        <v>201</v>
      </c>
      <c r="U1300" s="46" t="s">
        <v>651</v>
      </c>
      <c r="V1300" s="46" t="b">
        <v>1</v>
      </c>
      <c r="W1300" s="46">
        <v>0.95</v>
      </c>
      <c r="X1300" s="46">
        <v>0.0</v>
      </c>
      <c r="Y1300" s="46">
        <v>7.37670955959658</v>
      </c>
      <c r="Z1300" s="46" t="b">
        <v>1</v>
      </c>
      <c r="AA1300" s="46" t="b">
        <v>1</v>
      </c>
    </row>
    <row r="1301">
      <c r="A1301" s="157" t="s">
        <v>557</v>
      </c>
      <c r="B1301" s="158">
        <v>4.0</v>
      </c>
      <c r="C1301" s="157" t="s">
        <v>1092</v>
      </c>
      <c r="D1301" s="157" t="s">
        <v>4029</v>
      </c>
      <c r="E1301" s="157" t="s">
        <v>4030</v>
      </c>
      <c r="F1301" s="162" t="s">
        <v>4060</v>
      </c>
      <c r="G1301" s="157" t="s">
        <v>4061</v>
      </c>
      <c r="H1301" s="157"/>
      <c r="I1301" s="158">
        <v>9.18659604122203</v>
      </c>
      <c r="J1301" s="158">
        <v>53.9019608563247</v>
      </c>
      <c r="K1301" s="157" t="s">
        <v>4062</v>
      </c>
      <c r="L1301" s="157" t="s">
        <v>648</v>
      </c>
      <c r="M1301" s="158">
        <v>2022.0</v>
      </c>
      <c r="N1301" s="157" t="s">
        <v>201</v>
      </c>
      <c r="O1301" s="157" t="s">
        <v>4033</v>
      </c>
      <c r="P1301" s="161" t="b">
        <v>1</v>
      </c>
      <c r="Q1301" s="158">
        <v>0.11</v>
      </c>
      <c r="R1301" s="158">
        <v>0.0</v>
      </c>
      <c r="S1301" s="158">
        <v>0.11</v>
      </c>
      <c r="T1301" s="157" t="s">
        <v>201</v>
      </c>
      <c r="U1301" s="46" t="s">
        <v>651</v>
      </c>
      <c r="V1301" s="46" t="b">
        <v>1</v>
      </c>
      <c r="W1301" s="46">
        <v>0.95</v>
      </c>
      <c r="X1301" s="46">
        <v>0.0</v>
      </c>
      <c r="Y1301" s="46">
        <v>28.6511199338722</v>
      </c>
      <c r="Z1301" s="46" t="b">
        <v>1</v>
      </c>
      <c r="AA1301" s="46" t="b">
        <v>1</v>
      </c>
    </row>
    <row r="1302">
      <c r="A1302" s="157" t="s">
        <v>561</v>
      </c>
      <c r="B1302" s="158">
        <v>4.0</v>
      </c>
      <c r="C1302" s="157" t="s">
        <v>1092</v>
      </c>
      <c r="D1302" s="157" t="s">
        <v>4029</v>
      </c>
      <c r="E1302" s="157" t="s">
        <v>4030</v>
      </c>
      <c r="F1302" s="157" t="s">
        <v>4063</v>
      </c>
      <c r="G1302" s="157" t="s">
        <v>4064</v>
      </c>
      <c r="H1302" s="157"/>
      <c r="I1302" s="158">
        <v>1.231349</v>
      </c>
      <c r="J1302" s="158">
        <v>41.186207</v>
      </c>
      <c r="K1302" s="157" t="s">
        <v>3658</v>
      </c>
      <c r="L1302" s="157" t="s">
        <v>648</v>
      </c>
      <c r="M1302" s="158">
        <v>2022.0</v>
      </c>
      <c r="N1302" s="157" t="s">
        <v>201</v>
      </c>
      <c r="O1302" s="157" t="s">
        <v>4033</v>
      </c>
      <c r="P1302" s="161" t="b">
        <v>1</v>
      </c>
      <c r="Q1302" s="158">
        <v>0.303</v>
      </c>
      <c r="R1302" s="158">
        <v>0.0</v>
      </c>
      <c r="S1302" s="158">
        <v>0.303</v>
      </c>
      <c r="T1302" s="157" t="s">
        <v>201</v>
      </c>
      <c r="U1302" s="46" t="s">
        <v>651</v>
      </c>
      <c r="V1302" s="46" t="b">
        <v>1</v>
      </c>
      <c r="W1302" s="46">
        <v>0.95</v>
      </c>
      <c r="X1302" s="46">
        <v>0.0</v>
      </c>
      <c r="Y1302" s="46" t="s">
        <v>640</v>
      </c>
      <c r="Z1302" s="46" t="b">
        <v>0</v>
      </c>
      <c r="AA1302" s="46" t="b">
        <v>0</v>
      </c>
    </row>
    <row r="1303">
      <c r="A1303" s="157" t="s">
        <v>561</v>
      </c>
      <c r="B1303" s="158">
        <v>4.0</v>
      </c>
      <c r="C1303" s="157" t="s">
        <v>1092</v>
      </c>
      <c r="D1303" s="157" t="s">
        <v>4029</v>
      </c>
      <c r="E1303" s="157" t="s">
        <v>4030</v>
      </c>
      <c r="F1303" s="157" t="s">
        <v>4065</v>
      </c>
      <c r="G1303" s="157" t="s">
        <v>4066</v>
      </c>
      <c r="H1303" s="157"/>
      <c r="I1303" s="158">
        <v>-4.0571</v>
      </c>
      <c r="J1303" s="158">
        <v>38.6673</v>
      </c>
      <c r="K1303" s="157" t="s">
        <v>3904</v>
      </c>
      <c r="L1303" s="157" t="s">
        <v>648</v>
      </c>
      <c r="M1303" s="158">
        <v>2022.0</v>
      </c>
      <c r="N1303" s="157" t="s">
        <v>201</v>
      </c>
      <c r="O1303" s="157" t="s">
        <v>4033</v>
      </c>
      <c r="P1303" s="161" t="b">
        <v>1</v>
      </c>
      <c r="Q1303" s="158">
        <v>0.279</v>
      </c>
      <c r="R1303" s="158">
        <v>0.0</v>
      </c>
      <c r="S1303" s="158">
        <v>0.279</v>
      </c>
      <c r="T1303" s="157" t="s">
        <v>201</v>
      </c>
      <c r="U1303" s="46" t="s">
        <v>651</v>
      </c>
      <c r="V1303" s="46" t="b">
        <v>1</v>
      </c>
      <c r="W1303" s="46">
        <v>0.95</v>
      </c>
      <c r="X1303" s="46">
        <v>0.0</v>
      </c>
      <c r="Y1303" s="46" t="s">
        <v>640</v>
      </c>
      <c r="Z1303" s="46" t="b">
        <v>0</v>
      </c>
      <c r="AA1303" s="46" t="b">
        <v>0</v>
      </c>
    </row>
    <row r="1304">
      <c r="A1304" s="157" t="s">
        <v>561</v>
      </c>
      <c r="B1304" s="158">
        <v>4.0</v>
      </c>
      <c r="C1304" s="157" t="s">
        <v>1092</v>
      </c>
      <c r="D1304" s="157" t="s">
        <v>4029</v>
      </c>
      <c r="E1304" s="157" t="s">
        <v>4030</v>
      </c>
      <c r="F1304" s="157" t="s">
        <v>4067</v>
      </c>
      <c r="G1304" s="157" t="s">
        <v>4068</v>
      </c>
      <c r="H1304" s="157"/>
      <c r="I1304" s="158">
        <v>-8.47791</v>
      </c>
      <c r="J1304" s="158">
        <v>43.31573</v>
      </c>
      <c r="K1304" s="157" t="s">
        <v>4069</v>
      </c>
      <c r="L1304" s="157" t="s">
        <v>648</v>
      </c>
      <c r="M1304" s="158">
        <v>2022.0</v>
      </c>
      <c r="N1304" s="157" t="s">
        <v>201</v>
      </c>
      <c r="O1304" s="157" t="s">
        <v>4033</v>
      </c>
      <c r="P1304" s="161" t="b">
        <v>1</v>
      </c>
      <c r="Q1304" s="158">
        <v>0.195</v>
      </c>
      <c r="R1304" s="158">
        <v>0.0</v>
      </c>
      <c r="S1304" s="158">
        <v>0.195</v>
      </c>
      <c r="T1304" s="157" t="s">
        <v>201</v>
      </c>
      <c r="U1304" s="46" t="s">
        <v>651</v>
      </c>
      <c r="V1304" s="46" t="b">
        <v>1</v>
      </c>
      <c r="W1304" s="46">
        <v>0.95</v>
      </c>
      <c r="X1304" s="46">
        <v>0.0</v>
      </c>
      <c r="Y1304" s="46" t="s">
        <v>640</v>
      </c>
      <c r="Z1304" s="46" t="b">
        <v>0</v>
      </c>
      <c r="AA1304" s="46" t="b">
        <v>0</v>
      </c>
    </row>
    <row r="1305">
      <c r="A1305" s="157" t="s">
        <v>581</v>
      </c>
      <c r="B1305" s="158">
        <v>4.0</v>
      </c>
      <c r="C1305" s="157" t="s">
        <v>1092</v>
      </c>
      <c r="D1305" s="157" t="s">
        <v>1912</v>
      </c>
      <c r="E1305" s="157" t="s">
        <v>1913</v>
      </c>
      <c r="F1305" s="157" t="s">
        <v>4070</v>
      </c>
      <c r="G1305" s="157" t="s">
        <v>4071</v>
      </c>
      <c r="H1305" s="157"/>
      <c r="I1305" s="158">
        <v>27.635453</v>
      </c>
      <c r="J1305" s="158">
        <v>43.199561</v>
      </c>
      <c r="K1305" s="157" t="s">
        <v>3664</v>
      </c>
      <c r="L1305" s="157" t="s">
        <v>648</v>
      </c>
      <c r="M1305" s="158">
        <v>2021.0</v>
      </c>
      <c r="N1305" s="157" t="s">
        <v>201</v>
      </c>
      <c r="O1305" s="157" t="s">
        <v>1098</v>
      </c>
      <c r="P1305" s="161" t="b">
        <v>1</v>
      </c>
      <c r="Q1305" s="158">
        <v>1.827869</v>
      </c>
      <c r="R1305" s="158">
        <v>0.0</v>
      </c>
      <c r="S1305" s="158">
        <v>1.827869</v>
      </c>
      <c r="T1305" s="157" t="s">
        <v>201</v>
      </c>
      <c r="U1305" s="46" t="s">
        <v>651</v>
      </c>
      <c r="V1305" s="46" t="b">
        <v>1</v>
      </c>
      <c r="W1305" s="46">
        <v>0.95</v>
      </c>
      <c r="X1305" s="46">
        <v>0.0</v>
      </c>
      <c r="Y1305" s="46">
        <v>1.25650817614451</v>
      </c>
      <c r="Z1305" s="46" t="b">
        <v>1</v>
      </c>
      <c r="AA1305" s="46" t="b">
        <v>1</v>
      </c>
    </row>
    <row r="1306">
      <c r="A1306" s="157" t="s">
        <v>565</v>
      </c>
      <c r="B1306" s="158">
        <v>4.0</v>
      </c>
      <c r="C1306" s="157" t="s">
        <v>1092</v>
      </c>
      <c r="D1306" s="157" t="s">
        <v>2307</v>
      </c>
      <c r="E1306" s="157" t="s">
        <v>2308</v>
      </c>
      <c r="F1306" s="157" t="s">
        <v>4072</v>
      </c>
      <c r="G1306" s="157" t="s">
        <v>4073</v>
      </c>
      <c r="H1306" s="157"/>
      <c r="I1306" s="158">
        <v>17.43183152</v>
      </c>
      <c r="J1306" s="158">
        <v>49.44981568</v>
      </c>
      <c r="K1306" s="157" t="s">
        <v>3496</v>
      </c>
      <c r="L1306" s="157" t="s">
        <v>648</v>
      </c>
      <c r="M1306" s="158">
        <v>2020.0</v>
      </c>
      <c r="N1306" s="157" t="s">
        <v>201</v>
      </c>
      <c r="O1306" s="157" t="s">
        <v>1098</v>
      </c>
      <c r="P1306" s="161" t="b">
        <v>1</v>
      </c>
      <c r="Q1306" s="158">
        <v>0.103263</v>
      </c>
      <c r="R1306" s="158">
        <v>0.0</v>
      </c>
      <c r="S1306" s="158">
        <v>0.103263</v>
      </c>
      <c r="T1306" s="157" t="s">
        <v>201</v>
      </c>
      <c r="U1306" s="46" t="s">
        <v>651</v>
      </c>
      <c r="V1306" s="46" t="b">
        <v>1</v>
      </c>
      <c r="W1306" s="46">
        <v>0.95</v>
      </c>
      <c r="X1306" s="46">
        <v>0.0</v>
      </c>
      <c r="Y1306" s="46" t="s">
        <v>640</v>
      </c>
      <c r="Z1306" s="46" t="b">
        <v>0</v>
      </c>
      <c r="AA1306" s="46" t="b">
        <v>0</v>
      </c>
    </row>
    <row r="1307">
      <c r="A1307" s="157" t="s">
        <v>565</v>
      </c>
      <c r="B1307" s="158">
        <v>4.0</v>
      </c>
      <c r="C1307" s="157" t="s">
        <v>1092</v>
      </c>
      <c r="D1307" s="157" t="s">
        <v>2307</v>
      </c>
      <c r="E1307" s="157" t="s">
        <v>2308</v>
      </c>
      <c r="F1307" s="157" t="s">
        <v>4074</v>
      </c>
      <c r="G1307" s="157" t="s">
        <v>4075</v>
      </c>
      <c r="H1307" s="157"/>
      <c r="I1307" s="158">
        <v>17.95567516</v>
      </c>
      <c r="J1307" s="158">
        <v>49.50139807</v>
      </c>
      <c r="K1307" s="157" t="s">
        <v>4076</v>
      </c>
      <c r="L1307" s="157" t="s">
        <v>648</v>
      </c>
      <c r="M1307" s="158">
        <v>2020.0</v>
      </c>
      <c r="N1307" s="157" t="s">
        <v>201</v>
      </c>
      <c r="O1307" s="157" t="s">
        <v>1098</v>
      </c>
      <c r="P1307" s="161" t="b">
        <v>1</v>
      </c>
      <c r="Q1307" s="158">
        <v>0.068537</v>
      </c>
      <c r="R1307" s="158">
        <v>0.0</v>
      </c>
      <c r="S1307" s="158">
        <v>0.068537</v>
      </c>
      <c r="T1307" s="157" t="s">
        <v>201</v>
      </c>
      <c r="U1307" s="46" t="s">
        <v>651</v>
      </c>
      <c r="V1307" s="46" t="b">
        <v>0</v>
      </c>
      <c r="W1307" s="46">
        <v>0.95</v>
      </c>
      <c r="X1307" s="46">
        <v>0.0</v>
      </c>
      <c r="Y1307" s="46" t="s">
        <v>640</v>
      </c>
      <c r="Z1307" s="46" t="b">
        <v>0</v>
      </c>
      <c r="AA1307" s="46" t="b">
        <v>0</v>
      </c>
    </row>
    <row r="1308">
      <c r="A1308" s="157" t="s">
        <v>568</v>
      </c>
      <c r="B1308" s="158">
        <v>4.0</v>
      </c>
      <c r="C1308" s="157" t="s">
        <v>1092</v>
      </c>
      <c r="D1308" s="157" t="s">
        <v>1912</v>
      </c>
      <c r="E1308" s="157" t="s">
        <v>1913</v>
      </c>
      <c r="F1308" s="157" t="s">
        <v>4077</v>
      </c>
      <c r="G1308" s="157" t="s">
        <v>4078</v>
      </c>
      <c r="H1308" s="157"/>
      <c r="I1308" s="158">
        <v>12.0553223346468</v>
      </c>
      <c r="J1308" s="158">
        <v>55.8524389714379</v>
      </c>
      <c r="K1308" s="157" t="s">
        <v>4079</v>
      </c>
      <c r="L1308" s="157" t="s">
        <v>648</v>
      </c>
      <c r="M1308" s="158">
        <v>2022.0</v>
      </c>
      <c r="N1308" s="157" t="s">
        <v>201</v>
      </c>
      <c r="O1308" s="157" t="s">
        <v>1098</v>
      </c>
      <c r="P1308" s="161" t="b">
        <v>1</v>
      </c>
      <c r="Q1308" s="158">
        <v>0.0386456</v>
      </c>
      <c r="R1308" s="158">
        <v>0.0</v>
      </c>
      <c r="S1308" s="158">
        <v>0.0386456</v>
      </c>
      <c r="T1308" s="157" t="s">
        <v>201</v>
      </c>
      <c r="U1308" s="46" t="s">
        <v>651</v>
      </c>
      <c r="V1308" s="46" t="b">
        <v>0</v>
      </c>
      <c r="W1308" s="46">
        <v>0.95</v>
      </c>
      <c r="X1308" s="46">
        <v>0.0</v>
      </c>
      <c r="Y1308" s="46">
        <v>27.8945059430343</v>
      </c>
      <c r="Z1308" s="46" t="b">
        <v>1</v>
      </c>
      <c r="AA1308" s="46" t="b">
        <v>1</v>
      </c>
    </row>
    <row r="1309">
      <c r="A1309" s="157" t="s">
        <v>557</v>
      </c>
      <c r="B1309" s="158">
        <v>4.0</v>
      </c>
      <c r="C1309" s="157" t="s">
        <v>1092</v>
      </c>
      <c r="D1309" s="157" t="s">
        <v>2307</v>
      </c>
      <c r="E1309" s="157" t="s">
        <v>2308</v>
      </c>
      <c r="F1309" s="162" t="s">
        <v>4080</v>
      </c>
      <c r="G1309" s="157" t="s">
        <v>4081</v>
      </c>
      <c r="H1309" s="157"/>
      <c r="I1309" s="158">
        <v>8.22749681415228</v>
      </c>
      <c r="J1309" s="158">
        <v>52.9561964039116</v>
      </c>
      <c r="K1309" s="157" t="s">
        <v>4082</v>
      </c>
      <c r="L1309" s="157" t="s">
        <v>648</v>
      </c>
      <c r="M1309" s="158">
        <v>2022.0</v>
      </c>
      <c r="N1309" s="157" t="s">
        <v>201</v>
      </c>
      <c r="O1309" s="157" t="s">
        <v>1098</v>
      </c>
      <c r="P1309" s="161" t="b">
        <v>1</v>
      </c>
      <c r="Q1309" s="158">
        <v>0.641</v>
      </c>
      <c r="R1309" s="158">
        <v>0.0</v>
      </c>
      <c r="S1309" s="158">
        <v>0.641</v>
      </c>
      <c r="T1309" s="157" t="s">
        <v>201</v>
      </c>
      <c r="U1309" s="46" t="s">
        <v>651</v>
      </c>
      <c r="V1309" s="46" t="b">
        <v>1</v>
      </c>
      <c r="W1309" s="46">
        <v>0.95</v>
      </c>
      <c r="X1309" s="46">
        <v>0.0</v>
      </c>
      <c r="Y1309" s="46">
        <v>19.3070033512793</v>
      </c>
      <c r="Z1309" s="46" t="b">
        <v>1</v>
      </c>
      <c r="AA1309" s="46" t="b">
        <v>1</v>
      </c>
    </row>
    <row r="1310">
      <c r="A1310" s="157" t="s">
        <v>557</v>
      </c>
      <c r="B1310" s="158">
        <v>4.0</v>
      </c>
      <c r="C1310" s="157" t="s">
        <v>1092</v>
      </c>
      <c r="D1310" s="157" t="s">
        <v>2307</v>
      </c>
      <c r="E1310" s="157" t="s">
        <v>2308</v>
      </c>
      <c r="F1310" s="162" t="s">
        <v>4083</v>
      </c>
      <c r="G1310" s="157" t="s">
        <v>4084</v>
      </c>
      <c r="H1310" s="157"/>
      <c r="I1310" s="158">
        <v>9.497936443</v>
      </c>
      <c r="J1310" s="158">
        <v>53.6442938587031</v>
      </c>
      <c r="K1310" s="157" t="s">
        <v>4054</v>
      </c>
      <c r="L1310" s="157" t="s">
        <v>648</v>
      </c>
      <c r="M1310" s="158">
        <v>2022.0</v>
      </c>
      <c r="N1310" s="157" t="s">
        <v>201</v>
      </c>
      <c r="O1310" s="157" t="s">
        <v>1098</v>
      </c>
      <c r="P1310" s="161" t="b">
        <v>1</v>
      </c>
      <c r="Q1310" s="158">
        <v>0.354</v>
      </c>
      <c r="R1310" s="158">
        <v>0.0</v>
      </c>
      <c r="S1310" s="158">
        <v>0.354</v>
      </c>
      <c r="T1310" s="157" t="s">
        <v>201</v>
      </c>
      <c r="U1310" s="46" t="s">
        <v>651</v>
      </c>
      <c r="V1310" s="46" t="b">
        <v>1</v>
      </c>
      <c r="W1310" s="46">
        <v>0.95</v>
      </c>
      <c r="X1310" s="46">
        <v>0.0</v>
      </c>
      <c r="Y1310" s="46">
        <v>14.3218198971515</v>
      </c>
      <c r="Z1310" s="46" t="b">
        <v>1</v>
      </c>
      <c r="AA1310" s="46" t="b">
        <v>1</v>
      </c>
    </row>
    <row r="1311">
      <c r="A1311" s="157" t="s">
        <v>557</v>
      </c>
      <c r="B1311" s="158">
        <v>4.0</v>
      </c>
      <c r="C1311" s="157" t="s">
        <v>1092</v>
      </c>
      <c r="D1311" s="157" t="s">
        <v>1093</v>
      </c>
      <c r="E1311" s="157" t="s">
        <v>1094</v>
      </c>
      <c r="F1311" s="162" t="s">
        <v>4085</v>
      </c>
      <c r="G1311" s="157" t="s">
        <v>4086</v>
      </c>
      <c r="H1311" s="157"/>
      <c r="I1311" s="158">
        <v>7.43914792319829</v>
      </c>
      <c r="J1311" s="158">
        <v>51.5451133926918</v>
      </c>
      <c r="K1311" s="157" t="s">
        <v>4087</v>
      </c>
      <c r="L1311" s="157" t="s">
        <v>648</v>
      </c>
      <c r="M1311" s="158">
        <v>2022.0</v>
      </c>
      <c r="N1311" s="157" t="s">
        <v>201</v>
      </c>
      <c r="O1311" s="157" t="s">
        <v>1098</v>
      </c>
      <c r="P1311" s="161" t="b">
        <v>1</v>
      </c>
      <c r="Q1311" s="158">
        <v>0.3</v>
      </c>
      <c r="R1311" s="158">
        <v>0.0</v>
      </c>
      <c r="S1311" s="158">
        <v>0.3</v>
      </c>
      <c r="T1311" s="157" t="s">
        <v>201</v>
      </c>
      <c r="U1311" s="46" t="s">
        <v>651</v>
      </c>
      <c r="V1311" s="46" t="b">
        <v>1</v>
      </c>
      <c r="W1311" s="46">
        <v>0.95</v>
      </c>
      <c r="X1311" s="46">
        <v>0.0</v>
      </c>
      <c r="Y1311" s="46">
        <v>2.1979273701864</v>
      </c>
      <c r="Z1311" s="46" t="b">
        <v>1</v>
      </c>
      <c r="AA1311" s="46" t="b">
        <v>1</v>
      </c>
    </row>
    <row r="1312">
      <c r="A1312" s="157" t="s">
        <v>557</v>
      </c>
      <c r="B1312" s="158">
        <v>4.0</v>
      </c>
      <c r="C1312" s="157" t="s">
        <v>1092</v>
      </c>
      <c r="D1312" s="157" t="s">
        <v>1093</v>
      </c>
      <c r="E1312" s="157" t="s">
        <v>1094</v>
      </c>
      <c r="F1312" s="162" t="s">
        <v>4088</v>
      </c>
      <c r="G1312" s="157" t="s">
        <v>4089</v>
      </c>
      <c r="H1312" s="157"/>
      <c r="I1312" s="158">
        <v>6.91846142619725</v>
      </c>
      <c r="J1312" s="158">
        <v>50.8735010569465</v>
      </c>
      <c r="K1312" s="157" t="s">
        <v>4090</v>
      </c>
      <c r="L1312" s="157" t="s">
        <v>648</v>
      </c>
      <c r="M1312" s="158">
        <v>2022.0</v>
      </c>
      <c r="N1312" s="157" t="s">
        <v>201</v>
      </c>
      <c r="O1312" s="157" t="s">
        <v>1098</v>
      </c>
      <c r="P1312" s="161" t="b">
        <v>1</v>
      </c>
      <c r="Q1312" s="158">
        <v>0.291</v>
      </c>
      <c r="R1312" s="158">
        <v>0.0</v>
      </c>
      <c r="S1312" s="158">
        <v>0.291</v>
      </c>
      <c r="T1312" s="157" t="s">
        <v>201</v>
      </c>
      <c r="U1312" s="46" t="s">
        <v>651</v>
      </c>
      <c r="V1312" s="46" t="b">
        <v>1</v>
      </c>
      <c r="W1312" s="46">
        <v>0.95</v>
      </c>
      <c r="X1312" s="46">
        <v>0.0</v>
      </c>
      <c r="Y1312" s="46">
        <v>1.50052783762096</v>
      </c>
      <c r="Z1312" s="46" t="b">
        <v>1</v>
      </c>
      <c r="AA1312" s="46" t="b">
        <v>1</v>
      </c>
    </row>
    <row r="1313">
      <c r="A1313" s="157" t="s">
        <v>557</v>
      </c>
      <c r="B1313" s="158">
        <v>4.0</v>
      </c>
      <c r="C1313" s="157" t="s">
        <v>1092</v>
      </c>
      <c r="D1313" s="157" t="s">
        <v>1093</v>
      </c>
      <c r="E1313" s="157" t="s">
        <v>1094</v>
      </c>
      <c r="F1313" s="162" t="s">
        <v>4091</v>
      </c>
      <c r="G1313" s="157" t="s">
        <v>4092</v>
      </c>
      <c r="H1313" s="157"/>
      <c r="I1313" s="158">
        <v>6.6666520565427</v>
      </c>
      <c r="J1313" s="158">
        <v>50.9459336278584</v>
      </c>
      <c r="K1313" s="157" t="s">
        <v>3787</v>
      </c>
      <c r="L1313" s="157" t="s">
        <v>648</v>
      </c>
      <c r="M1313" s="158">
        <v>2022.0</v>
      </c>
      <c r="N1313" s="157" t="s">
        <v>201</v>
      </c>
      <c r="O1313" s="157" t="s">
        <v>1098</v>
      </c>
      <c r="P1313" s="161" t="b">
        <v>1</v>
      </c>
      <c r="Q1313" s="158">
        <v>0.247</v>
      </c>
      <c r="R1313" s="158">
        <v>0.0</v>
      </c>
      <c r="S1313" s="158">
        <v>0.247</v>
      </c>
      <c r="T1313" s="157" t="s">
        <v>201</v>
      </c>
      <c r="U1313" s="46" t="s">
        <v>651</v>
      </c>
      <c r="V1313" s="46" t="b">
        <v>1</v>
      </c>
      <c r="W1313" s="46">
        <v>0.95</v>
      </c>
      <c r="X1313" s="46">
        <v>0.0</v>
      </c>
      <c r="Y1313" s="46">
        <v>6.84332903189121</v>
      </c>
      <c r="Z1313" s="46" t="b">
        <v>1</v>
      </c>
      <c r="AA1313" s="46" t="b">
        <v>1</v>
      </c>
    </row>
    <row r="1314">
      <c r="A1314" s="157" t="s">
        <v>557</v>
      </c>
      <c r="B1314" s="158">
        <v>4.0</v>
      </c>
      <c r="C1314" s="157" t="s">
        <v>1092</v>
      </c>
      <c r="D1314" s="157" t="s">
        <v>1093</v>
      </c>
      <c r="E1314" s="157" t="s">
        <v>1094</v>
      </c>
      <c r="F1314" s="162" t="s">
        <v>4093</v>
      </c>
      <c r="G1314" s="157" t="s">
        <v>4094</v>
      </c>
      <c r="H1314" s="157"/>
      <c r="I1314" s="158">
        <v>6.70523734954119</v>
      </c>
      <c r="J1314" s="158">
        <v>51.4395287682031</v>
      </c>
      <c r="K1314" s="157" t="s">
        <v>3805</v>
      </c>
      <c r="L1314" s="157" t="s">
        <v>648</v>
      </c>
      <c r="M1314" s="158">
        <v>2022.0</v>
      </c>
      <c r="N1314" s="157" t="s">
        <v>201</v>
      </c>
      <c r="O1314" s="157" t="s">
        <v>1098</v>
      </c>
      <c r="P1314" s="161" t="b">
        <v>1</v>
      </c>
      <c r="Q1314" s="158">
        <v>0.167</v>
      </c>
      <c r="R1314" s="158">
        <v>0.0</v>
      </c>
      <c r="S1314" s="158">
        <v>0.167</v>
      </c>
      <c r="T1314" s="157" t="s">
        <v>201</v>
      </c>
      <c r="U1314" s="46" t="s">
        <v>651</v>
      </c>
      <c r="V1314" s="46" t="b">
        <v>1</v>
      </c>
      <c r="W1314" s="46">
        <v>0.95</v>
      </c>
      <c r="X1314" s="46">
        <v>0.0</v>
      </c>
      <c r="Y1314" s="46">
        <v>2.52372525179202</v>
      </c>
      <c r="Z1314" s="46" t="b">
        <v>1</v>
      </c>
      <c r="AA1314" s="46" t="b">
        <v>1</v>
      </c>
    </row>
    <row r="1315">
      <c r="A1315" s="157" t="s">
        <v>557</v>
      </c>
      <c r="B1315" s="158">
        <v>4.0</v>
      </c>
      <c r="C1315" s="157" t="s">
        <v>1092</v>
      </c>
      <c r="D1315" s="157" t="s">
        <v>1093</v>
      </c>
      <c r="E1315" s="157" t="s">
        <v>1094</v>
      </c>
      <c r="F1315" s="162" t="s">
        <v>4095</v>
      </c>
      <c r="G1315" s="157" t="s">
        <v>4096</v>
      </c>
      <c r="H1315" s="157"/>
      <c r="I1315" s="158">
        <v>6.6623845315366</v>
      </c>
      <c r="J1315" s="158">
        <v>51.3681904153108</v>
      </c>
      <c r="K1315" s="157" t="s">
        <v>3933</v>
      </c>
      <c r="L1315" s="157" t="s">
        <v>648</v>
      </c>
      <c r="M1315" s="158">
        <v>2022.0</v>
      </c>
      <c r="N1315" s="157" t="s">
        <v>201</v>
      </c>
      <c r="O1315" s="157" t="s">
        <v>1098</v>
      </c>
      <c r="P1315" s="161" t="b">
        <v>1</v>
      </c>
      <c r="Q1315" s="158">
        <v>0.167</v>
      </c>
      <c r="R1315" s="158">
        <v>0.0</v>
      </c>
      <c r="S1315" s="158">
        <v>0.167</v>
      </c>
      <c r="T1315" s="157" t="s">
        <v>201</v>
      </c>
      <c r="U1315" s="46" t="s">
        <v>651</v>
      </c>
      <c r="V1315" s="46" t="b">
        <v>1</v>
      </c>
      <c r="W1315" s="46">
        <v>0.95</v>
      </c>
      <c r="X1315" s="46">
        <v>0.0</v>
      </c>
      <c r="Y1315" s="46">
        <v>4.34482768063375</v>
      </c>
      <c r="Z1315" s="46" t="b">
        <v>1</v>
      </c>
      <c r="AA1315" s="46" t="b">
        <v>1</v>
      </c>
    </row>
    <row r="1316">
      <c r="A1316" s="157" t="s">
        <v>557</v>
      </c>
      <c r="B1316" s="158">
        <v>4.0</v>
      </c>
      <c r="C1316" s="157" t="s">
        <v>1092</v>
      </c>
      <c r="D1316" s="157" t="s">
        <v>1912</v>
      </c>
      <c r="E1316" s="157" t="s">
        <v>1913</v>
      </c>
      <c r="F1316" s="162" t="s">
        <v>4097</v>
      </c>
      <c r="G1316" s="157" t="s">
        <v>4098</v>
      </c>
      <c r="H1316" s="157"/>
      <c r="I1316" s="158">
        <v>7.31614847722135</v>
      </c>
      <c r="J1316" s="158">
        <v>50.511210221532</v>
      </c>
      <c r="K1316" s="157" t="s">
        <v>4099</v>
      </c>
      <c r="L1316" s="157" t="s">
        <v>648</v>
      </c>
      <c r="M1316" s="158">
        <v>2022.0</v>
      </c>
      <c r="N1316" s="157" t="s">
        <v>201</v>
      </c>
      <c r="O1316" s="157" t="s">
        <v>1098</v>
      </c>
      <c r="P1316" s="161" t="b">
        <v>1</v>
      </c>
      <c r="Q1316" s="158">
        <v>0.143</v>
      </c>
      <c r="R1316" s="158">
        <v>0.0</v>
      </c>
      <c r="S1316" s="158">
        <v>0.143</v>
      </c>
      <c r="T1316" s="157" t="s">
        <v>201</v>
      </c>
      <c r="U1316" s="46" t="s">
        <v>651</v>
      </c>
      <c r="V1316" s="46" t="b">
        <v>1</v>
      </c>
      <c r="W1316" s="46">
        <v>0.95</v>
      </c>
      <c r="X1316" s="46">
        <v>0.0</v>
      </c>
      <c r="Y1316" s="46">
        <v>9.61046388755633</v>
      </c>
      <c r="Z1316" s="46" t="b">
        <v>1</v>
      </c>
      <c r="AA1316" s="46" t="b">
        <v>1</v>
      </c>
    </row>
    <row r="1317">
      <c r="A1317" s="157" t="s">
        <v>557</v>
      </c>
      <c r="B1317" s="158">
        <v>4.0</v>
      </c>
      <c r="C1317" s="157" t="s">
        <v>1092</v>
      </c>
      <c r="D1317" s="157" t="s">
        <v>1912</v>
      </c>
      <c r="E1317" s="157" t="s">
        <v>1913</v>
      </c>
      <c r="F1317" s="162" t="s">
        <v>4100</v>
      </c>
      <c r="G1317" s="157" t="s">
        <v>4101</v>
      </c>
      <c r="H1317" s="157"/>
      <c r="I1317" s="158">
        <v>11.5760525585048</v>
      </c>
      <c r="J1317" s="158">
        <v>51.8646815445216</v>
      </c>
      <c r="K1317" s="157" t="s">
        <v>4102</v>
      </c>
      <c r="L1317" s="157" t="s">
        <v>648</v>
      </c>
      <c r="M1317" s="158">
        <v>2022.0</v>
      </c>
      <c r="N1317" s="157" t="s">
        <v>201</v>
      </c>
      <c r="O1317" s="157" t="s">
        <v>1098</v>
      </c>
      <c r="P1317" s="161" t="b">
        <v>1</v>
      </c>
      <c r="Q1317" s="158">
        <v>0.127</v>
      </c>
      <c r="R1317" s="158">
        <v>0.0</v>
      </c>
      <c r="S1317" s="158">
        <v>0.127</v>
      </c>
      <c r="T1317" s="157" t="s">
        <v>201</v>
      </c>
      <c r="U1317" s="46" t="s">
        <v>651</v>
      </c>
      <c r="V1317" s="46" t="b">
        <v>1</v>
      </c>
      <c r="W1317" s="46">
        <v>0.95</v>
      </c>
      <c r="X1317" s="46">
        <v>0.0</v>
      </c>
      <c r="Y1317" s="46">
        <v>6.82342127598161</v>
      </c>
      <c r="Z1317" s="46" t="b">
        <v>1</v>
      </c>
      <c r="AA1317" s="46" t="b">
        <v>1</v>
      </c>
    </row>
    <row r="1318">
      <c r="A1318" s="157" t="s">
        <v>557</v>
      </c>
      <c r="B1318" s="158">
        <v>4.0</v>
      </c>
      <c r="C1318" s="157" t="s">
        <v>1092</v>
      </c>
      <c r="D1318" s="157" t="s">
        <v>2307</v>
      </c>
      <c r="E1318" s="157" t="s">
        <v>2308</v>
      </c>
      <c r="F1318" s="162" t="s">
        <v>4103</v>
      </c>
      <c r="G1318" s="157" t="s">
        <v>4104</v>
      </c>
      <c r="H1318" s="157"/>
      <c r="I1318" s="158">
        <v>8.35773224729081</v>
      </c>
      <c r="J1318" s="158">
        <v>49.6632552481938</v>
      </c>
      <c r="K1318" s="157" t="s">
        <v>4105</v>
      </c>
      <c r="L1318" s="157" t="s">
        <v>648</v>
      </c>
      <c r="M1318" s="158">
        <v>2022.0</v>
      </c>
      <c r="N1318" s="157" t="s">
        <v>201</v>
      </c>
      <c r="O1318" s="157" t="s">
        <v>1098</v>
      </c>
      <c r="P1318" s="161" t="b">
        <v>1</v>
      </c>
      <c r="Q1318" s="158">
        <v>0.123</v>
      </c>
      <c r="R1318" s="158">
        <v>0.0</v>
      </c>
      <c r="S1318" s="158">
        <v>0.123</v>
      </c>
      <c r="T1318" s="157" t="s">
        <v>201</v>
      </c>
      <c r="U1318" s="46" t="s">
        <v>651</v>
      </c>
      <c r="V1318" s="46" t="b">
        <v>1</v>
      </c>
      <c r="W1318" s="46">
        <v>0.95</v>
      </c>
      <c r="X1318" s="46">
        <v>0.0</v>
      </c>
      <c r="Y1318" s="46">
        <v>3.7636708220052</v>
      </c>
      <c r="Z1318" s="46" t="b">
        <v>1</v>
      </c>
      <c r="AA1318" s="46" t="b">
        <v>1</v>
      </c>
    </row>
    <row r="1319">
      <c r="A1319" s="157" t="s">
        <v>557</v>
      </c>
      <c r="B1319" s="158">
        <v>4.0</v>
      </c>
      <c r="C1319" s="157" t="s">
        <v>1092</v>
      </c>
      <c r="D1319" s="157" t="s">
        <v>2307</v>
      </c>
      <c r="E1319" s="157" t="s">
        <v>2308</v>
      </c>
      <c r="F1319" s="162" t="s">
        <v>4106</v>
      </c>
      <c r="G1319" s="157" t="s">
        <v>4107</v>
      </c>
      <c r="H1319" s="157"/>
      <c r="I1319" s="158">
        <v>8.54674104451135</v>
      </c>
      <c r="J1319" s="158">
        <v>53.5306843650464</v>
      </c>
      <c r="K1319" s="157" t="s">
        <v>4108</v>
      </c>
      <c r="L1319" s="157" t="s">
        <v>648</v>
      </c>
      <c r="M1319" s="158">
        <v>2022.0</v>
      </c>
      <c r="N1319" s="157" t="s">
        <v>201</v>
      </c>
      <c r="O1319" s="157" t="s">
        <v>1098</v>
      </c>
      <c r="P1319" s="161" t="b">
        <v>1</v>
      </c>
      <c r="Q1319" s="158">
        <v>0.107</v>
      </c>
      <c r="R1319" s="158">
        <v>0.0</v>
      </c>
      <c r="S1319" s="158">
        <v>0.107</v>
      </c>
      <c r="T1319" s="157" t="s">
        <v>201</v>
      </c>
      <c r="U1319" s="46" t="s">
        <v>651</v>
      </c>
      <c r="V1319" s="46" t="b">
        <v>1</v>
      </c>
      <c r="W1319" s="46">
        <v>0.95</v>
      </c>
      <c r="X1319" s="46">
        <v>0.0</v>
      </c>
      <c r="Y1319" s="46">
        <v>23.0583055124732</v>
      </c>
      <c r="Z1319" s="46" t="b">
        <v>1</v>
      </c>
      <c r="AA1319" s="46" t="b">
        <v>1</v>
      </c>
    </row>
    <row r="1320">
      <c r="A1320" s="157" t="s">
        <v>583</v>
      </c>
      <c r="B1320" s="158">
        <v>4.0</v>
      </c>
      <c r="C1320" s="157" t="s">
        <v>1092</v>
      </c>
      <c r="D1320" s="157" t="s">
        <v>2307</v>
      </c>
      <c r="E1320" s="157" t="s">
        <v>2308</v>
      </c>
      <c r="F1320" s="157" t="s">
        <v>4109</v>
      </c>
      <c r="G1320" s="157" t="s">
        <v>4110</v>
      </c>
      <c r="H1320" s="157"/>
      <c r="I1320" s="158">
        <v>-9.059835</v>
      </c>
      <c r="J1320" s="158">
        <v>52.624625</v>
      </c>
      <c r="K1320" s="157" t="s">
        <v>3731</v>
      </c>
      <c r="L1320" s="157" t="s">
        <v>648</v>
      </c>
      <c r="M1320" s="158">
        <v>2022.0</v>
      </c>
      <c r="N1320" s="157" t="s">
        <v>201</v>
      </c>
      <c r="O1320" s="157" t="s">
        <v>1098</v>
      </c>
      <c r="P1320" s="161" t="b">
        <v>1</v>
      </c>
      <c r="Q1320" s="158">
        <v>1.093446861</v>
      </c>
      <c r="R1320" s="158">
        <v>0.0</v>
      </c>
      <c r="S1320" s="158">
        <v>1.093446861</v>
      </c>
      <c r="T1320" s="157" t="s">
        <v>201</v>
      </c>
      <c r="U1320" s="46" t="s">
        <v>651</v>
      </c>
      <c r="V1320" s="46" t="b">
        <v>1</v>
      </c>
      <c r="W1320" s="46">
        <v>0.95</v>
      </c>
      <c r="X1320" s="46">
        <v>0.0</v>
      </c>
      <c r="Y1320" s="46" t="s">
        <v>640</v>
      </c>
      <c r="Z1320" s="46" t="b">
        <v>0</v>
      </c>
      <c r="AA1320" s="46" t="b">
        <v>0</v>
      </c>
    </row>
    <row r="1321">
      <c r="A1321" s="157" t="s">
        <v>570</v>
      </c>
      <c r="B1321" s="158">
        <v>4.0</v>
      </c>
      <c r="C1321" s="157" t="s">
        <v>1092</v>
      </c>
      <c r="D1321" s="157" t="s">
        <v>1093</v>
      </c>
      <c r="E1321" s="157" t="s">
        <v>1094</v>
      </c>
      <c r="F1321" s="157" t="s">
        <v>4111</v>
      </c>
      <c r="G1321" s="157" t="s">
        <v>4112</v>
      </c>
      <c r="H1321" s="157"/>
      <c r="I1321" s="158">
        <v>4.25626</v>
      </c>
      <c r="J1321" s="158">
        <v>51.88525</v>
      </c>
      <c r="K1321" s="157" t="s">
        <v>4113</v>
      </c>
      <c r="L1321" s="157" t="s">
        <v>648</v>
      </c>
      <c r="M1321" s="158">
        <v>2022.0</v>
      </c>
      <c r="N1321" s="157" t="s">
        <v>201</v>
      </c>
      <c r="O1321" s="157" t="s">
        <v>1098</v>
      </c>
      <c r="P1321" s="161" t="b">
        <v>1</v>
      </c>
      <c r="Q1321" s="158">
        <v>0.6</v>
      </c>
      <c r="R1321" s="158">
        <v>0.0</v>
      </c>
      <c r="S1321" s="158">
        <v>0.6</v>
      </c>
      <c r="T1321" s="157" t="s">
        <v>201</v>
      </c>
      <c r="U1321" s="46" t="s">
        <v>651</v>
      </c>
      <c r="V1321" s="46" t="b">
        <v>1</v>
      </c>
      <c r="W1321" s="46">
        <v>0.95</v>
      </c>
      <c r="X1321" s="46">
        <v>0.0</v>
      </c>
      <c r="Y1321" s="46">
        <v>0.793429703873845</v>
      </c>
      <c r="Z1321" s="46" t="b">
        <v>1</v>
      </c>
      <c r="AA1321" s="46" t="b">
        <v>1</v>
      </c>
    </row>
    <row r="1322">
      <c r="A1322" s="157" t="s">
        <v>570</v>
      </c>
      <c r="B1322" s="158">
        <v>4.0</v>
      </c>
      <c r="C1322" s="157" t="s">
        <v>1092</v>
      </c>
      <c r="D1322" s="157" t="s">
        <v>1093</v>
      </c>
      <c r="E1322" s="157" t="s">
        <v>1094</v>
      </c>
      <c r="F1322" s="157" t="s">
        <v>4114</v>
      </c>
      <c r="G1322" s="157" t="s">
        <v>4115</v>
      </c>
      <c r="H1322" s="157"/>
      <c r="I1322" s="158">
        <v>4.28743</v>
      </c>
      <c r="J1322" s="158">
        <v>51.87</v>
      </c>
      <c r="K1322" s="157" t="s">
        <v>4113</v>
      </c>
      <c r="L1322" s="157" t="s">
        <v>648</v>
      </c>
      <c r="M1322" s="158">
        <v>2022.0</v>
      </c>
      <c r="N1322" s="157" t="s">
        <v>201</v>
      </c>
      <c r="O1322" s="157" t="s">
        <v>1098</v>
      </c>
      <c r="P1322" s="161" t="b">
        <v>1</v>
      </c>
      <c r="Q1322" s="158">
        <v>0.502</v>
      </c>
      <c r="R1322" s="158">
        <v>0.0</v>
      </c>
      <c r="S1322" s="158">
        <v>0.502</v>
      </c>
      <c r="T1322" s="157" t="s">
        <v>201</v>
      </c>
      <c r="U1322" s="46" t="s">
        <v>651</v>
      </c>
      <c r="V1322" s="46" t="b">
        <v>1</v>
      </c>
      <c r="W1322" s="46">
        <v>0.95</v>
      </c>
      <c r="X1322" s="46">
        <v>0.0</v>
      </c>
      <c r="Y1322" s="46">
        <v>1.9159226334877</v>
      </c>
      <c r="Z1322" s="46" t="b">
        <v>1</v>
      </c>
      <c r="AA1322" s="46" t="b">
        <v>1</v>
      </c>
    </row>
    <row r="1323">
      <c r="A1323" s="157" t="s">
        <v>570</v>
      </c>
      <c r="B1323" s="158">
        <v>4.0</v>
      </c>
      <c r="C1323" s="157" t="s">
        <v>1092</v>
      </c>
      <c r="D1323" s="157" t="s">
        <v>1093</v>
      </c>
      <c r="E1323" s="157" t="s">
        <v>1094</v>
      </c>
      <c r="F1323" s="157" t="s">
        <v>4116</v>
      </c>
      <c r="G1323" s="157" t="s">
        <v>4117</v>
      </c>
      <c r="H1323" s="157"/>
      <c r="I1323" s="158">
        <v>4.26431</v>
      </c>
      <c r="J1323" s="158">
        <v>51.89142</v>
      </c>
      <c r="K1323" s="157" t="s">
        <v>4113</v>
      </c>
      <c r="L1323" s="157" t="s">
        <v>648</v>
      </c>
      <c r="M1323" s="158">
        <v>2022.0</v>
      </c>
      <c r="N1323" s="157" t="s">
        <v>201</v>
      </c>
      <c r="O1323" s="157" t="s">
        <v>1098</v>
      </c>
      <c r="P1323" s="161" t="b">
        <v>1</v>
      </c>
      <c r="Q1323" s="158">
        <v>0.204</v>
      </c>
      <c r="R1323" s="158">
        <v>0.0</v>
      </c>
      <c r="S1323" s="158">
        <v>0.204</v>
      </c>
      <c r="T1323" s="157" t="s">
        <v>201</v>
      </c>
      <c r="U1323" s="46" t="s">
        <v>651</v>
      </c>
      <c r="V1323" s="46" t="b">
        <v>1</v>
      </c>
      <c r="W1323" s="46">
        <v>0.95</v>
      </c>
      <c r="X1323" s="46">
        <v>0.0</v>
      </c>
      <c r="Y1323" s="46">
        <v>1.60150922366687</v>
      </c>
      <c r="Z1323" s="46" t="b">
        <v>1</v>
      </c>
      <c r="AA1323" s="46" t="b">
        <v>1</v>
      </c>
    </row>
    <row r="1324">
      <c r="A1324" s="157" t="s">
        <v>570</v>
      </c>
      <c r="B1324" s="158">
        <v>4.0</v>
      </c>
      <c r="C1324" s="157" t="s">
        <v>1092</v>
      </c>
      <c r="D1324" s="157" t="s">
        <v>1093</v>
      </c>
      <c r="E1324" s="157" t="s">
        <v>1094</v>
      </c>
      <c r="F1324" s="157" t="s">
        <v>4118</v>
      </c>
      <c r="G1324" s="157" t="s">
        <v>4119</v>
      </c>
      <c r="H1324" s="157"/>
      <c r="I1324" s="158">
        <v>4.27863</v>
      </c>
      <c r="J1324" s="158">
        <v>51.874</v>
      </c>
      <c r="K1324" s="157" t="s">
        <v>4113</v>
      </c>
      <c r="L1324" s="157" t="s">
        <v>648</v>
      </c>
      <c r="M1324" s="158">
        <v>2022.0</v>
      </c>
      <c r="N1324" s="157" t="s">
        <v>201</v>
      </c>
      <c r="O1324" s="157" t="s">
        <v>1098</v>
      </c>
      <c r="P1324" s="161" t="b">
        <v>1</v>
      </c>
      <c r="Q1324" s="158">
        <v>0.128</v>
      </c>
      <c r="R1324" s="158">
        <v>0.0</v>
      </c>
      <c r="S1324" s="158">
        <v>0.128</v>
      </c>
      <c r="T1324" s="157" t="s">
        <v>201</v>
      </c>
      <c r="U1324" s="46" t="s">
        <v>651</v>
      </c>
      <c r="V1324" s="46" t="b">
        <v>1</v>
      </c>
      <c r="W1324" s="46">
        <v>0.95</v>
      </c>
      <c r="X1324" s="46">
        <v>0.0</v>
      </c>
      <c r="Y1324" s="46">
        <v>1.58318838063922</v>
      </c>
      <c r="Z1324" s="46" t="b">
        <v>1</v>
      </c>
      <c r="AA1324" s="46" t="b">
        <v>1</v>
      </c>
    </row>
    <row r="1325">
      <c r="A1325" s="157" t="s">
        <v>570</v>
      </c>
      <c r="B1325" s="158">
        <v>4.0</v>
      </c>
      <c r="C1325" s="157" t="s">
        <v>1092</v>
      </c>
      <c r="D1325" s="157" t="s">
        <v>1093</v>
      </c>
      <c r="E1325" s="157" t="s">
        <v>1094</v>
      </c>
      <c r="F1325" s="157" t="s">
        <v>4120</v>
      </c>
      <c r="G1325" s="157" t="s">
        <v>4121</v>
      </c>
      <c r="H1325" s="157"/>
      <c r="I1325" s="158">
        <v>4.25934</v>
      </c>
      <c r="J1325" s="158">
        <v>51.87894</v>
      </c>
      <c r="K1325" s="157" t="s">
        <v>4113</v>
      </c>
      <c r="L1325" s="157" t="s">
        <v>648</v>
      </c>
      <c r="M1325" s="158">
        <v>2022.0</v>
      </c>
      <c r="N1325" s="157" t="s">
        <v>201</v>
      </c>
      <c r="O1325" s="157" t="s">
        <v>1098</v>
      </c>
      <c r="P1325" s="161" t="b">
        <v>1</v>
      </c>
      <c r="Q1325" s="158">
        <v>0.107</v>
      </c>
      <c r="R1325" s="158">
        <v>0.0</v>
      </c>
      <c r="S1325" s="158">
        <v>0.107</v>
      </c>
      <c r="T1325" s="157" t="s">
        <v>201</v>
      </c>
      <c r="U1325" s="46" t="s">
        <v>651</v>
      </c>
      <c r="V1325" s="46" t="b">
        <v>1</v>
      </c>
      <c r="W1325" s="46">
        <v>0.95</v>
      </c>
      <c r="X1325" s="46">
        <v>0.0</v>
      </c>
      <c r="Y1325" s="46">
        <v>0.657942366975709</v>
      </c>
      <c r="Z1325" s="46" t="b">
        <v>1</v>
      </c>
      <c r="AA1325" s="46" t="b">
        <v>1</v>
      </c>
    </row>
    <row r="1326">
      <c r="A1326" s="157" t="s">
        <v>563</v>
      </c>
      <c r="B1326" s="158">
        <v>4.0</v>
      </c>
      <c r="C1326" s="157" t="s">
        <v>1092</v>
      </c>
      <c r="D1326" s="157" t="s">
        <v>1093</v>
      </c>
      <c r="E1326" s="157" t="s">
        <v>1094</v>
      </c>
      <c r="F1326" s="157" t="s">
        <v>4122</v>
      </c>
      <c r="G1326" s="157" t="s">
        <v>4123</v>
      </c>
      <c r="H1326" s="157"/>
      <c r="I1326" s="158">
        <v>-1.2670638</v>
      </c>
      <c r="J1326" s="158">
        <v>54.581893</v>
      </c>
      <c r="K1326" s="157" t="s">
        <v>4124</v>
      </c>
      <c r="L1326" s="157" t="s">
        <v>648</v>
      </c>
      <c r="M1326" s="158">
        <v>2019.0</v>
      </c>
      <c r="N1326" s="157" t="s">
        <v>201</v>
      </c>
      <c r="O1326" s="157" t="s">
        <v>1098</v>
      </c>
      <c r="P1326" s="161" t="b">
        <v>1</v>
      </c>
      <c r="Q1326" s="158">
        <v>0.678</v>
      </c>
      <c r="R1326" s="158">
        <v>0.0</v>
      </c>
      <c r="S1326" s="158">
        <v>0.678</v>
      </c>
      <c r="T1326" s="157" t="s">
        <v>201</v>
      </c>
      <c r="U1326" s="46" t="s">
        <v>651</v>
      </c>
      <c r="V1326" s="46" t="b">
        <v>1</v>
      </c>
      <c r="W1326" s="46">
        <v>0.95</v>
      </c>
      <c r="X1326" s="46">
        <v>0.0</v>
      </c>
      <c r="Y1326" s="46">
        <v>21.1313509830601</v>
      </c>
      <c r="Z1326" s="46" t="b">
        <v>1</v>
      </c>
      <c r="AA1326" s="46" t="b">
        <v>1</v>
      </c>
    </row>
    <row r="1327">
      <c r="A1327" s="157" t="s">
        <v>563</v>
      </c>
      <c r="B1327" s="158">
        <v>4.0</v>
      </c>
      <c r="C1327" s="157" t="s">
        <v>1092</v>
      </c>
      <c r="D1327" s="157" t="s">
        <v>1093</v>
      </c>
      <c r="E1327" s="157" t="s">
        <v>1094</v>
      </c>
      <c r="F1327" s="157" t="s">
        <v>4125</v>
      </c>
      <c r="G1327" s="157" t="s">
        <v>4126</v>
      </c>
      <c r="H1327" s="157"/>
      <c r="I1327" s="158">
        <v>-3.5008405</v>
      </c>
      <c r="J1327" s="158">
        <v>54.41913</v>
      </c>
      <c r="K1327" s="157" t="s">
        <v>4127</v>
      </c>
      <c r="L1327" s="157" t="s">
        <v>648</v>
      </c>
      <c r="M1327" s="158">
        <v>2019.0</v>
      </c>
      <c r="N1327" s="157" t="s">
        <v>201</v>
      </c>
      <c r="O1327" s="157" t="s">
        <v>1098</v>
      </c>
      <c r="P1327" s="161" t="b">
        <v>1</v>
      </c>
      <c r="Q1327" s="158">
        <v>0.262</v>
      </c>
      <c r="R1327" s="158">
        <v>0.0</v>
      </c>
      <c r="S1327" s="158">
        <v>0.262</v>
      </c>
      <c r="T1327" s="157" t="s">
        <v>201</v>
      </c>
      <c r="U1327" s="46" t="s">
        <v>651</v>
      </c>
      <c r="V1327" s="46" t="b">
        <v>1</v>
      </c>
      <c r="W1327" s="46">
        <v>0.95</v>
      </c>
      <c r="X1327" s="46">
        <v>0.0</v>
      </c>
      <c r="Y1327" s="46">
        <v>115.815609932314</v>
      </c>
      <c r="Z1327" s="46" t="b">
        <v>0</v>
      </c>
      <c r="AA1327" s="46" t="b">
        <v>0</v>
      </c>
    </row>
    <row r="1328">
      <c r="A1328" s="157" t="s">
        <v>563</v>
      </c>
      <c r="B1328" s="158">
        <v>4.0</v>
      </c>
      <c r="C1328" s="157" t="s">
        <v>1092</v>
      </c>
      <c r="D1328" s="157" t="s">
        <v>1093</v>
      </c>
      <c r="E1328" s="157" t="s">
        <v>1094</v>
      </c>
      <c r="F1328" s="157" t="s">
        <v>4128</v>
      </c>
      <c r="G1328" s="157" t="s">
        <v>4129</v>
      </c>
      <c r="H1328" s="157"/>
      <c r="I1328" s="158">
        <v>-1.1878099</v>
      </c>
      <c r="J1328" s="158">
        <v>54.599271</v>
      </c>
      <c r="K1328" s="157" t="s">
        <v>4130</v>
      </c>
      <c r="L1328" s="157" t="s">
        <v>648</v>
      </c>
      <c r="M1328" s="158">
        <v>2019.0</v>
      </c>
      <c r="N1328" s="157" t="s">
        <v>201</v>
      </c>
      <c r="O1328" s="157" t="s">
        <v>1098</v>
      </c>
      <c r="P1328" s="161" t="b">
        <v>1</v>
      </c>
      <c r="Q1328" s="158">
        <v>0.219</v>
      </c>
      <c r="R1328" s="158">
        <v>0.0</v>
      </c>
      <c r="S1328" s="158">
        <v>0.219</v>
      </c>
      <c r="T1328" s="157" t="s">
        <v>201</v>
      </c>
      <c r="U1328" s="46" t="s">
        <v>651</v>
      </c>
      <c r="V1328" s="46" t="b">
        <v>1</v>
      </c>
      <c r="W1328" s="46">
        <v>0.95</v>
      </c>
      <c r="X1328" s="46">
        <v>0.0</v>
      </c>
      <c r="Y1328" s="46">
        <v>16.0596669320566</v>
      </c>
      <c r="Z1328" s="46" t="b">
        <v>1</v>
      </c>
      <c r="AA1328" s="46" t="b">
        <v>1</v>
      </c>
    </row>
    <row r="1329">
      <c r="A1329" s="157" t="s">
        <v>563</v>
      </c>
      <c r="B1329" s="158">
        <v>4.0</v>
      </c>
      <c r="C1329" s="157" t="s">
        <v>1092</v>
      </c>
      <c r="D1329" s="157" t="s">
        <v>1093</v>
      </c>
      <c r="E1329" s="157" t="s">
        <v>1094</v>
      </c>
      <c r="F1329" s="157" t="s">
        <v>4131</v>
      </c>
      <c r="G1329" s="157" t="s">
        <v>4132</v>
      </c>
      <c r="H1329" s="157"/>
      <c r="I1329" s="158">
        <v>-1.2035841</v>
      </c>
      <c r="J1329" s="158">
        <v>54.631729</v>
      </c>
      <c r="K1329" s="157" t="s">
        <v>4133</v>
      </c>
      <c r="L1329" s="157" t="s">
        <v>648</v>
      </c>
      <c r="M1329" s="158">
        <v>2019.0</v>
      </c>
      <c r="N1329" s="157" t="s">
        <v>201</v>
      </c>
      <c r="O1329" s="157" t="s">
        <v>1098</v>
      </c>
      <c r="P1329" s="161" t="b">
        <v>1</v>
      </c>
      <c r="Q1329" s="158">
        <v>0.168</v>
      </c>
      <c r="R1329" s="158">
        <v>0.0</v>
      </c>
      <c r="S1329" s="158">
        <v>0.168</v>
      </c>
      <c r="T1329" s="157" t="s">
        <v>201</v>
      </c>
      <c r="U1329" s="46" t="s">
        <v>651</v>
      </c>
      <c r="V1329" s="46" t="b">
        <v>1</v>
      </c>
      <c r="W1329" s="46">
        <v>0.95</v>
      </c>
      <c r="X1329" s="46">
        <v>0.0</v>
      </c>
      <c r="Y1329" s="46">
        <v>17.7345693957049</v>
      </c>
      <c r="Z1329" s="46" t="b">
        <v>1</v>
      </c>
      <c r="AA1329" s="46" t="b">
        <v>1</v>
      </c>
    </row>
    <row r="1330">
      <c r="A1330" s="157" t="s">
        <v>563</v>
      </c>
      <c r="B1330" s="158">
        <v>4.0</v>
      </c>
      <c r="C1330" s="157" t="s">
        <v>1092</v>
      </c>
      <c r="D1330" s="157" t="s">
        <v>1093</v>
      </c>
      <c r="E1330" s="157" t="s">
        <v>1094</v>
      </c>
      <c r="F1330" s="157" t="s">
        <v>4134</v>
      </c>
      <c r="G1330" s="157" t="s">
        <v>4135</v>
      </c>
      <c r="H1330" s="157"/>
      <c r="I1330" s="158">
        <v>-0.16025843</v>
      </c>
      <c r="J1330" s="158">
        <v>53.614694</v>
      </c>
      <c r="K1330" s="157" t="s">
        <v>4136</v>
      </c>
      <c r="L1330" s="157" t="s">
        <v>648</v>
      </c>
      <c r="M1330" s="158">
        <v>2019.0</v>
      </c>
      <c r="N1330" s="157" t="s">
        <v>201</v>
      </c>
      <c r="O1330" s="157" t="s">
        <v>1098</v>
      </c>
      <c r="P1330" s="161" t="b">
        <v>1</v>
      </c>
      <c r="Q1330" s="158">
        <v>0.114</v>
      </c>
      <c r="R1330" s="158">
        <v>0.0</v>
      </c>
      <c r="S1330" s="158">
        <v>0.114</v>
      </c>
      <c r="T1330" s="157" t="s">
        <v>201</v>
      </c>
      <c r="U1330" s="46" t="s">
        <v>651</v>
      </c>
      <c r="V1330" s="46" t="b">
        <v>1</v>
      </c>
      <c r="W1330" s="46">
        <v>0.95</v>
      </c>
      <c r="X1330" s="46">
        <v>0.0</v>
      </c>
      <c r="Y1330" s="46">
        <v>3.17117200366236</v>
      </c>
      <c r="Z1330" s="46" t="b">
        <v>1</v>
      </c>
      <c r="AA1330" s="46" t="b">
        <v>1</v>
      </c>
    </row>
    <row r="1331">
      <c r="A1331" s="157" t="s">
        <v>567</v>
      </c>
      <c r="B1331" s="158">
        <v>4.0</v>
      </c>
      <c r="C1331" s="157" t="s">
        <v>1092</v>
      </c>
      <c r="D1331" s="157" t="s">
        <v>2494</v>
      </c>
      <c r="E1331" s="157" t="s">
        <v>2495</v>
      </c>
      <c r="F1331" s="157" t="s">
        <v>4137</v>
      </c>
      <c r="G1331" s="157" t="s">
        <v>4138</v>
      </c>
      <c r="H1331" s="157"/>
      <c r="I1331" s="158">
        <v>8.68502</v>
      </c>
      <c r="J1331" s="158">
        <v>63.4124222</v>
      </c>
      <c r="K1331" s="157" t="s">
        <v>4139</v>
      </c>
      <c r="L1331" s="157" t="s">
        <v>648</v>
      </c>
      <c r="M1331" s="158">
        <v>2017.0</v>
      </c>
      <c r="N1331" s="157" t="s">
        <v>201</v>
      </c>
      <c r="O1331" s="157" t="s">
        <v>1098</v>
      </c>
      <c r="P1331" s="161" t="b">
        <v>1</v>
      </c>
      <c r="Q1331" s="158">
        <v>0.312</v>
      </c>
      <c r="R1331" s="158">
        <v>0.0</v>
      </c>
      <c r="S1331" s="158">
        <v>0.312</v>
      </c>
      <c r="T1331" s="157" t="s">
        <v>201</v>
      </c>
      <c r="U1331" s="46" t="s">
        <v>651</v>
      </c>
      <c r="V1331" s="46" t="b">
        <v>1</v>
      </c>
      <c r="W1331" s="46">
        <v>0.95</v>
      </c>
      <c r="X1331" s="46">
        <v>0.0</v>
      </c>
      <c r="Y1331" s="46" t="s">
        <v>640</v>
      </c>
      <c r="Z1331" s="46" t="b">
        <v>0</v>
      </c>
      <c r="AA1331" s="46" t="b">
        <v>0</v>
      </c>
    </row>
    <row r="1332">
      <c r="A1332" s="157" t="s">
        <v>573</v>
      </c>
      <c r="B1332" s="158">
        <v>1.0</v>
      </c>
      <c r="C1332" s="157" t="s">
        <v>642</v>
      </c>
      <c r="D1332" s="157" t="s">
        <v>4140</v>
      </c>
      <c r="E1332" s="157" t="s">
        <v>4141</v>
      </c>
      <c r="F1332" s="157" t="s">
        <v>4142</v>
      </c>
      <c r="G1332" s="157" t="s">
        <v>4143</v>
      </c>
      <c r="H1332" s="157"/>
      <c r="I1332" s="158">
        <v>27.89565374</v>
      </c>
      <c r="J1332" s="158">
        <v>59.27322863</v>
      </c>
      <c r="K1332" s="157" t="s">
        <v>983</v>
      </c>
      <c r="L1332" s="157" t="s">
        <v>648</v>
      </c>
      <c r="M1332" s="158">
        <v>2022.0</v>
      </c>
      <c r="N1332" s="157" t="s">
        <v>551</v>
      </c>
      <c r="O1332" s="157" t="s">
        <v>4141</v>
      </c>
      <c r="P1332" s="161" t="b">
        <v>1</v>
      </c>
      <c r="Q1332" s="158">
        <v>0.905</v>
      </c>
      <c r="R1332" s="158">
        <v>0.0</v>
      </c>
      <c r="S1332" s="158">
        <v>0.905</v>
      </c>
      <c r="T1332" s="157" t="s">
        <v>551</v>
      </c>
      <c r="U1332" s="46" t="s">
        <v>651</v>
      </c>
      <c r="V1332" s="46" t="b">
        <v>1</v>
      </c>
      <c r="W1332" s="46">
        <v>0.95</v>
      </c>
      <c r="X1332" s="46">
        <v>0.0</v>
      </c>
      <c r="Y1332" s="46" t="s">
        <v>640</v>
      </c>
      <c r="Z1332" s="46" t="b">
        <v>0</v>
      </c>
      <c r="AA1332" s="46" t="b">
        <v>0</v>
      </c>
    </row>
    <row r="1333">
      <c r="A1333" s="157" t="s">
        <v>573</v>
      </c>
      <c r="B1333" s="158">
        <v>1.0</v>
      </c>
      <c r="C1333" s="157" t="s">
        <v>642</v>
      </c>
      <c r="D1333" s="157" t="s">
        <v>4140</v>
      </c>
      <c r="E1333" s="157" t="s">
        <v>4141</v>
      </c>
      <c r="F1333" s="157" t="s">
        <v>4144</v>
      </c>
      <c r="G1333" s="157" t="s">
        <v>4145</v>
      </c>
      <c r="H1333" s="157"/>
      <c r="I1333" s="158">
        <v>27.23802424</v>
      </c>
      <c r="J1333" s="158">
        <v>59.38670803</v>
      </c>
      <c r="K1333" s="157" t="s">
        <v>4146</v>
      </c>
      <c r="L1333" s="157" t="s">
        <v>648</v>
      </c>
      <c r="M1333" s="158">
        <v>2022.0</v>
      </c>
      <c r="N1333" s="157" t="s">
        <v>551</v>
      </c>
      <c r="O1333" s="157" t="s">
        <v>4141</v>
      </c>
      <c r="P1333" s="161" t="b">
        <v>1</v>
      </c>
      <c r="Q1333" s="158">
        <v>0.597</v>
      </c>
      <c r="R1333" s="158">
        <v>0.0</v>
      </c>
      <c r="S1333" s="158">
        <v>0.597</v>
      </c>
      <c r="T1333" s="157" t="s">
        <v>551</v>
      </c>
      <c r="U1333" s="46" t="s">
        <v>651</v>
      </c>
      <c r="V1333" s="46" t="b">
        <v>1</v>
      </c>
      <c r="W1333" s="46">
        <v>0.95</v>
      </c>
      <c r="X1333" s="46">
        <v>0.0</v>
      </c>
      <c r="Y1333" s="46" t="s">
        <v>640</v>
      </c>
      <c r="Z1333" s="46" t="b">
        <v>0</v>
      </c>
      <c r="AA1333" s="46" t="b">
        <v>0</v>
      </c>
    </row>
    <row r="1334">
      <c r="A1334" s="157" t="s">
        <v>556</v>
      </c>
      <c r="B1334" s="158">
        <v>1.0</v>
      </c>
      <c r="C1334" s="157" t="s">
        <v>642</v>
      </c>
      <c r="D1334" s="157" t="s">
        <v>4140</v>
      </c>
      <c r="E1334" s="157" t="s">
        <v>4141</v>
      </c>
      <c r="F1334" s="157" t="s">
        <v>4147</v>
      </c>
      <c r="G1334" s="157" t="s">
        <v>4148</v>
      </c>
      <c r="H1334" s="157"/>
      <c r="I1334" s="158">
        <v>-0.61294</v>
      </c>
      <c r="J1334" s="158">
        <v>43.4147</v>
      </c>
      <c r="K1334" s="157" t="s">
        <v>3051</v>
      </c>
      <c r="L1334" s="157" t="s">
        <v>648</v>
      </c>
      <c r="M1334" s="158">
        <v>2022.0</v>
      </c>
      <c r="N1334" s="157" t="s">
        <v>551</v>
      </c>
      <c r="O1334" s="157" t="s">
        <v>4141</v>
      </c>
      <c r="P1334" s="161" t="b">
        <v>1</v>
      </c>
      <c r="Q1334" s="158">
        <v>0.185</v>
      </c>
      <c r="R1334" s="158">
        <v>0.0</v>
      </c>
      <c r="S1334" s="158">
        <v>0.185</v>
      </c>
      <c r="T1334" s="157" t="s">
        <v>551</v>
      </c>
      <c r="U1334" s="46" t="s">
        <v>651</v>
      </c>
      <c r="V1334" s="46" t="b">
        <v>1</v>
      </c>
      <c r="W1334" s="46">
        <v>0.95</v>
      </c>
      <c r="X1334" s="46">
        <v>0.0</v>
      </c>
      <c r="Y1334" s="46">
        <v>2.98896916563183</v>
      </c>
      <c r="Z1334" s="46" t="b">
        <v>1</v>
      </c>
      <c r="AA1334" s="46" t="b">
        <v>1</v>
      </c>
    </row>
    <row r="1335">
      <c r="A1335" s="157" t="s">
        <v>559</v>
      </c>
      <c r="B1335" s="158">
        <v>1.0</v>
      </c>
      <c r="C1335" s="157" t="s">
        <v>642</v>
      </c>
      <c r="D1335" s="157" t="s">
        <v>4140</v>
      </c>
      <c r="E1335" s="157" t="s">
        <v>4141</v>
      </c>
      <c r="F1335" s="157" t="s">
        <v>4149</v>
      </c>
      <c r="G1335" s="157" t="s">
        <v>4150</v>
      </c>
      <c r="H1335" s="157"/>
      <c r="I1335" s="158">
        <v>12.5844</v>
      </c>
      <c r="J1335" s="158">
        <v>45.0905</v>
      </c>
      <c r="K1335" s="157" t="s">
        <v>4151</v>
      </c>
      <c r="L1335" s="157" t="s">
        <v>648</v>
      </c>
      <c r="M1335" s="158">
        <v>2022.0</v>
      </c>
      <c r="N1335" s="157" t="s">
        <v>551</v>
      </c>
      <c r="O1335" s="157" t="s">
        <v>4141</v>
      </c>
      <c r="P1335" s="161" t="b">
        <v>1</v>
      </c>
      <c r="Q1335" s="158">
        <v>0.100947</v>
      </c>
      <c r="R1335" s="158">
        <v>0.0</v>
      </c>
      <c r="S1335" s="158">
        <v>0.100947</v>
      </c>
      <c r="T1335" s="157" t="s">
        <v>551</v>
      </c>
      <c r="U1335" s="46" t="s">
        <v>651</v>
      </c>
      <c r="V1335" s="46" t="b">
        <v>1</v>
      </c>
      <c r="W1335" s="46">
        <v>0.95</v>
      </c>
      <c r="X1335" s="46">
        <v>0.0</v>
      </c>
      <c r="Y1335" s="46">
        <v>45.2831980348165</v>
      </c>
      <c r="Z1335" s="46" t="b">
        <v>1</v>
      </c>
      <c r="AA1335" s="46" t="b">
        <v>1</v>
      </c>
    </row>
    <row r="1336">
      <c r="A1336" s="157" t="s">
        <v>566</v>
      </c>
      <c r="B1336" s="158">
        <v>1.0</v>
      </c>
      <c r="C1336" s="157" t="s">
        <v>642</v>
      </c>
      <c r="D1336" s="157" t="s">
        <v>4140</v>
      </c>
      <c r="E1336" s="157" t="s">
        <v>4141</v>
      </c>
      <c r="F1336" s="157" t="s">
        <v>4152</v>
      </c>
      <c r="G1336" s="157" t="s">
        <v>4153</v>
      </c>
      <c r="H1336" s="157"/>
      <c r="I1336" s="158">
        <v>14.62731934</v>
      </c>
      <c r="J1336" s="158">
        <v>52.59241486</v>
      </c>
      <c r="K1336" s="157" t="s">
        <v>1852</v>
      </c>
      <c r="L1336" s="157" t="s">
        <v>648</v>
      </c>
      <c r="M1336" s="158">
        <v>2022.0</v>
      </c>
      <c r="N1336" s="157" t="s">
        <v>551</v>
      </c>
      <c r="O1336" s="157" t="s">
        <v>4141</v>
      </c>
      <c r="P1336" s="161" t="b">
        <v>1</v>
      </c>
      <c r="Q1336" s="158">
        <v>0.11</v>
      </c>
      <c r="R1336" s="158">
        <v>0.0</v>
      </c>
      <c r="S1336" s="158">
        <v>0.11</v>
      </c>
      <c r="T1336" s="157" t="s">
        <v>551</v>
      </c>
      <c r="U1336" s="46" t="s">
        <v>651</v>
      </c>
      <c r="V1336" s="46" t="b">
        <v>1</v>
      </c>
      <c r="W1336" s="46">
        <v>0.95</v>
      </c>
      <c r="X1336" s="46">
        <v>0.0</v>
      </c>
      <c r="Y1336" s="46">
        <v>25.093721289322</v>
      </c>
      <c r="Z1336" s="46" t="b">
        <v>1</v>
      </c>
      <c r="AA1336" s="46" t="b">
        <v>1</v>
      </c>
    </row>
    <row r="1337">
      <c r="A1337" s="157" t="s">
        <v>564</v>
      </c>
      <c r="B1337" s="158">
        <v>1.0</v>
      </c>
      <c r="C1337" s="157" t="s">
        <v>642</v>
      </c>
      <c r="D1337" s="157" t="s">
        <v>4140</v>
      </c>
      <c r="E1337" s="157" t="s">
        <v>4141</v>
      </c>
      <c r="F1337" s="157" t="s">
        <v>4154</v>
      </c>
      <c r="G1337" s="157" t="s">
        <v>4155</v>
      </c>
      <c r="H1337" s="157"/>
      <c r="I1337" s="158">
        <v>8.0923</v>
      </c>
      <c r="J1337" s="158">
        <v>47.0625</v>
      </c>
      <c r="K1337" s="157" t="s">
        <v>4156</v>
      </c>
      <c r="L1337" s="157" t="s">
        <v>648</v>
      </c>
      <c r="M1337" s="158">
        <v>2021.0</v>
      </c>
      <c r="N1337" s="157" t="s">
        <v>551</v>
      </c>
      <c r="O1337" s="157" t="s">
        <v>4141</v>
      </c>
      <c r="P1337" s="161" t="b">
        <v>1</v>
      </c>
      <c r="Q1337" s="158">
        <v>0.00768</v>
      </c>
      <c r="R1337" s="158">
        <v>0.0</v>
      </c>
      <c r="S1337" s="158">
        <v>0.00768</v>
      </c>
      <c r="T1337" s="157" t="s">
        <v>551</v>
      </c>
      <c r="U1337" s="46" t="s">
        <v>651</v>
      </c>
      <c r="V1337" s="46" t="b">
        <v>0</v>
      </c>
      <c r="W1337" s="46">
        <v>0.95</v>
      </c>
      <c r="X1337" s="46">
        <v>0.0</v>
      </c>
      <c r="Y1337" s="46">
        <v>20.4372788984469</v>
      </c>
      <c r="Z1337" s="46" t="b">
        <v>1</v>
      </c>
      <c r="AA1337" s="46" t="b">
        <v>1</v>
      </c>
    </row>
    <row r="1338">
      <c r="A1338" s="157" t="s">
        <v>563</v>
      </c>
      <c r="B1338" s="158">
        <v>1.0</v>
      </c>
      <c r="C1338" s="157" t="s">
        <v>642</v>
      </c>
      <c r="D1338" s="157" t="s">
        <v>4140</v>
      </c>
      <c r="E1338" s="157" t="s">
        <v>4141</v>
      </c>
      <c r="F1338" s="157" t="s">
        <v>4157</v>
      </c>
      <c r="G1338" s="157" t="s">
        <v>4158</v>
      </c>
      <c r="H1338" s="157"/>
      <c r="I1338" s="158">
        <v>-4.98811</v>
      </c>
      <c r="J1338" s="158">
        <v>51.71118</v>
      </c>
      <c r="K1338" s="157" t="s">
        <v>4159</v>
      </c>
      <c r="L1338" s="157" t="s">
        <v>648</v>
      </c>
      <c r="M1338" s="158">
        <v>2018.0</v>
      </c>
      <c r="N1338" s="157" t="s">
        <v>551</v>
      </c>
      <c r="O1338" s="157" t="s">
        <v>4141</v>
      </c>
      <c r="P1338" s="161" t="b">
        <v>1</v>
      </c>
      <c r="Q1338" s="158">
        <v>0.175</v>
      </c>
      <c r="R1338" s="158">
        <v>0.0</v>
      </c>
      <c r="S1338" s="158">
        <v>0.175</v>
      </c>
      <c r="T1338" s="157" t="s">
        <v>551</v>
      </c>
      <c r="U1338" s="46" t="s">
        <v>651</v>
      </c>
      <c r="V1338" s="46" t="b">
        <v>1</v>
      </c>
      <c r="W1338" s="46">
        <v>0.95</v>
      </c>
      <c r="X1338" s="46">
        <v>0.0</v>
      </c>
      <c r="Y1338" s="46" t="s">
        <v>640</v>
      </c>
      <c r="Z1338" s="46" t="b">
        <v>0</v>
      </c>
      <c r="AA1338" s="46" t="b">
        <v>0</v>
      </c>
    </row>
    <row r="1339">
      <c r="A1339" s="157" t="s">
        <v>568</v>
      </c>
      <c r="B1339" s="158">
        <v>3.0</v>
      </c>
      <c r="C1339" s="157" t="s">
        <v>1215</v>
      </c>
      <c r="D1339" s="157" t="s">
        <v>4160</v>
      </c>
      <c r="E1339" s="157" t="s">
        <v>4161</v>
      </c>
      <c r="F1339" s="157" t="s">
        <v>4162</v>
      </c>
      <c r="G1339" s="157" t="s">
        <v>4163</v>
      </c>
      <c r="H1339" s="157"/>
      <c r="I1339" s="158">
        <v>9.84139878684372</v>
      </c>
      <c r="J1339" s="158">
        <v>56.7165201100165</v>
      </c>
      <c r="K1339" s="157" t="s">
        <v>4164</v>
      </c>
      <c r="L1339" s="157" t="s">
        <v>648</v>
      </c>
      <c r="M1339" s="158">
        <v>2022.0</v>
      </c>
      <c r="N1339" s="157" t="s">
        <v>105</v>
      </c>
      <c r="O1339" s="157" t="s">
        <v>4161</v>
      </c>
      <c r="P1339" s="161" t="b">
        <v>1</v>
      </c>
      <c r="Q1339" s="158">
        <v>0.0</v>
      </c>
      <c r="R1339" s="158">
        <v>0.0</v>
      </c>
      <c r="S1339" s="158">
        <v>0.0</v>
      </c>
      <c r="T1339" s="157" t="s">
        <v>105</v>
      </c>
      <c r="U1339" s="46" t="s">
        <v>651</v>
      </c>
      <c r="V1339" s="46" t="b">
        <v>0</v>
      </c>
      <c r="W1339" s="46">
        <v>0.95</v>
      </c>
      <c r="X1339" s="46">
        <v>0.0</v>
      </c>
      <c r="Y1339" s="46">
        <v>15.9842255960445</v>
      </c>
      <c r="Z1339" s="46" t="b">
        <v>1</v>
      </c>
      <c r="AA1339" s="46" t="b">
        <v>1</v>
      </c>
    </row>
    <row r="1340">
      <c r="A1340" s="157" t="s">
        <v>556</v>
      </c>
      <c r="B1340" s="158">
        <v>3.0</v>
      </c>
      <c r="C1340" s="157" t="s">
        <v>1215</v>
      </c>
      <c r="D1340" s="157" t="s">
        <v>4160</v>
      </c>
      <c r="E1340" s="157" t="s">
        <v>4161</v>
      </c>
      <c r="F1340" s="157" t="s">
        <v>4165</v>
      </c>
      <c r="G1340" s="157" t="s">
        <v>4166</v>
      </c>
      <c r="H1340" s="157"/>
      <c r="I1340" s="158">
        <v>2.84582</v>
      </c>
      <c r="J1340" s="158">
        <v>46.1674</v>
      </c>
      <c r="K1340" s="157" t="s">
        <v>4167</v>
      </c>
      <c r="L1340" s="157" t="s">
        <v>648</v>
      </c>
      <c r="M1340" s="158">
        <v>2021.0</v>
      </c>
      <c r="N1340" s="157" t="s">
        <v>105</v>
      </c>
      <c r="O1340" s="157" t="s">
        <v>4161</v>
      </c>
      <c r="P1340" s="161" t="b">
        <v>1</v>
      </c>
      <c r="Q1340" s="158">
        <v>0.1</v>
      </c>
      <c r="R1340" s="158">
        <v>0.0</v>
      </c>
      <c r="S1340" s="158">
        <v>0.1</v>
      </c>
      <c r="T1340" s="157" t="s">
        <v>105</v>
      </c>
      <c r="U1340" s="46" t="s">
        <v>651</v>
      </c>
      <c r="V1340" s="46" t="b">
        <v>0</v>
      </c>
      <c r="W1340" s="46">
        <v>0.95</v>
      </c>
      <c r="X1340" s="46">
        <v>0.0</v>
      </c>
      <c r="Y1340" s="46" t="s">
        <v>640</v>
      </c>
      <c r="Z1340" s="46" t="b">
        <v>0</v>
      </c>
      <c r="AA1340" s="46" t="b">
        <v>0</v>
      </c>
    </row>
    <row r="1341">
      <c r="A1341" s="157" t="s">
        <v>557</v>
      </c>
      <c r="B1341" s="158">
        <v>3.0</v>
      </c>
      <c r="C1341" s="157" t="s">
        <v>1215</v>
      </c>
      <c r="D1341" s="157" t="s">
        <v>4160</v>
      </c>
      <c r="E1341" s="157" t="s">
        <v>4161</v>
      </c>
      <c r="F1341" s="162" t="s">
        <v>4168</v>
      </c>
      <c r="G1341" s="157" t="s">
        <v>4169</v>
      </c>
      <c r="H1341" s="157"/>
      <c r="I1341" s="158">
        <v>11.2424798151368</v>
      </c>
      <c r="J1341" s="158">
        <v>48.7446570537595</v>
      </c>
      <c r="K1341" s="157" t="s">
        <v>4170</v>
      </c>
      <c r="L1341" s="157" t="s">
        <v>648</v>
      </c>
      <c r="M1341" s="158">
        <v>2022.0</v>
      </c>
      <c r="N1341" s="157" t="s">
        <v>105</v>
      </c>
      <c r="O1341" s="157" t="s">
        <v>4161</v>
      </c>
      <c r="P1341" s="161" t="b">
        <v>1</v>
      </c>
      <c r="Q1341" s="158">
        <v>0.11</v>
      </c>
      <c r="R1341" s="158">
        <v>0.0</v>
      </c>
      <c r="S1341" s="158">
        <v>0.11</v>
      </c>
      <c r="T1341" s="157" t="s">
        <v>105</v>
      </c>
      <c r="U1341" s="46" t="s">
        <v>651</v>
      </c>
      <c r="V1341" s="46" t="b">
        <v>1</v>
      </c>
      <c r="W1341" s="46">
        <v>0.95</v>
      </c>
      <c r="X1341" s="46">
        <v>0.0</v>
      </c>
      <c r="Y1341" s="46">
        <v>38.9910745939864</v>
      </c>
      <c r="Z1341" s="46" t="b">
        <v>1</v>
      </c>
      <c r="AA1341" s="46" t="b">
        <v>1</v>
      </c>
    </row>
    <row r="1342">
      <c r="A1342" s="157" t="s">
        <v>570</v>
      </c>
      <c r="B1342" s="158">
        <v>3.0</v>
      </c>
      <c r="C1342" s="157" t="s">
        <v>1215</v>
      </c>
      <c r="D1342" s="157" t="s">
        <v>4160</v>
      </c>
      <c r="E1342" s="157" t="s">
        <v>4161</v>
      </c>
      <c r="F1342" s="157" t="s">
        <v>4171</v>
      </c>
      <c r="G1342" s="157" t="s">
        <v>4172</v>
      </c>
      <c r="H1342" s="157"/>
      <c r="I1342" s="158">
        <v>6.04371</v>
      </c>
      <c r="J1342" s="158">
        <v>51.17062</v>
      </c>
      <c r="K1342" s="157" t="s">
        <v>4173</v>
      </c>
      <c r="L1342" s="157" t="s">
        <v>648</v>
      </c>
      <c r="M1342" s="158">
        <v>2022.0</v>
      </c>
      <c r="N1342" s="157" t="s">
        <v>105</v>
      </c>
      <c r="O1342" s="157" t="s">
        <v>4161</v>
      </c>
      <c r="P1342" s="161" t="b">
        <v>1</v>
      </c>
      <c r="Q1342" s="158">
        <v>0.134</v>
      </c>
      <c r="R1342" s="158">
        <v>0.0</v>
      </c>
      <c r="S1342" s="158">
        <v>0.134</v>
      </c>
      <c r="T1342" s="157" t="s">
        <v>105</v>
      </c>
      <c r="U1342" s="46" t="s">
        <v>651</v>
      </c>
      <c r="V1342" s="46" t="b">
        <v>1</v>
      </c>
      <c r="W1342" s="46">
        <v>0.95</v>
      </c>
      <c r="X1342" s="46">
        <v>0.0</v>
      </c>
      <c r="Y1342" s="46">
        <v>5.47695879656812</v>
      </c>
      <c r="Z1342" s="46" t="b">
        <v>1</v>
      </c>
      <c r="AA1342" s="46" t="b">
        <v>1</v>
      </c>
    </row>
    <row r="1343">
      <c r="A1343" s="157" t="s">
        <v>566</v>
      </c>
      <c r="B1343" s="158">
        <v>3.0</v>
      </c>
      <c r="C1343" s="157" t="s">
        <v>1215</v>
      </c>
      <c r="D1343" s="157" t="s">
        <v>4160</v>
      </c>
      <c r="E1343" s="157" t="s">
        <v>4161</v>
      </c>
      <c r="F1343" s="157" t="s">
        <v>4174</v>
      </c>
      <c r="G1343" s="157" t="s">
        <v>4175</v>
      </c>
      <c r="H1343" s="157"/>
      <c r="I1343" s="158">
        <v>22.06102753</v>
      </c>
      <c r="J1343" s="158">
        <v>52.70851517</v>
      </c>
      <c r="K1343" s="157" t="s">
        <v>4176</v>
      </c>
      <c r="L1343" s="157" t="s">
        <v>648</v>
      </c>
      <c r="M1343" s="158">
        <v>2022.0</v>
      </c>
      <c r="N1343" s="157" t="s">
        <v>105</v>
      </c>
      <c r="O1343" s="157" t="s">
        <v>4161</v>
      </c>
      <c r="P1343" s="161" t="b">
        <v>1</v>
      </c>
      <c r="Q1343" s="158">
        <v>0.111</v>
      </c>
      <c r="R1343" s="158">
        <v>0.0</v>
      </c>
      <c r="S1343" s="158">
        <v>0.111</v>
      </c>
      <c r="T1343" s="157" t="s">
        <v>105</v>
      </c>
      <c r="U1343" s="46" t="s">
        <v>651</v>
      </c>
      <c r="V1343" s="46" t="b">
        <v>1</v>
      </c>
      <c r="W1343" s="46">
        <v>0.95</v>
      </c>
      <c r="X1343" s="46">
        <v>0.0</v>
      </c>
      <c r="Y1343" s="46" t="s">
        <v>640</v>
      </c>
      <c r="Z1343" s="46" t="b">
        <v>0</v>
      </c>
      <c r="AA1343" s="46" t="b">
        <v>0</v>
      </c>
    </row>
    <row r="1344">
      <c r="A1344" s="157" t="s">
        <v>561</v>
      </c>
      <c r="B1344" s="158">
        <v>3.0</v>
      </c>
      <c r="C1344" s="157" t="s">
        <v>1215</v>
      </c>
      <c r="D1344" s="157" t="s">
        <v>4160</v>
      </c>
      <c r="E1344" s="157" t="s">
        <v>4161</v>
      </c>
      <c r="F1344" s="157" t="s">
        <v>4177</v>
      </c>
      <c r="G1344" s="157" t="s">
        <v>4178</v>
      </c>
      <c r="H1344" s="157"/>
      <c r="I1344" s="158">
        <v>-0.177051</v>
      </c>
      <c r="J1344" s="158">
        <v>39.797267</v>
      </c>
      <c r="K1344" s="157" t="s">
        <v>4179</v>
      </c>
      <c r="L1344" s="157" t="s">
        <v>648</v>
      </c>
      <c r="M1344" s="158">
        <v>2022.0</v>
      </c>
      <c r="N1344" s="157" t="s">
        <v>105</v>
      </c>
      <c r="O1344" s="157" t="s">
        <v>4161</v>
      </c>
      <c r="P1344" s="161" t="b">
        <v>1</v>
      </c>
      <c r="Q1344" s="158">
        <v>0.115</v>
      </c>
      <c r="R1344" s="158">
        <v>0.0</v>
      </c>
      <c r="S1344" s="158">
        <v>0.115</v>
      </c>
      <c r="T1344" s="157" t="s">
        <v>105</v>
      </c>
      <c r="U1344" s="46" t="s">
        <v>651</v>
      </c>
      <c r="V1344" s="46" t="b">
        <v>1</v>
      </c>
      <c r="W1344" s="46">
        <v>0.95</v>
      </c>
      <c r="X1344" s="46">
        <v>0.0</v>
      </c>
      <c r="Y1344" s="46" t="s">
        <v>640</v>
      </c>
      <c r="Z1344" s="46" t="b">
        <v>0</v>
      </c>
      <c r="AA1344" s="46" t="b">
        <v>0</v>
      </c>
    </row>
    <row r="1345">
      <c r="A1345" s="157" t="s">
        <v>562</v>
      </c>
      <c r="B1345" s="158">
        <v>3.0</v>
      </c>
      <c r="C1345" s="157" t="s">
        <v>1215</v>
      </c>
      <c r="D1345" s="157" t="s">
        <v>4180</v>
      </c>
      <c r="E1345" s="157" t="s">
        <v>4181</v>
      </c>
      <c r="F1345" s="157" t="s">
        <v>4182</v>
      </c>
      <c r="G1345" s="157" t="s">
        <v>4183</v>
      </c>
      <c r="H1345" s="157"/>
      <c r="I1345" s="158">
        <v>4.692587</v>
      </c>
      <c r="J1345" s="158">
        <v>50.447548</v>
      </c>
      <c r="K1345" s="157" t="s">
        <v>4184</v>
      </c>
      <c r="L1345" s="157" t="s">
        <v>648</v>
      </c>
      <c r="M1345" s="158">
        <v>2022.0</v>
      </c>
      <c r="N1345" s="157" t="s">
        <v>550</v>
      </c>
      <c r="O1345" s="157" t="s">
        <v>4181</v>
      </c>
      <c r="P1345" s="161" t="b">
        <v>1</v>
      </c>
      <c r="Q1345" s="158">
        <v>0.388</v>
      </c>
      <c r="R1345" s="158">
        <v>0.0</v>
      </c>
      <c r="S1345" s="158">
        <v>0.388</v>
      </c>
      <c r="T1345" s="157" t="s">
        <v>550</v>
      </c>
      <c r="U1345" s="46" t="s">
        <v>651</v>
      </c>
      <c r="V1345" s="46" t="b">
        <v>1</v>
      </c>
      <c r="W1345" s="46">
        <v>0.95</v>
      </c>
      <c r="X1345" s="46">
        <v>0.0</v>
      </c>
      <c r="Y1345" s="46">
        <v>11.1787411166968</v>
      </c>
      <c r="Z1345" s="46" t="b">
        <v>1</v>
      </c>
      <c r="AA1345" s="46" t="b">
        <v>1</v>
      </c>
    </row>
    <row r="1346">
      <c r="A1346" s="157" t="s">
        <v>581</v>
      </c>
      <c r="B1346" s="158">
        <v>3.0</v>
      </c>
      <c r="C1346" s="157" t="s">
        <v>1215</v>
      </c>
      <c r="D1346" s="157" t="s">
        <v>4180</v>
      </c>
      <c r="E1346" s="157" t="s">
        <v>4181</v>
      </c>
      <c r="F1346" s="157" t="s">
        <v>4185</v>
      </c>
      <c r="G1346" s="157" t="s">
        <v>4186</v>
      </c>
      <c r="H1346" s="157"/>
      <c r="I1346" s="158">
        <v>26.519583</v>
      </c>
      <c r="J1346" s="158">
        <v>43.275276</v>
      </c>
      <c r="K1346" s="157" t="s">
        <v>4187</v>
      </c>
      <c r="L1346" s="157" t="s">
        <v>648</v>
      </c>
      <c r="M1346" s="158">
        <v>2021.0</v>
      </c>
      <c r="N1346" s="157" t="s">
        <v>550</v>
      </c>
      <c r="O1346" s="157" t="s">
        <v>4181</v>
      </c>
      <c r="P1346" s="161" t="b">
        <v>1</v>
      </c>
      <c r="Q1346" s="158">
        <v>0.266942</v>
      </c>
      <c r="R1346" s="158">
        <v>0.0</v>
      </c>
      <c r="S1346" s="158">
        <v>0.266942</v>
      </c>
      <c r="T1346" s="157" t="s">
        <v>550</v>
      </c>
      <c r="U1346" s="46" t="s">
        <v>651</v>
      </c>
      <c r="V1346" s="46" t="b">
        <v>1</v>
      </c>
      <c r="W1346" s="46">
        <v>0.95</v>
      </c>
      <c r="X1346" s="46">
        <v>0.0</v>
      </c>
      <c r="Y1346" s="46">
        <v>73.9281141540742</v>
      </c>
      <c r="Z1346" s="46" t="b">
        <v>0</v>
      </c>
      <c r="AA1346" s="46" t="b">
        <v>1</v>
      </c>
    </row>
    <row r="1347">
      <c r="A1347" s="157" t="s">
        <v>581</v>
      </c>
      <c r="B1347" s="158">
        <v>3.0</v>
      </c>
      <c r="C1347" s="157" t="s">
        <v>1215</v>
      </c>
      <c r="D1347" s="157" t="s">
        <v>4180</v>
      </c>
      <c r="E1347" s="157" t="s">
        <v>4181</v>
      </c>
      <c r="F1347" s="157" t="s">
        <v>4188</v>
      </c>
      <c r="G1347" s="157" t="s">
        <v>4189</v>
      </c>
      <c r="H1347" s="157"/>
      <c r="I1347" s="158">
        <v>24.739861</v>
      </c>
      <c r="J1347" s="158">
        <v>42.169777</v>
      </c>
      <c r="K1347" s="157" t="s">
        <v>4190</v>
      </c>
      <c r="L1347" s="157" t="s">
        <v>648</v>
      </c>
      <c r="M1347" s="158">
        <v>2021.0</v>
      </c>
      <c r="N1347" s="157" t="s">
        <v>550</v>
      </c>
      <c r="O1347" s="157" t="s">
        <v>4181</v>
      </c>
      <c r="P1347" s="161" t="b">
        <v>1</v>
      </c>
      <c r="Q1347" s="158">
        <v>0.14782</v>
      </c>
      <c r="R1347" s="158">
        <v>0.0</v>
      </c>
      <c r="S1347" s="158">
        <v>0.14782</v>
      </c>
      <c r="T1347" s="157" t="s">
        <v>550</v>
      </c>
      <c r="U1347" s="46" t="s">
        <v>651</v>
      </c>
      <c r="V1347" s="46" t="b">
        <v>1</v>
      </c>
      <c r="W1347" s="46">
        <v>0.95</v>
      </c>
      <c r="X1347" s="46">
        <v>0.0</v>
      </c>
      <c r="Y1347" s="46" t="s">
        <v>640</v>
      </c>
      <c r="Z1347" s="46" t="b">
        <v>0</v>
      </c>
      <c r="AA1347" s="46" t="b">
        <v>0</v>
      </c>
    </row>
    <row r="1348">
      <c r="A1348" s="157" t="s">
        <v>579</v>
      </c>
      <c r="B1348" s="158">
        <v>3.0</v>
      </c>
      <c r="C1348" s="157" t="s">
        <v>1215</v>
      </c>
      <c r="D1348" s="157" t="s">
        <v>4180</v>
      </c>
      <c r="E1348" s="157" t="s">
        <v>4181</v>
      </c>
      <c r="F1348" s="157" t="s">
        <v>4191</v>
      </c>
      <c r="G1348" s="157" t="s">
        <v>4192</v>
      </c>
      <c r="H1348" s="157"/>
      <c r="I1348" s="158">
        <v>15.7059</v>
      </c>
      <c r="J1348" s="158">
        <v>46.22116</v>
      </c>
      <c r="K1348" s="157" t="s">
        <v>4193</v>
      </c>
      <c r="L1348" s="157" t="s">
        <v>648</v>
      </c>
      <c r="M1348" s="158">
        <v>2017.0</v>
      </c>
      <c r="N1348" s="157" t="s">
        <v>550</v>
      </c>
      <c r="O1348" s="157" t="s">
        <v>4181</v>
      </c>
      <c r="P1348" s="161" t="b">
        <v>1</v>
      </c>
      <c r="Q1348" s="158">
        <v>0.107</v>
      </c>
      <c r="R1348" s="158">
        <v>0.0</v>
      </c>
      <c r="S1348" s="158">
        <v>0.107</v>
      </c>
      <c r="T1348" s="157" t="s">
        <v>550</v>
      </c>
      <c r="U1348" s="46" t="s">
        <v>651</v>
      </c>
      <c r="V1348" s="46" t="b">
        <v>1</v>
      </c>
      <c r="W1348" s="46">
        <v>0.95</v>
      </c>
      <c r="X1348" s="46">
        <v>0.0</v>
      </c>
      <c r="Y1348" s="46" t="s">
        <v>640</v>
      </c>
      <c r="Z1348" s="46" t="b">
        <v>0</v>
      </c>
      <c r="AA1348" s="46" t="b">
        <v>0</v>
      </c>
    </row>
    <row r="1349">
      <c r="A1349" s="157" t="s">
        <v>565</v>
      </c>
      <c r="B1349" s="158">
        <v>3.0</v>
      </c>
      <c r="C1349" s="157" t="s">
        <v>1215</v>
      </c>
      <c r="D1349" s="157" t="s">
        <v>4180</v>
      </c>
      <c r="E1349" s="157" t="s">
        <v>4181</v>
      </c>
      <c r="F1349" s="157" t="s">
        <v>4194</v>
      </c>
      <c r="G1349" s="157" t="s">
        <v>4195</v>
      </c>
      <c r="H1349" s="157"/>
      <c r="I1349" s="158">
        <v>13.80121838</v>
      </c>
      <c r="J1349" s="158">
        <v>50.64063215</v>
      </c>
      <c r="K1349" s="157" t="s">
        <v>4196</v>
      </c>
      <c r="L1349" s="157" t="s">
        <v>648</v>
      </c>
      <c r="M1349" s="158">
        <v>2020.0</v>
      </c>
      <c r="N1349" s="157" t="s">
        <v>550</v>
      </c>
      <c r="O1349" s="157" t="s">
        <v>4181</v>
      </c>
      <c r="P1349" s="161" t="b">
        <v>1</v>
      </c>
      <c r="Q1349" s="158">
        <v>0.27474</v>
      </c>
      <c r="R1349" s="158">
        <v>0.0</v>
      </c>
      <c r="S1349" s="158">
        <v>0.27474</v>
      </c>
      <c r="T1349" s="157" t="s">
        <v>550</v>
      </c>
      <c r="U1349" s="46" t="s">
        <v>651</v>
      </c>
      <c r="V1349" s="46" t="b">
        <v>1</v>
      </c>
      <c r="W1349" s="46">
        <v>0.95</v>
      </c>
      <c r="X1349" s="46">
        <v>0.0</v>
      </c>
      <c r="Y1349" s="46">
        <v>33.4808606923581</v>
      </c>
      <c r="Z1349" s="46" t="b">
        <v>1</v>
      </c>
      <c r="AA1349" s="46" t="b">
        <v>1</v>
      </c>
    </row>
    <row r="1350">
      <c r="A1350" s="157" t="s">
        <v>556</v>
      </c>
      <c r="B1350" s="158">
        <v>3.0</v>
      </c>
      <c r="C1350" s="157" t="s">
        <v>1215</v>
      </c>
      <c r="D1350" s="157" t="s">
        <v>4180</v>
      </c>
      <c r="E1350" s="157" t="s">
        <v>4181</v>
      </c>
      <c r="F1350" s="157" t="s">
        <v>4197</v>
      </c>
      <c r="G1350" s="157" t="s">
        <v>4198</v>
      </c>
      <c r="H1350" s="157"/>
      <c r="I1350" s="158">
        <v>2.30119</v>
      </c>
      <c r="J1350" s="158">
        <v>50.73078</v>
      </c>
      <c r="K1350" s="157" t="s">
        <v>4199</v>
      </c>
      <c r="L1350" s="157" t="s">
        <v>648</v>
      </c>
      <c r="M1350" s="158">
        <v>2022.0</v>
      </c>
      <c r="N1350" s="157" t="s">
        <v>550</v>
      </c>
      <c r="O1350" s="157" t="s">
        <v>4181</v>
      </c>
      <c r="P1350" s="161" t="b">
        <v>1</v>
      </c>
      <c r="Q1350" s="158">
        <v>0.21</v>
      </c>
      <c r="R1350" s="158">
        <v>0.0</v>
      </c>
      <c r="S1350" s="158">
        <v>0.21</v>
      </c>
      <c r="T1350" s="157" t="s">
        <v>550</v>
      </c>
      <c r="U1350" s="46" t="s">
        <v>651</v>
      </c>
      <c r="V1350" s="46" t="b">
        <v>1</v>
      </c>
      <c r="W1350" s="46">
        <v>0.95</v>
      </c>
      <c r="X1350" s="46">
        <v>0.0</v>
      </c>
      <c r="Y1350" s="46">
        <v>5.64798394732711</v>
      </c>
      <c r="Z1350" s="46" t="b">
        <v>1</v>
      </c>
      <c r="AA1350" s="46" t="b">
        <v>1</v>
      </c>
    </row>
    <row r="1351">
      <c r="A1351" s="157" t="s">
        <v>556</v>
      </c>
      <c r="B1351" s="158">
        <v>3.0</v>
      </c>
      <c r="C1351" s="157" t="s">
        <v>1215</v>
      </c>
      <c r="D1351" s="157" t="s">
        <v>4180</v>
      </c>
      <c r="E1351" s="157" t="s">
        <v>4181</v>
      </c>
      <c r="F1351" s="157" t="s">
        <v>4200</v>
      </c>
      <c r="G1351" s="157" t="s">
        <v>4201</v>
      </c>
      <c r="H1351" s="157"/>
      <c r="I1351" s="158">
        <v>6.84162</v>
      </c>
      <c r="J1351" s="158">
        <v>49.1046</v>
      </c>
      <c r="K1351" s="157" t="s">
        <v>4202</v>
      </c>
      <c r="L1351" s="157" t="s">
        <v>648</v>
      </c>
      <c r="M1351" s="158">
        <v>2022.0</v>
      </c>
      <c r="N1351" s="157" t="s">
        <v>550</v>
      </c>
      <c r="O1351" s="157" t="s">
        <v>4181</v>
      </c>
      <c r="P1351" s="161" t="b">
        <v>1</v>
      </c>
      <c r="Q1351" s="158">
        <v>0.138</v>
      </c>
      <c r="R1351" s="158">
        <v>0.0</v>
      </c>
      <c r="S1351" s="158">
        <v>0.138</v>
      </c>
      <c r="T1351" s="157" t="s">
        <v>550</v>
      </c>
      <c r="U1351" s="46" t="s">
        <v>651</v>
      </c>
      <c r="V1351" s="46" t="b">
        <v>1</v>
      </c>
      <c r="W1351" s="46">
        <v>0.95</v>
      </c>
      <c r="X1351" s="46">
        <v>0.0</v>
      </c>
      <c r="Y1351" s="46">
        <v>5.0120223000697</v>
      </c>
      <c r="Z1351" s="46" t="b">
        <v>1</v>
      </c>
      <c r="AA1351" s="46" t="b">
        <v>1</v>
      </c>
    </row>
    <row r="1352">
      <c r="A1352" s="157" t="s">
        <v>556</v>
      </c>
      <c r="B1352" s="158">
        <v>3.0</v>
      </c>
      <c r="C1352" s="157" t="s">
        <v>1215</v>
      </c>
      <c r="D1352" s="157" t="s">
        <v>4180</v>
      </c>
      <c r="E1352" s="157" t="s">
        <v>4181</v>
      </c>
      <c r="F1352" s="157" t="s">
        <v>4203</v>
      </c>
      <c r="G1352" s="157" t="s">
        <v>4204</v>
      </c>
      <c r="H1352" s="157"/>
      <c r="I1352" s="158">
        <v>4.84205</v>
      </c>
      <c r="J1352" s="158">
        <v>46.803</v>
      </c>
      <c r="K1352" s="157" t="s">
        <v>4205</v>
      </c>
      <c r="L1352" s="157" t="s">
        <v>648</v>
      </c>
      <c r="M1352" s="158">
        <v>2022.0</v>
      </c>
      <c r="N1352" s="157" t="s">
        <v>550</v>
      </c>
      <c r="O1352" s="157" t="s">
        <v>4181</v>
      </c>
      <c r="P1352" s="161" t="b">
        <v>1</v>
      </c>
      <c r="Q1352" s="158">
        <v>0.137</v>
      </c>
      <c r="R1352" s="158">
        <v>0.0</v>
      </c>
      <c r="S1352" s="158">
        <v>0.137</v>
      </c>
      <c r="T1352" s="157" t="s">
        <v>550</v>
      </c>
      <c r="U1352" s="46" t="s">
        <v>651</v>
      </c>
      <c r="V1352" s="46" t="b">
        <v>1</v>
      </c>
      <c r="W1352" s="46">
        <v>0.95</v>
      </c>
      <c r="X1352" s="46">
        <v>0.0</v>
      </c>
      <c r="Y1352" s="46">
        <v>70.3888666725316</v>
      </c>
      <c r="Z1352" s="46" t="b">
        <v>0</v>
      </c>
      <c r="AA1352" s="46" t="b">
        <v>1</v>
      </c>
    </row>
    <row r="1353">
      <c r="A1353" s="157" t="s">
        <v>556</v>
      </c>
      <c r="B1353" s="158">
        <v>3.0</v>
      </c>
      <c r="C1353" s="157" t="s">
        <v>1215</v>
      </c>
      <c r="D1353" s="157" t="s">
        <v>4180</v>
      </c>
      <c r="E1353" s="157" t="s">
        <v>4181</v>
      </c>
      <c r="F1353" s="157" t="s">
        <v>4206</v>
      </c>
      <c r="G1353" s="157" t="s">
        <v>4207</v>
      </c>
      <c r="H1353" s="157"/>
      <c r="I1353" s="158">
        <v>7.50798</v>
      </c>
      <c r="J1353" s="158">
        <v>47.7587</v>
      </c>
      <c r="K1353" s="157" t="s">
        <v>4208</v>
      </c>
      <c r="L1353" s="157" t="s">
        <v>648</v>
      </c>
      <c r="M1353" s="158">
        <v>2022.0</v>
      </c>
      <c r="N1353" s="157" t="s">
        <v>550</v>
      </c>
      <c r="O1353" s="157" t="s">
        <v>4181</v>
      </c>
      <c r="P1353" s="161" t="b">
        <v>1</v>
      </c>
      <c r="Q1353" s="158">
        <v>0.109</v>
      </c>
      <c r="R1353" s="158">
        <v>0.0</v>
      </c>
      <c r="S1353" s="158">
        <v>0.109</v>
      </c>
      <c r="T1353" s="157" t="s">
        <v>550</v>
      </c>
      <c r="U1353" s="46" t="s">
        <v>651</v>
      </c>
      <c r="V1353" s="46" t="b">
        <v>1</v>
      </c>
      <c r="W1353" s="46">
        <v>0.95</v>
      </c>
      <c r="X1353" s="46">
        <v>0.0</v>
      </c>
      <c r="Y1353" s="46">
        <v>39.9060113338925</v>
      </c>
      <c r="Z1353" s="46" t="b">
        <v>1</v>
      </c>
      <c r="AA1353" s="46" t="b">
        <v>1</v>
      </c>
    </row>
    <row r="1354">
      <c r="A1354" s="157" t="s">
        <v>556</v>
      </c>
      <c r="B1354" s="158">
        <v>3.0</v>
      </c>
      <c r="C1354" s="157" t="s">
        <v>1215</v>
      </c>
      <c r="D1354" s="157" t="s">
        <v>4180</v>
      </c>
      <c r="E1354" s="157" t="s">
        <v>4181</v>
      </c>
      <c r="F1354" s="157" t="s">
        <v>4209</v>
      </c>
      <c r="G1354" s="157" t="s">
        <v>4210</v>
      </c>
      <c r="H1354" s="157"/>
      <c r="I1354" s="158">
        <v>4.0304</v>
      </c>
      <c r="J1354" s="158">
        <v>50.2877</v>
      </c>
      <c r="K1354" s="157" t="s">
        <v>4211</v>
      </c>
      <c r="L1354" s="157" t="s">
        <v>648</v>
      </c>
      <c r="M1354" s="158">
        <v>2022.0</v>
      </c>
      <c r="N1354" s="157" t="s">
        <v>550</v>
      </c>
      <c r="O1354" s="157" t="s">
        <v>4181</v>
      </c>
      <c r="P1354" s="161" t="b">
        <v>1</v>
      </c>
      <c r="Q1354" s="158">
        <v>0.107</v>
      </c>
      <c r="R1354" s="158">
        <v>0.0</v>
      </c>
      <c r="S1354" s="158">
        <v>0.107</v>
      </c>
      <c r="T1354" s="157" t="s">
        <v>550</v>
      </c>
      <c r="U1354" s="46" t="s">
        <v>651</v>
      </c>
      <c r="V1354" s="46" t="b">
        <v>1</v>
      </c>
      <c r="W1354" s="46">
        <v>0.95</v>
      </c>
      <c r="X1354" s="46">
        <v>0.0</v>
      </c>
      <c r="Y1354" s="46">
        <v>9.2502300670942</v>
      </c>
      <c r="Z1354" s="46" t="b">
        <v>1</v>
      </c>
      <c r="AA1354" s="46" t="b">
        <v>1</v>
      </c>
    </row>
    <row r="1355">
      <c r="A1355" s="157" t="s">
        <v>557</v>
      </c>
      <c r="B1355" s="158">
        <v>3.0</v>
      </c>
      <c r="C1355" s="157" t="s">
        <v>1215</v>
      </c>
      <c r="D1355" s="157" t="s">
        <v>4180</v>
      </c>
      <c r="E1355" s="157" t="s">
        <v>4181</v>
      </c>
      <c r="F1355" s="162" t="s">
        <v>4212</v>
      </c>
      <c r="G1355" s="157" t="s">
        <v>4213</v>
      </c>
      <c r="H1355" s="157"/>
      <c r="I1355" s="158">
        <v>6.93341896789284</v>
      </c>
      <c r="J1355" s="158">
        <v>51.5662330196937</v>
      </c>
      <c r="K1355" s="157" t="s">
        <v>4214</v>
      </c>
      <c r="L1355" s="157" t="s">
        <v>648</v>
      </c>
      <c r="M1355" s="158">
        <v>2022.0</v>
      </c>
      <c r="N1355" s="157" t="s">
        <v>550</v>
      </c>
      <c r="O1355" s="157" t="s">
        <v>4181</v>
      </c>
      <c r="P1355" s="161" t="b">
        <v>1</v>
      </c>
      <c r="Q1355" s="158">
        <v>0.248</v>
      </c>
      <c r="R1355" s="158">
        <v>0.0</v>
      </c>
      <c r="S1355" s="158">
        <v>0.248</v>
      </c>
      <c r="T1355" s="157" t="s">
        <v>550</v>
      </c>
      <c r="U1355" s="46" t="s">
        <v>651</v>
      </c>
      <c r="V1355" s="46" t="b">
        <v>1</v>
      </c>
      <c r="W1355" s="46">
        <v>0.95</v>
      </c>
      <c r="X1355" s="46">
        <v>0.0</v>
      </c>
      <c r="Y1355" s="46">
        <v>16.6277270117979</v>
      </c>
      <c r="Z1355" s="46" t="b">
        <v>1</v>
      </c>
      <c r="AA1355" s="46" t="b">
        <v>1</v>
      </c>
    </row>
    <row r="1356">
      <c r="A1356" s="157" t="s">
        <v>557</v>
      </c>
      <c r="B1356" s="158">
        <v>3.0</v>
      </c>
      <c r="C1356" s="157" t="s">
        <v>1215</v>
      </c>
      <c r="D1356" s="157" t="s">
        <v>4180</v>
      </c>
      <c r="E1356" s="157" t="s">
        <v>4181</v>
      </c>
      <c r="F1356" s="162" t="s">
        <v>4215</v>
      </c>
      <c r="G1356" s="157" t="s">
        <v>4216</v>
      </c>
      <c r="H1356" s="157"/>
      <c r="I1356" s="158">
        <v>12.0764688642303</v>
      </c>
      <c r="J1356" s="158">
        <v>49.6200881852925</v>
      </c>
      <c r="K1356" s="157" t="s">
        <v>4217</v>
      </c>
      <c r="L1356" s="157" t="s">
        <v>648</v>
      </c>
      <c r="M1356" s="158">
        <v>2022.0</v>
      </c>
      <c r="N1356" s="157" t="s">
        <v>550</v>
      </c>
      <c r="O1356" s="157" t="s">
        <v>4181</v>
      </c>
      <c r="P1356" s="161" t="b">
        <v>1</v>
      </c>
      <c r="Q1356" s="158">
        <v>0.232</v>
      </c>
      <c r="R1356" s="158">
        <v>0.0</v>
      </c>
      <c r="S1356" s="158">
        <v>0.232</v>
      </c>
      <c r="T1356" s="157" t="s">
        <v>550</v>
      </c>
      <c r="U1356" s="46" t="s">
        <v>651</v>
      </c>
      <c r="V1356" s="46" t="b">
        <v>1</v>
      </c>
      <c r="W1356" s="46">
        <v>0.95</v>
      </c>
      <c r="X1356" s="46">
        <v>0.0</v>
      </c>
      <c r="Y1356" s="46">
        <v>12.0941397124474</v>
      </c>
      <c r="Z1356" s="46" t="b">
        <v>1</v>
      </c>
      <c r="AA1356" s="46" t="b">
        <v>1</v>
      </c>
    </row>
    <row r="1357">
      <c r="A1357" s="157" t="s">
        <v>557</v>
      </c>
      <c r="B1357" s="158">
        <v>3.0</v>
      </c>
      <c r="C1357" s="157" t="s">
        <v>1215</v>
      </c>
      <c r="D1357" s="157" t="s">
        <v>4180</v>
      </c>
      <c r="E1357" s="157" t="s">
        <v>4181</v>
      </c>
      <c r="F1357" s="162" t="s">
        <v>4218</v>
      </c>
      <c r="G1357" s="157" t="s">
        <v>4219</v>
      </c>
      <c r="H1357" s="157"/>
      <c r="I1357" s="158">
        <v>7.06458706146246</v>
      </c>
      <c r="J1357" s="158">
        <v>50.8744784101201</v>
      </c>
      <c r="K1357" s="157" t="s">
        <v>4090</v>
      </c>
      <c r="L1357" s="157" t="s">
        <v>648</v>
      </c>
      <c r="M1357" s="158">
        <v>2022.0</v>
      </c>
      <c r="N1357" s="157" t="s">
        <v>550</v>
      </c>
      <c r="O1357" s="157" t="s">
        <v>4181</v>
      </c>
      <c r="P1357" s="161" t="b">
        <v>1</v>
      </c>
      <c r="Q1357" s="158">
        <v>0.146</v>
      </c>
      <c r="R1357" s="158">
        <v>0.0</v>
      </c>
      <c r="S1357" s="158">
        <v>0.146</v>
      </c>
      <c r="T1357" s="157" t="s">
        <v>550</v>
      </c>
      <c r="U1357" s="46" t="s">
        <v>651</v>
      </c>
      <c r="V1357" s="46" t="b">
        <v>1</v>
      </c>
      <c r="W1357" s="46">
        <v>0.95</v>
      </c>
      <c r="X1357" s="46">
        <v>0.0</v>
      </c>
      <c r="Y1357" s="46">
        <v>6.52570717511935</v>
      </c>
      <c r="Z1357" s="46" t="b">
        <v>1</v>
      </c>
      <c r="AA1357" s="46" t="b">
        <v>1</v>
      </c>
    </row>
    <row r="1358">
      <c r="A1358" s="157" t="s">
        <v>557</v>
      </c>
      <c r="B1358" s="158">
        <v>3.0</v>
      </c>
      <c r="C1358" s="157" t="s">
        <v>1215</v>
      </c>
      <c r="D1358" s="157" t="s">
        <v>4180</v>
      </c>
      <c r="E1358" s="157" t="s">
        <v>4181</v>
      </c>
      <c r="F1358" s="162" t="s">
        <v>4220</v>
      </c>
      <c r="G1358" s="157" t="s">
        <v>4221</v>
      </c>
      <c r="H1358" s="157"/>
      <c r="I1358" s="158">
        <v>11.5807796104315</v>
      </c>
      <c r="J1358" s="158">
        <v>52.0575721581521</v>
      </c>
      <c r="K1358" s="157" t="s">
        <v>4222</v>
      </c>
      <c r="L1358" s="157" t="s">
        <v>648</v>
      </c>
      <c r="M1358" s="158">
        <v>2022.0</v>
      </c>
      <c r="N1358" s="157" t="s">
        <v>550</v>
      </c>
      <c r="O1358" s="157" t="s">
        <v>4181</v>
      </c>
      <c r="P1358" s="161" t="b">
        <v>1</v>
      </c>
      <c r="Q1358" s="158">
        <v>0.138</v>
      </c>
      <c r="R1358" s="158">
        <v>0.0</v>
      </c>
      <c r="S1358" s="158">
        <v>0.138</v>
      </c>
      <c r="T1358" s="157" t="s">
        <v>550</v>
      </c>
      <c r="U1358" s="46" t="s">
        <v>651</v>
      </c>
      <c r="V1358" s="46" t="b">
        <v>1</v>
      </c>
      <c r="W1358" s="46">
        <v>0.95</v>
      </c>
      <c r="X1358" s="46">
        <v>0.0</v>
      </c>
      <c r="Y1358" s="46">
        <v>0.797540075158981</v>
      </c>
      <c r="Z1358" s="46" t="b">
        <v>1</v>
      </c>
      <c r="AA1358" s="46" t="b">
        <v>1</v>
      </c>
    </row>
    <row r="1359">
      <c r="A1359" s="157" t="s">
        <v>557</v>
      </c>
      <c r="B1359" s="158">
        <v>3.0</v>
      </c>
      <c r="C1359" s="157" t="s">
        <v>1215</v>
      </c>
      <c r="D1359" s="157" t="s">
        <v>4180</v>
      </c>
      <c r="E1359" s="157" t="s">
        <v>4181</v>
      </c>
      <c r="F1359" s="162" t="s">
        <v>4223</v>
      </c>
      <c r="G1359" s="157" t="s">
        <v>4224</v>
      </c>
      <c r="H1359" s="157"/>
      <c r="I1359" s="158">
        <v>11.4401830927221</v>
      </c>
      <c r="J1359" s="158">
        <v>52.2744246584127</v>
      </c>
      <c r="K1359" s="157" t="s">
        <v>4225</v>
      </c>
      <c r="L1359" s="157" t="s">
        <v>648</v>
      </c>
      <c r="M1359" s="158">
        <v>2022.0</v>
      </c>
      <c r="N1359" s="157" t="s">
        <v>550</v>
      </c>
      <c r="O1359" s="157" t="s">
        <v>4181</v>
      </c>
      <c r="P1359" s="161" t="b">
        <v>1</v>
      </c>
      <c r="Q1359" s="158">
        <v>0.13</v>
      </c>
      <c r="R1359" s="158">
        <v>0.0</v>
      </c>
      <c r="S1359" s="158">
        <v>0.13</v>
      </c>
      <c r="T1359" s="157" t="s">
        <v>550</v>
      </c>
      <c r="U1359" s="46" t="s">
        <v>651</v>
      </c>
      <c r="V1359" s="46" t="b">
        <v>1</v>
      </c>
      <c r="W1359" s="46">
        <v>0.95</v>
      </c>
      <c r="X1359" s="46">
        <v>0.0</v>
      </c>
      <c r="Y1359" s="164">
        <v>4.36545795676604E-7</v>
      </c>
      <c r="Z1359" s="46" t="b">
        <v>1</v>
      </c>
      <c r="AA1359" s="46" t="b">
        <v>1</v>
      </c>
    </row>
    <row r="1360">
      <c r="A1360" s="157" t="s">
        <v>557</v>
      </c>
      <c r="B1360" s="158">
        <v>3.0</v>
      </c>
      <c r="C1360" s="157" t="s">
        <v>1215</v>
      </c>
      <c r="D1360" s="157" t="s">
        <v>4180</v>
      </c>
      <c r="E1360" s="157" t="s">
        <v>4181</v>
      </c>
      <c r="F1360" s="162" t="s">
        <v>4226</v>
      </c>
      <c r="G1360" s="157" t="s">
        <v>4227</v>
      </c>
      <c r="H1360" s="157"/>
      <c r="I1360" s="158">
        <v>12.2435785466782</v>
      </c>
      <c r="J1360" s="158">
        <v>49.9465768300534</v>
      </c>
      <c r="K1360" s="157" t="s">
        <v>4228</v>
      </c>
      <c r="L1360" s="157" t="s">
        <v>648</v>
      </c>
      <c r="M1360" s="158">
        <v>2022.0</v>
      </c>
      <c r="N1360" s="157" t="s">
        <v>550</v>
      </c>
      <c r="O1360" s="157" t="s">
        <v>4181</v>
      </c>
      <c r="P1360" s="161" t="b">
        <v>1</v>
      </c>
      <c r="Q1360" s="158">
        <v>0.119</v>
      </c>
      <c r="R1360" s="158">
        <v>0.0</v>
      </c>
      <c r="S1360" s="158">
        <v>0.119</v>
      </c>
      <c r="T1360" s="157" t="s">
        <v>550</v>
      </c>
      <c r="U1360" s="46" t="s">
        <v>651</v>
      </c>
      <c r="V1360" s="46" t="b">
        <v>1</v>
      </c>
      <c r="W1360" s="46">
        <v>0.95</v>
      </c>
      <c r="X1360" s="46">
        <v>0.0</v>
      </c>
      <c r="Y1360" s="46">
        <v>39.5374420379267</v>
      </c>
      <c r="Z1360" s="46" t="b">
        <v>1</v>
      </c>
      <c r="AA1360" s="46" t="b">
        <v>1</v>
      </c>
    </row>
    <row r="1361">
      <c r="A1361" s="157" t="s">
        <v>557</v>
      </c>
      <c r="B1361" s="158">
        <v>3.0</v>
      </c>
      <c r="C1361" s="157" t="s">
        <v>1215</v>
      </c>
      <c r="D1361" s="157" t="s">
        <v>4180</v>
      </c>
      <c r="E1361" s="157" t="s">
        <v>4181</v>
      </c>
      <c r="F1361" s="162" t="s">
        <v>4229</v>
      </c>
      <c r="G1361" s="157" t="s">
        <v>4230</v>
      </c>
      <c r="H1361" s="157"/>
      <c r="I1361" s="158">
        <v>13.0035502759774</v>
      </c>
      <c r="J1361" s="158">
        <v>51.5796507723213</v>
      </c>
      <c r="K1361" s="157" t="s">
        <v>4231</v>
      </c>
      <c r="L1361" s="157" t="s">
        <v>648</v>
      </c>
      <c r="M1361" s="158">
        <v>2022.0</v>
      </c>
      <c r="N1361" s="157" t="s">
        <v>550</v>
      </c>
      <c r="O1361" s="157" t="s">
        <v>4181</v>
      </c>
      <c r="P1361" s="161" t="b">
        <v>1</v>
      </c>
      <c r="Q1361" s="158">
        <v>0.115</v>
      </c>
      <c r="R1361" s="158">
        <v>0.0</v>
      </c>
      <c r="S1361" s="158">
        <v>0.115</v>
      </c>
      <c r="T1361" s="157" t="s">
        <v>550</v>
      </c>
      <c r="U1361" s="46" t="s">
        <v>651</v>
      </c>
      <c r="V1361" s="46" t="b">
        <v>1</v>
      </c>
      <c r="W1361" s="46">
        <v>0.95</v>
      </c>
      <c r="X1361" s="46">
        <v>0.0</v>
      </c>
      <c r="Y1361" s="46">
        <v>14.7758256498156</v>
      </c>
      <c r="Z1361" s="46" t="b">
        <v>1</v>
      </c>
      <c r="AA1361" s="46" t="b">
        <v>1</v>
      </c>
    </row>
    <row r="1362">
      <c r="A1362" s="157" t="s">
        <v>557</v>
      </c>
      <c r="B1362" s="158">
        <v>3.0</v>
      </c>
      <c r="C1362" s="157" t="s">
        <v>1215</v>
      </c>
      <c r="D1362" s="157" t="s">
        <v>4180</v>
      </c>
      <c r="E1362" s="157" t="s">
        <v>4181</v>
      </c>
      <c r="F1362" s="162" t="s">
        <v>4232</v>
      </c>
      <c r="G1362" s="157" t="s">
        <v>4233</v>
      </c>
      <c r="H1362" s="157"/>
      <c r="I1362" s="158">
        <v>12.2433875883319</v>
      </c>
      <c r="J1362" s="158">
        <v>51.6512326752397</v>
      </c>
      <c r="K1362" s="157" t="s">
        <v>4234</v>
      </c>
      <c r="L1362" s="157" t="s">
        <v>648</v>
      </c>
      <c r="M1362" s="158">
        <v>2022.0</v>
      </c>
      <c r="N1362" s="157" t="s">
        <v>550</v>
      </c>
      <c r="O1362" s="157" t="s">
        <v>4181</v>
      </c>
      <c r="P1362" s="161" t="b">
        <v>1</v>
      </c>
      <c r="Q1362" s="158">
        <v>0.109</v>
      </c>
      <c r="R1362" s="158">
        <v>0.0</v>
      </c>
      <c r="S1362" s="158">
        <v>0.109</v>
      </c>
      <c r="T1362" s="157" t="s">
        <v>550</v>
      </c>
      <c r="U1362" s="46" t="s">
        <v>651</v>
      </c>
      <c r="V1362" s="46" t="b">
        <v>1</v>
      </c>
      <c r="W1362" s="46">
        <v>0.95</v>
      </c>
      <c r="X1362" s="46">
        <v>0.0</v>
      </c>
      <c r="Y1362" s="46">
        <v>26.4526299874186</v>
      </c>
      <c r="Z1362" s="46" t="b">
        <v>1</v>
      </c>
      <c r="AA1362" s="46" t="b">
        <v>1</v>
      </c>
    </row>
    <row r="1363">
      <c r="A1363" s="157" t="s">
        <v>557</v>
      </c>
      <c r="B1363" s="158">
        <v>3.0</v>
      </c>
      <c r="C1363" s="157" t="s">
        <v>1215</v>
      </c>
      <c r="D1363" s="157" t="s">
        <v>4180</v>
      </c>
      <c r="E1363" s="157" t="s">
        <v>4181</v>
      </c>
      <c r="F1363" s="162" t="s">
        <v>4235</v>
      </c>
      <c r="G1363" s="157" t="s">
        <v>4236</v>
      </c>
      <c r="H1363" s="157"/>
      <c r="I1363" s="158">
        <v>11.3820935858754</v>
      </c>
      <c r="J1363" s="158">
        <v>50.4395476860768</v>
      </c>
      <c r="K1363" s="157" t="s">
        <v>4237</v>
      </c>
      <c r="L1363" s="157" t="s">
        <v>648</v>
      </c>
      <c r="M1363" s="158">
        <v>2022.0</v>
      </c>
      <c r="N1363" s="157" t="s">
        <v>550</v>
      </c>
      <c r="O1363" s="157" t="s">
        <v>4181</v>
      </c>
      <c r="P1363" s="161" t="b">
        <v>1</v>
      </c>
      <c r="Q1363" s="158">
        <v>0.102</v>
      </c>
      <c r="R1363" s="158">
        <v>0.0</v>
      </c>
      <c r="S1363" s="158">
        <v>0.102</v>
      </c>
      <c r="T1363" s="157" t="s">
        <v>550</v>
      </c>
      <c r="U1363" s="46" t="s">
        <v>651</v>
      </c>
      <c r="V1363" s="46" t="b">
        <v>1</v>
      </c>
      <c r="W1363" s="46">
        <v>0.95</v>
      </c>
      <c r="X1363" s="46">
        <v>0.0</v>
      </c>
      <c r="Y1363" s="46">
        <v>86.2453832169558</v>
      </c>
      <c r="Z1363" s="46" t="b">
        <v>0</v>
      </c>
      <c r="AA1363" s="46" t="b">
        <v>1</v>
      </c>
    </row>
    <row r="1364">
      <c r="A1364" s="157" t="s">
        <v>569</v>
      </c>
      <c r="B1364" s="158">
        <v>3.0</v>
      </c>
      <c r="C1364" s="157" t="s">
        <v>1215</v>
      </c>
      <c r="D1364" s="157" t="s">
        <v>4180</v>
      </c>
      <c r="E1364" s="157" t="s">
        <v>4181</v>
      </c>
      <c r="F1364" s="157" t="s">
        <v>4238</v>
      </c>
      <c r="G1364" s="157" t="s">
        <v>4239</v>
      </c>
      <c r="H1364" s="157"/>
      <c r="I1364" s="158">
        <v>20.686429</v>
      </c>
      <c r="J1364" s="158">
        <v>46.586773</v>
      </c>
      <c r="K1364" s="157" t="s">
        <v>4240</v>
      </c>
      <c r="L1364" s="157" t="s">
        <v>648</v>
      </c>
      <c r="M1364" s="158">
        <v>2018.0</v>
      </c>
      <c r="N1364" s="157" t="s">
        <v>550</v>
      </c>
      <c r="O1364" s="157" t="s">
        <v>4181</v>
      </c>
      <c r="P1364" s="161" t="b">
        <v>1</v>
      </c>
      <c r="Q1364" s="158">
        <v>0.11341</v>
      </c>
      <c r="R1364" s="158">
        <v>0.0</v>
      </c>
      <c r="S1364" s="158">
        <v>0.11341</v>
      </c>
      <c r="T1364" s="157" t="s">
        <v>550</v>
      </c>
      <c r="U1364" s="46" t="s">
        <v>651</v>
      </c>
      <c r="V1364" s="46" t="b">
        <v>1</v>
      </c>
      <c r="W1364" s="46">
        <v>0.95</v>
      </c>
      <c r="X1364" s="46">
        <v>0.0</v>
      </c>
      <c r="Y1364" s="46" t="s">
        <v>640</v>
      </c>
      <c r="Z1364" s="46" t="b">
        <v>0</v>
      </c>
      <c r="AA1364" s="46" t="b">
        <v>0</v>
      </c>
    </row>
    <row r="1365">
      <c r="A1365" s="157" t="s">
        <v>559</v>
      </c>
      <c r="B1365" s="158">
        <v>3.0</v>
      </c>
      <c r="C1365" s="157" t="s">
        <v>1215</v>
      </c>
      <c r="D1365" s="157" t="s">
        <v>4180</v>
      </c>
      <c r="E1365" s="157" t="s">
        <v>4181</v>
      </c>
      <c r="F1365" s="157" t="s">
        <v>4241</v>
      </c>
      <c r="G1365" s="157" t="s">
        <v>4242</v>
      </c>
      <c r="H1365" s="157"/>
      <c r="I1365" s="158">
        <v>13.2324</v>
      </c>
      <c r="J1365" s="158">
        <v>45.7701</v>
      </c>
      <c r="K1365" s="157" t="s">
        <v>4243</v>
      </c>
      <c r="L1365" s="157" t="s">
        <v>648</v>
      </c>
      <c r="M1365" s="158">
        <v>2022.0</v>
      </c>
      <c r="N1365" s="157" t="s">
        <v>550</v>
      </c>
      <c r="O1365" s="157" t="s">
        <v>4181</v>
      </c>
      <c r="P1365" s="161" t="b">
        <v>1</v>
      </c>
      <c r="Q1365" s="158">
        <v>0.1318205</v>
      </c>
      <c r="R1365" s="158">
        <v>0.0</v>
      </c>
      <c r="S1365" s="158">
        <v>0.1318205</v>
      </c>
      <c r="T1365" s="157" t="s">
        <v>550</v>
      </c>
      <c r="U1365" s="46" t="s">
        <v>651</v>
      </c>
      <c r="V1365" s="46" t="b">
        <v>1</v>
      </c>
      <c r="W1365" s="46">
        <v>0.95</v>
      </c>
      <c r="X1365" s="46">
        <v>0.0</v>
      </c>
      <c r="Y1365" s="46">
        <v>80.3529795322151</v>
      </c>
      <c r="Z1365" s="46" t="b">
        <v>0</v>
      </c>
      <c r="AA1365" s="46" t="b">
        <v>1</v>
      </c>
    </row>
    <row r="1366">
      <c r="A1366" s="157" t="s">
        <v>559</v>
      </c>
      <c r="B1366" s="158">
        <v>3.0</v>
      </c>
      <c r="C1366" s="157" t="s">
        <v>1215</v>
      </c>
      <c r="D1366" s="157" t="s">
        <v>4180</v>
      </c>
      <c r="E1366" s="157" t="s">
        <v>4181</v>
      </c>
      <c r="F1366" s="157" t="s">
        <v>4244</v>
      </c>
      <c r="G1366" s="157" t="s">
        <v>4245</v>
      </c>
      <c r="H1366" s="157"/>
      <c r="I1366" s="158">
        <v>15.938142</v>
      </c>
      <c r="J1366" s="158">
        <v>41.6503009</v>
      </c>
      <c r="K1366" s="157" t="s">
        <v>4246</v>
      </c>
      <c r="L1366" s="157" t="s">
        <v>648</v>
      </c>
      <c r="M1366" s="158">
        <v>2022.0</v>
      </c>
      <c r="N1366" s="157" t="s">
        <v>550</v>
      </c>
      <c r="O1366" s="157" t="s">
        <v>4181</v>
      </c>
      <c r="P1366" s="161" t="b">
        <v>1</v>
      </c>
      <c r="Q1366" s="158">
        <v>0.121712</v>
      </c>
      <c r="R1366" s="158">
        <v>0.0</v>
      </c>
      <c r="S1366" s="158">
        <v>0.121712</v>
      </c>
      <c r="T1366" s="157" t="s">
        <v>550</v>
      </c>
      <c r="U1366" s="46" t="s">
        <v>651</v>
      </c>
      <c r="V1366" s="46" t="b">
        <v>1</v>
      </c>
      <c r="W1366" s="46">
        <v>0.95</v>
      </c>
      <c r="X1366" s="46">
        <v>0.0</v>
      </c>
      <c r="Y1366" s="46" t="s">
        <v>640</v>
      </c>
      <c r="Z1366" s="46" t="b">
        <v>0</v>
      </c>
      <c r="AA1366" s="46" t="b">
        <v>0</v>
      </c>
    </row>
    <row r="1367">
      <c r="A1367" s="157" t="s">
        <v>559</v>
      </c>
      <c r="B1367" s="158">
        <v>3.0</v>
      </c>
      <c r="C1367" s="157" t="s">
        <v>1215</v>
      </c>
      <c r="D1367" s="157" t="s">
        <v>4180</v>
      </c>
      <c r="E1367" s="157" t="s">
        <v>4181</v>
      </c>
      <c r="F1367" s="157" t="s">
        <v>4247</v>
      </c>
      <c r="G1367" s="157" t="s">
        <v>4248</v>
      </c>
      <c r="H1367" s="157"/>
      <c r="I1367" s="158">
        <v>12.2592</v>
      </c>
      <c r="J1367" s="158">
        <v>45.4644</v>
      </c>
      <c r="K1367" s="157" t="s">
        <v>1045</v>
      </c>
      <c r="L1367" s="157" t="s">
        <v>648</v>
      </c>
      <c r="M1367" s="158">
        <v>2022.0</v>
      </c>
      <c r="N1367" s="157" t="s">
        <v>550</v>
      </c>
      <c r="O1367" s="157" t="s">
        <v>4181</v>
      </c>
      <c r="P1367" s="161" t="b">
        <v>1</v>
      </c>
      <c r="Q1367" s="158">
        <v>0.115035</v>
      </c>
      <c r="R1367" s="158">
        <v>0.0</v>
      </c>
      <c r="S1367" s="158">
        <v>0.115035</v>
      </c>
      <c r="T1367" s="157" t="s">
        <v>550</v>
      </c>
      <c r="U1367" s="46" t="s">
        <v>651</v>
      </c>
      <c r="V1367" s="46" t="b">
        <v>1</v>
      </c>
      <c r="W1367" s="46">
        <v>0.95</v>
      </c>
      <c r="X1367" s="46">
        <v>0.0</v>
      </c>
      <c r="Y1367" s="46">
        <v>2.71056232974094</v>
      </c>
      <c r="Z1367" s="46" t="b">
        <v>1</v>
      </c>
      <c r="AA1367" s="46" t="b">
        <v>1</v>
      </c>
    </row>
    <row r="1368">
      <c r="A1368" s="157" t="s">
        <v>559</v>
      </c>
      <c r="B1368" s="158">
        <v>3.0</v>
      </c>
      <c r="C1368" s="157" t="s">
        <v>1215</v>
      </c>
      <c r="D1368" s="157" t="s">
        <v>4180</v>
      </c>
      <c r="E1368" s="157" t="s">
        <v>4181</v>
      </c>
      <c r="F1368" s="157" t="s">
        <v>4249</v>
      </c>
      <c r="G1368" s="157" t="s">
        <v>4250</v>
      </c>
      <c r="H1368" s="157"/>
      <c r="I1368" s="158">
        <v>7.5908</v>
      </c>
      <c r="J1368" s="158">
        <v>44.3867</v>
      </c>
      <c r="K1368" s="157" t="s">
        <v>4251</v>
      </c>
      <c r="L1368" s="157" t="s">
        <v>648</v>
      </c>
      <c r="M1368" s="158">
        <v>2022.0</v>
      </c>
      <c r="N1368" s="157" t="s">
        <v>550</v>
      </c>
      <c r="O1368" s="157" t="s">
        <v>4181</v>
      </c>
      <c r="P1368" s="161" t="b">
        <v>1</v>
      </c>
      <c r="Q1368" s="158">
        <v>0.108998</v>
      </c>
      <c r="R1368" s="158">
        <v>0.0</v>
      </c>
      <c r="S1368" s="158">
        <v>0.108998</v>
      </c>
      <c r="T1368" s="157" t="s">
        <v>550</v>
      </c>
      <c r="U1368" s="46" t="s">
        <v>651</v>
      </c>
      <c r="V1368" s="46" t="b">
        <v>1</v>
      </c>
      <c r="W1368" s="46">
        <v>0.95</v>
      </c>
      <c r="X1368" s="46">
        <v>0.0</v>
      </c>
      <c r="Y1368" s="46">
        <v>121.152860153709</v>
      </c>
      <c r="Z1368" s="46" t="b">
        <v>0</v>
      </c>
      <c r="AA1368" s="46" t="b">
        <v>0</v>
      </c>
    </row>
    <row r="1369">
      <c r="A1369" s="157" t="s">
        <v>559</v>
      </c>
      <c r="B1369" s="158">
        <v>3.0</v>
      </c>
      <c r="C1369" s="157" t="s">
        <v>1215</v>
      </c>
      <c r="D1369" s="157" t="s">
        <v>4180</v>
      </c>
      <c r="E1369" s="157" t="s">
        <v>4181</v>
      </c>
      <c r="F1369" s="157" t="s">
        <v>4252</v>
      </c>
      <c r="G1369" s="157" t="s">
        <v>4253</v>
      </c>
      <c r="H1369" s="157"/>
      <c r="I1369" s="158">
        <v>10.3858</v>
      </c>
      <c r="J1369" s="158">
        <v>43.7061</v>
      </c>
      <c r="K1369" s="157" t="s">
        <v>4254</v>
      </c>
      <c r="L1369" s="157" t="s">
        <v>648</v>
      </c>
      <c r="M1369" s="158">
        <v>2022.0</v>
      </c>
      <c r="N1369" s="157" t="s">
        <v>550</v>
      </c>
      <c r="O1369" s="157" t="s">
        <v>4181</v>
      </c>
      <c r="P1369" s="161" t="b">
        <v>1</v>
      </c>
      <c r="Q1369" s="158">
        <v>0.107243</v>
      </c>
      <c r="R1369" s="158">
        <v>0.0</v>
      </c>
      <c r="S1369" s="158">
        <v>0.107243</v>
      </c>
      <c r="T1369" s="157" t="s">
        <v>550</v>
      </c>
      <c r="U1369" s="46" t="s">
        <v>651</v>
      </c>
      <c r="V1369" s="46" t="b">
        <v>1</v>
      </c>
      <c r="W1369" s="46">
        <v>0.95</v>
      </c>
      <c r="X1369" s="46">
        <v>0.0</v>
      </c>
      <c r="Y1369" s="46">
        <v>102.030464231959</v>
      </c>
      <c r="Z1369" s="46" t="b">
        <v>0</v>
      </c>
      <c r="AA1369" s="46" t="b">
        <v>0</v>
      </c>
    </row>
    <row r="1370">
      <c r="A1370" s="157" t="s">
        <v>559</v>
      </c>
      <c r="B1370" s="158">
        <v>3.0</v>
      </c>
      <c r="C1370" s="157" t="s">
        <v>1215</v>
      </c>
      <c r="D1370" s="157" t="s">
        <v>4180</v>
      </c>
      <c r="E1370" s="157" t="s">
        <v>4181</v>
      </c>
      <c r="F1370" s="157" t="s">
        <v>4255</v>
      </c>
      <c r="G1370" s="157" t="s">
        <v>4256</v>
      </c>
      <c r="H1370" s="157"/>
      <c r="I1370" s="158">
        <v>14.75</v>
      </c>
      <c r="J1370" s="158">
        <v>42.066667</v>
      </c>
      <c r="K1370" s="157" t="s">
        <v>4257</v>
      </c>
      <c r="L1370" s="157" t="s">
        <v>648</v>
      </c>
      <c r="M1370" s="158">
        <v>2022.0</v>
      </c>
      <c r="N1370" s="157" t="s">
        <v>550</v>
      </c>
      <c r="O1370" s="157" t="s">
        <v>4181</v>
      </c>
      <c r="P1370" s="161" t="b">
        <v>1</v>
      </c>
      <c r="Q1370" s="158">
        <v>0.100095</v>
      </c>
      <c r="R1370" s="158">
        <v>0.0</v>
      </c>
      <c r="S1370" s="158">
        <v>0.100095</v>
      </c>
      <c r="T1370" s="157" t="s">
        <v>550</v>
      </c>
      <c r="U1370" s="46" t="s">
        <v>651</v>
      </c>
      <c r="V1370" s="46" t="b">
        <v>1</v>
      </c>
      <c r="W1370" s="46">
        <v>0.95</v>
      </c>
      <c r="X1370" s="46">
        <v>0.0</v>
      </c>
      <c r="Y1370" s="46" t="s">
        <v>640</v>
      </c>
      <c r="Z1370" s="46" t="b">
        <v>0</v>
      </c>
      <c r="AA1370" s="46" t="b">
        <v>0</v>
      </c>
    </row>
    <row r="1371">
      <c r="A1371" s="157" t="s">
        <v>575</v>
      </c>
      <c r="B1371" s="158">
        <v>3.0</v>
      </c>
      <c r="C1371" s="157" t="s">
        <v>1215</v>
      </c>
      <c r="D1371" s="157" t="s">
        <v>4180</v>
      </c>
      <c r="E1371" s="157" t="s">
        <v>4181</v>
      </c>
      <c r="F1371" s="157" t="s">
        <v>4258</v>
      </c>
      <c r="G1371" s="157" t="s">
        <v>4259</v>
      </c>
      <c r="H1371" s="157"/>
      <c r="I1371" s="158">
        <v>5.93165</v>
      </c>
      <c r="J1371" s="158">
        <v>49.56496</v>
      </c>
      <c r="K1371" s="157" t="s">
        <v>4260</v>
      </c>
      <c r="L1371" s="157" t="s">
        <v>648</v>
      </c>
      <c r="M1371" s="158">
        <v>2021.0</v>
      </c>
      <c r="N1371" s="157" t="s">
        <v>550</v>
      </c>
      <c r="O1371" s="157" t="s">
        <v>4181</v>
      </c>
      <c r="P1371" s="161" t="b">
        <v>1</v>
      </c>
      <c r="Q1371" s="158">
        <v>0.114</v>
      </c>
      <c r="R1371" s="158">
        <v>0.0</v>
      </c>
      <c r="S1371" s="158">
        <v>0.114</v>
      </c>
      <c r="T1371" s="157" t="s">
        <v>550</v>
      </c>
      <c r="U1371" s="46" t="s">
        <v>651</v>
      </c>
      <c r="V1371" s="46" t="b">
        <v>1</v>
      </c>
      <c r="W1371" s="46">
        <v>0.95</v>
      </c>
      <c r="X1371" s="46">
        <v>0.0</v>
      </c>
      <c r="Y1371" s="46">
        <v>79.6180373609547</v>
      </c>
      <c r="Z1371" s="46" t="b">
        <v>0</v>
      </c>
      <c r="AA1371" s="46" t="b">
        <v>1</v>
      </c>
    </row>
    <row r="1372">
      <c r="A1372" s="157" t="s">
        <v>570</v>
      </c>
      <c r="B1372" s="158">
        <v>3.0</v>
      </c>
      <c r="C1372" s="157" t="s">
        <v>1215</v>
      </c>
      <c r="D1372" s="157" t="s">
        <v>4180</v>
      </c>
      <c r="E1372" s="157" t="s">
        <v>4181</v>
      </c>
      <c r="F1372" s="157" t="s">
        <v>4261</v>
      </c>
      <c r="G1372" s="157" t="s">
        <v>4262</v>
      </c>
      <c r="H1372" s="157"/>
      <c r="I1372" s="158">
        <v>5.08588</v>
      </c>
      <c r="J1372" s="158">
        <v>51.88821</v>
      </c>
      <c r="K1372" s="157" t="s">
        <v>4263</v>
      </c>
      <c r="L1372" s="157" t="s">
        <v>648</v>
      </c>
      <c r="M1372" s="158">
        <v>2022.0</v>
      </c>
      <c r="N1372" s="157" t="s">
        <v>550</v>
      </c>
      <c r="O1372" s="157" t="s">
        <v>4181</v>
      </c>
      <c r="P1372" s="161" t="b">
        <v>1</v>
      </c>
      <c r="Q1372" s="158">
        <v>0.1</v>
      </c>
      <c r="R1372" s="158">
        <v>0.0</v>
      </c>
      <c r="S1372" s="158">
        <v>0.1</v>
      </c>
      <c r="T1372" s="157" t="s">
        <v>550</v>
      </c>
      <c r="U1372" s="46" t="s">
        <v>651</v>
      </c>
      <c r="V1372" s="46" t="b">
        <v>0</v>
      </c>
      <c r="W1372" s="46">
        <v>0.95</v>
      </c>
      <c r="X1372" s="46">
        <v>0.0</v>
      </c>
      <c r="Y1372" s="46">
        <v>31.0732912900005</v>
      </c>
      <c r="Z1372" s="46" t="b">
        <v>1</v>
      </c>
      <c r="AA1372" s="46" t="b">
        <v>1</v>
      </c>
    </row>
    <row r="1373">
      <c r="A1373" s="157" t="s">
        <v>566</v>
      </c>
      <c r="B1373" s="158">
        <v>3.0</v>
      </c>
      <c r="C1373" s="157" t="s">
        <v>1215</v>
      </c>
      <c r="D1373" s="157" t="s">
        <v>4180</v>
      </c>
      <c r="E1373" s="157" t="s">
        <v>4181</v>
      </c>
      <c r="F1373" s="157" t="s">
        <v>4264</v>
      </c>
      <c r="G1373" s="157" t="s">
        <v>4265</v>
      </c>
      <c r="H1373" s="157"/>
      <c r="I1373" s="158">
        <v>19.93492126</v>
      </c>
      <c r="J1373" s="158">
        <v>51.61977768</v>
      </c>
      <c r="K1373" s="157" t="s">
        <v>4266</v>
      </c>
      <c r="L1373" s="157" t="s">
        <v>648</v>
      </c>
      <c r="M1373" s="158">
        <v>2022.0</v>
      </c>
      <c r="N1373" s="157" t="s">
        <v>550</v>
      </c>
      <c r="O1373" s="157" t="s">
        <v>4181</v>
      </c>
      <c r="P1373" s="161" t="b">
        <v>1</v>
      </c>
      <c r="Q1373" s="158">
        <v>0.313</v>
      </c>
      <c r="R1373" s="158">
        <v>0.0</v>
      </c>
      <c r="S1373" s="158">
        <v>0.313</v>
      </c>
      <c r="T1373" s="157" t="s">
        <v>550</v>
      </c>
      <c r="U1373" s="46" t="s">
        <v>651</v>
      </c>
      <c r="V1373" s="46" t="b">
        <v>1</v>
      </c>
      <c r="W1373" s="46">
        <v>0.95</v>
      </c>
      <c r="X1373" s="46">
        <v>0.0</v>
      </c>
      <c r="Y1373" s="46">
        <v>107.809710896986</v>
      </c>
      <c r="Z1373" s="46" t="b">
        <v>0</v>
      </c>
      <c r="AA1373" s="46" t="b">
        <v>0</v>
      </c>
    </row>
    <row r="1374">
      <c r="A1374" s="157" t="s">
        <v>566</v>
      </c>
      <c r="B1374" s="158">
        <v>3.0</v>
      </c>
      <c r="C1374" s="157" t="s">
        <v>1215</v>
      </c>
      <c r="D1374" s="157" t="s">
        <v>4180</v>
      </c>
      <c r="E1374" s="157" t="s">
        <v>4181</v>
      </c>
      <c r="F1374" s="157" t="s">
        <v>4267</v>
      </c>
      <c r="G1374" s="157" t="s">
        <v>4268</v>
      </c>
      <c r="H1374" s="157"/>
      <c r="I1374" s="158">
        <v>19.18998718</v>
      </c>
      <c r="J1374" s="158">
        <v>50.78034592</v>
      </c>
      <c r="K1374" s="157" t="s">
        <v>2530</v>
      </c>
      <c r="L1374" s="157" t="s">
        <v>648</v>
      </c>
      <c r="M1374" s="158">
        <v>2022.0</v>
      </c>
      <c r="N1374" s="157" t="s">
        <v>550</v>
      </c>
      <c r="O1374" s="157" t="s">
        <v>4181</v>
      </c>
      <c r="P1374" s="161" t="b">
        <v>1</v>
      </c>
      <c r="Q1374" s="158">
        <v>0.307</v>
      </c>
      <c r="R1374" s="158">
        <v>0.0</v>
      </c>
      <c r="S1374" s="158">
        <v>0.307</v>
      </c>
      <c r="T1374" s="157" t="s">
        <v>550</v>
      </c>
      <c r="U1374" s="46" t="s">
        <v>651</v>
      </c>
      <c r="V1374" s="46" t="b">
        <v>1</v>
      </c>
      <c r="W1374" s="46">
        <v>0.95</v>
      </c>
      <c r="X1374" s="46">
        <v>0.0</v>
      </c>
      <c r="Y1374" s="46" t="s">
        <v>640</v>
      </c>
      <c r="Z1374" s="46" t="b">
        <v>0</v>
      </c>
      <c r="AA1374" s="46" t="b">
        <v>0</v>
      </c>
    </row>
    <row r="1375">
      <c r="A1375" s="157" t="s">
        <v>566</v>
      </c>
      <c r="B1375" s="158">
        <v>3.0</v>
      </c>
      <c r="C1375" s="157" t="s">
        <v>1215</v>
      </c>
      <c r="D1375" s="157" t="s">
        <v>4180</v>
      </c>
      <c r="E1375" s="157" t="s">
        <v>4181</v>
      </c>
      <c r="F1375" s="157" t="s">
        <v>4269</v>
      </c>
      <c r="G1375" s="157" t="s">
        <v>4270</v>
      </c>
      <c r="H1375" s="157"/>
      <c r="I1375" s="158">
        <v>19.30139351</v>
      </c>
      <c r="J1375" s="158">
        <v>50.30580139</v>
      </c>
      <c r="K1375" s="157" t="s">
        <v>4271</v>
      </c>
      <c r="L1375" s="157" t="s">
        <v>648</v>
      </c>
      <c r="M1375" s="158">
        <v>2022.0</v>
      </c>
      <c r="N1375" s="157" t="s">
        <v>550</v>
      </c>
      <c r="O1375" s="157" t="s">
        <v>4181</v>
      </c>
      <c r="P1375" s="161" t="b">
        <v>1</v>
      </c>
      <c r="Q1375" s="158">
        <v>0.2</v>
      </c>
      <c r="R1375" s="158">
        <v>0.0</v>
      </c>
      <c r="S1375" s="158">
        <v>0.2</v>
      </c>
      <c r="T1375" s="157" t="s">
        <v>550</v>
      </c>
      <c r="U1375" s="46" t="s">
        <v>651</v>
      </c>
      <c r="V1375" s="46" t="b">
        <v>1</v>
      </c>
      <c r="W1375" s="46">
        <v>0.95</v>
      </c>
      <c r="X1375" s="46">
        <v>0.0</v>
      </c>
      <c r="Y1375" s="46" t="s">
        <v>640</v>
      </c>
      <c r="Z1375" s="46" t="b">
        <v>0</v>
      </c>
      <c r="AA1375" s="46" t="b">
        <v>0</v>
      </c>
    </row>
    <row r="1376">
      <c r="A1376" s="157" t="s">
        <v>566</v>
      </c>
      <c r="B1376" s="158">
        <v>3.0</v>
      </c>
      <c r="C1376" s="157" t="s">
        <v>1215</v>
      </c>
      <c r="D1376" s="157" t="s">
        <v>4180</v>
      </c>
      <c r="E1376" s="157" t="s">
        <v>4181</v>
      </c>
      <c r="F1376" s="157" t="s">
        <v>4272</v>
      </c>
      <c r="G1376" s="157" t="s">
        <v>4273</v>
      </c>
      <c r="H1376" s="157"/>
      <c r="I1376" s="158">
        <v>22.71411133</v>
      </c>
      <c r="J1376" s="158">
        <v>50.00088882</v>
      </c>
      <c r="K1376" s="157" t="s">
        <v>4274</v>
      </c>
      <c r="L1376" s="157" t="s">
        <v>648</v>
      </c>
      <c r="M1376" s="158">
        <v>2022.0</v>
      </c>
      <c r="N1376" s="157" t="s">
        <v>550</v>
      </c>
      <c r="O1376" s="157" t="s">
        <v>4181</v>
      </c>
      <c r="P1376" s="161" t="b">
        <v>1</v>
      </c>
      <c r="Q1376" s="158">
        <v>0.178</v>
      </c>
      <c r="R1376" s="158">
        <v>0.0</v>
      </c>
      <c r="S1376" s="158">
        <v>0.178</v>
      </c>
      <c r="T1376" s="157" t="s">
        <v>550</v>
      </c>
      <c r="U1376" s="46" t="s">
        <v>651</v>
      </c>
      <c r="V1376" s="46" t="b">
        <v>1</v>
      </c>
      <c r="W1376" s="46">
        <v>0.95</v>
      </c>
      <c r="X1376" s="46">
        <v>0.0</v>
      </c>
      <c r="Y1376" s="46" t="s">
        <v>640</v>
      </c>
      <c r="Z1376" s="46" t="b">
        <v>0</v>
      </c>
      <c r="AA1376" s="46" t="b">
        <v>0</v>
      </c>
    </row>
    <row r="1377">
      <c r="A1377" s="157" t="s">
        <v>558</v>
      </c>
      <c r="B1377" s="158">
        <v>3.0</v>
      </c>
      <c r="C1377" s="157" t="s">
        <v>1215</v>
      </c>
      <c r="D1377" s="157" t="s">
        <v>4180</v>
      </c>
      <c r="E1377" s="157" t="s">
        <v>4181</v>
      </c>
      <c r="F1377" s="157" t="s">
        <v>4275</v>
      </c>
      <c r="G1377" s="157" t="s">
        <v>4276</v>
      </c>
      <c r="H1377" s="157"/>
      <c r="I1377" s="158">
        <v>-8.91975</v>
      </c>
      <c r="J1377" s="158">
        <v>39.73671</v>
      </c>
      <c r="K1377" s="157" t="s">
        <v>4277</v>
      </c>
      <c r="L1377" s="157" t="s">
        <v>648</v>
      </c>
      <c r="M1377" s="158">
        <v>2022.0</v>
      </c>
      <c r="N1377" s="157" t="s">
        <v>550</v>
      </c>
      <c r="O1377" s="157" t="s">
        <v>4181</v>
      </c>
      <c r="P1377" s="161" t="b">
        <v>1</v>
      </c>
      <c r="Q1377" s="158">
        <v>0.137</v>
      </c>
      <c r="R1377" s="158">
        <v>0.0</v>
      </c>
      <c r="S1377" s="158">
        <v>0.137</v>
      </c>
      <c r="T1377" s="157" t="s">
        <v>550</v>
      </c>
      <c r="U1377" s="46" t="s">
        <v>651</v>
      </c>
      <c r="V1377" s="46" t="b">
        <v>1</v>
      </c>
      <c r="W1377" s="46">
        <v>0.95</v>
      </c>
      <c r="X1377" s="46">
        <v>0.0</v>
      </c>
      <c r="Y1377" s="46" t="s">
        <v>640</v>
      </c>
      <c r="Z1377" s="46" t="b">
        <v>0</v>
      </c>
      <c r="AA1377" s="46" t="b">
        <v>0</v>
      </c>
    </row>
    <row r="1378">
      <c r="A1378" s="157" t="s">
        <v>576</v>
      </c>
      <c r="B1378" s="158">
        <v>3.0</v>
      </c>
      <c r="C1378" s="157" t="s">
        <v>1215</v>
      </c>
      <c r="D1378" s="157" t="s">
        <v>4180</v>
      </c>
      <c r="E1378" s="157" t="s">
        <v>4181</v>
      </c>
      <c r="F1378" s="157" t="s">
        <v>4278</v>
      </c>
      <c r="G1378" s="157" t="s">
        <v>4279</v>
      </c>
      <c r="H1378" s="157"/>
      <c r="I1378" s="158">
        <v>27.328113</v>
      </c>
      <c r="J1378" s="158">
        <v>44.219374</v>
      </c>
      <c r="K1378" s="157" t="s">
        <v>4280</v>
      </c>
      <c r="L1378" s="157" t="s">
        <v>648</v>
      </c>
      <c r="M1378" s="158">
        <v>2022.0</v>
      </c>
      <c r="N1378" s="157" t="s">
        <v>550</v>
      </c>
      <c r="O1378" s="157" t="s">
        <v>4181</v>
      </c>
      <c r="P1378" s="161" t="b">
        <v>1</v>
      </c>
      <c r="Q1378" s="158">
        <v>0.11</v>
      </c>
      <c r="R1378" s="158">
        <v>0.0</v>
      </c>
      <c r="S1378" s="158">
        <v>0.11</v>
      </c>
      <c r="T1378" s="157" t="s">
        <v>550</v>
      </c>
      <c r="U1378" s="46" t="s">
        <v>651</v>
      </c>
      <c r="V1378" s="46" t="b">
        <v>1</v>
      </c>
      <c r="W1378" s="46">
        <v>0.95</v>
      </c>
      <c r="X1378" s="46">
        <v>0.0</v>
      </c>
      <c r="Y1378" s="46">
        <v>105.143840289534</v>
      </c>
      <c r="Z1378" s="46" t="b">
        <v>0</v>
      </c>
      <c r="AA1378" s="46" t="b">
        <v>0</v>
      </c>
    </row>
    <row r="1379">
      <c r="A1379" s="157" t="s">
        <v>561</v>
      </c>
      <c r="B1379" s="158">
        <v>3.0</v>
      </c>
      <c r="C1379" s="157" t="s">
        <v>1215</v>
      </c>
      <c r="D1379" s="157" t="s">
        <v>4180</v>
      </c>
      <c r="E1379" s="157" t="s">
        <v>4181</v>
      </c>
      <c r="F1379" s="157" t="s">
        <v>4281</v>
      </c>
      <c r="G1379" s="157" t="s">
        <v>4282</v>
      </c>
      <c r="H1379" s="157"/>
      <c r="I1379" s="158">
        <v>-0.9578</v>
      </c>
      <c r="J1379" s="158">
        <v>38.7149</v>
      </c>
      <c r="K1379" s="157" t="s">
        <v>4283</v>
      </c>
      <c r="L1379" s="157" t="s">
        <v>648</v>
      </c>
      <c r="M1379" s="158">
        <v>2022.0</v>
      </c>
      <c r="N1379" s="157" t="s">
        <v>550</v>
      </c>
      <c r="O1379" s="157" t="s">
        <v>4181</v>
      </c>
      <c r="P1379" s="161" t="b">
        <v>1</v>
      </c>
      <c r="Q1379" s="158">
        <v>0.135</v>
      </c>
      <c r="R1379" s="158">
        <v>0.0</v>
      </c>
      <c r="S1379" s="158">
        <v>0.135</v>
      </c>
      <c r="T1379" s="157" t="s">
        <v>550</v>
      </c>
      <c r="U1379" s="46" t="s">
        <v>651</v>
      </c>
      <c r="V1379" s="46" t="b">
        <v>1</v>
      </c>
      <c r="W1379" s="46">
        <v>0.95</v>
      </c>
      <c r="X1379" s="46">
        <v>0.0</v>
      </c>
      <c r="Y1379" s="46" t="s">
        <v>640</v>
      </c>
      <c r="Z1379" s="46" t="b">
        <v>0</v>
      </c>
      <c r="AA1379" s="46" t="b">
        <v>0</v>
      </c>
    </row>
    <row r="1380">
      <c r="A1380" s="157" t="s">
        <v>561</v>
      </c>
      <c r="B1380" s="158">
        <v>3.0</v>
      </c>
      <c r="C1380" s="157" t="s">
        <v>1215</v>
      </c>
      <c r="D1380" s="157" t="s">
        <v>4180</v>
      </c>
      <c r="E1380" s="157" t="s">
        <v>4181</v>
      </c>
      <c r="F1380" s="157" t="s">
        <v>4284</v>
      </c>
      <c r="G1380" s="157" t="s">
        <v>4285</v>
      </c>
      <c r="H1380" s="157"/>
      <c r="I1380" s="158">
        <v>-5.929742</v>
      </c>
      <c r="J1380" s="158">
        <v>43.575665</v>
      </c>
      <c r="K1380" s="157" t="s">
        <v>4286</v>
      </c>
      <c r="L1380" s="157" t="s">
        <v>648</v>
      </c>
      <c r="M1380" s="158">
        <v>2022.0</v>
      </c>
      <c r="N1380" s="157" t="s">
        <v>550</v>
      </c>
      <c r="O1380" s="157" t="s">
        <v>4181</v>
      </c>
      <c r="P1380" s="161" t="b">
        <v>1</v>
      </c>
      <c r="Q1380" s="158">
        <v>0.117</v>
      </c>
      <c r="R1380" s="158">
        <v>0.0</v>
      </c>
      <c r="S1380" s="158">
        <v>0.117</v>
      </c>
      <c r="T1380" s="157" t="s">
        <v>550</v>
      </c>
      <c r="U1380" s="46" t="s">
        <v>651</v>
      </c>
      <c r="V1380" s="46" t="b">
        <v>1</v>
      </c>
      <c r="W1380" s="46">
        <v>0.95</v>
      </c>
      <c r="X1380" s="46">
        <v>0.0</v>
      </c>
      <c r="Y1380" s="46" t="s">
        <v>640</v>
      </c>
      <c r="Z1380" s="46" t="b">
        <v>0</v>
      </c>
      <c r="AA1380" s="46" t="b">
        <v>0</v>
      </c>
    </row>
    <row r="1381">
      <c r="A1381" s="157" t="s">
        <v>561</v>
      </c>
      <c r="B1381" s="158">
        <v>3.0</v>
      </c>
      <c r="C1381" s="157" t="s">
        <v>1215</v>
      </c>
      <c r="D1381" s="157" t="s">
        <v>4180</v>
      </c>
      <c r="E1381" s="157" t="s">
        <v>4181</v>
      </c>
      <c r="F1381" s="157" t="s">
        <v>4287</v>
      </c>
      <c r="G1381" s="157" t="s">
        <v>4288</v>
      </c>
      <c r="H1381" s="157"/>
      <c r="I1381" s="158">
        <v>-6.356428</v>
      </c>
      <c r="J1381" s="158">
        <v>38.566875</v>
      </c>
      <c r="K1381" s="157" t="s">
        <v>4289</v>
      </c>
      <c r="L1381" s="157" t="s">
        <v>648</v>
      </c>
      <c r="M1381" s="158">
        <v>2022.0</v>
      </c>
      <c r="N1381" s="157" t="s">
        <v>550</v>
      </c>
      <c r="O1381" s="157" t="s">
        <v>4181</v>
      </c>
      <c r="P1381" s="161" t="b">
        <v>1</v>
      </c>
      <c r="Q1381" s="158">
        <v>0.116</v>
      </c>
      <c r="R1381" s="158">
        <v>0.0</v>
      </c>
      <c r="S1381" s="158">
        <v>0.116</v>
      </c>
      <c r="T1381" s="157" t="s">
        <v>550</v>
      </c>
      <c r="U1381" s="46" t="s">
        <v>651</v>
      </c>
      <c r="V1381" s="46" t="b">
        <v>1</v>
      </c>
      <c r="W1381" s="46">
        <v>0.95</v>
      </c>
      <c r="X1381" s="46">
        <v>0.0</v>
      </c>
      <c r="Y1381" s="46" t="s">
        <v>640</v>
      </c>
      <c r="Z1381" s="46" t="b">
        <v>0</v>
      </c>
      <c r="AA1381" s="46" t="b">
        <v>0</v>
      </c>
    </row>
    <row r="1382">
      <c r="A1382" s="157" t="s">
        <v>561</v>
      </c>
      <c r="B1382" s="158">
        <v>3.0</v>
      </c>
      <c r="C1382" s="157" t="s">
        <v>1215</v>
      </c>
      <c r="D1382" s="157" t="s">
        <v>4180</v>
      </c>
      <c r="E1382" s="157" t="s">
        <v>4181</v>
      </c>
      <c r="F1382" s="157" t="s">
        <v>4290</v>
      </c>
      <c r="G1382" s="157" t="s">
        <v>4291</v>
      </c>
      <c r="H1382" s="157"/>
      <c r="I1382" s="158">
        <v>-1.665802</v>
      </c>
      <c r="J1382" s="158">
        <v>42.125474</v>
      </c>
      <c r="K1382" s="157" t="s">
        <v>4292</v>
      </c>
      <c r="L1382" s="157" t="s">
        <v>648</v>
      </c>
      <c r="M1382" s="158">
        <v>2022.0</v>
      </c>
      <c r="N1382" s="157" t="s">
        <v>550</v>
      </c>
      <c r="O1382" s="157" t="s">
        <v>4181</v>
      </c>
      <c r="P1382" s="161" t="b">
        <v>1</v>
      </c>
      <c r="Q1382" s="158">
        <v>0.114</v>
      </c>
      <c r="R1382" s="158">
        <v>0.0</v>
      </c>
      <c r="S1382" s="158">
        <v>0.114</v>
      </c>
      <c r="T1382" s="157" t="s">
        <v>550</v>
      </c>
      <c r="U1382" s="46" t="s">
        <v>651</v>
      </c>
      <c r="V1382" s="46" t="b">
        <v>1</v>
      </c>
      <c r="W1382" s="46">
        <v>0.95</v>
      </c>
      <c r="X1382" s="46">
        <v>0.0</v>
      </c>
      <c r="Y1382" s="46">
        <v>168.170174887685</v>
      </c>
      <c r="Z1382" s="46" t="b">
        <v>0</v>
      </c>
      <c r="AA1382" s="46" t="b">
        <v>0</v>
      </c>
    </row>
    <row r="1383">
      <c r="A1383" s="157" t="s">
        <v>561</v>
      </c>
      <c r="B1383" s="158">
        <v>3.0</v>
      </c>
      <c r="C1383" s="157" t="s">
        <v>1215</v>
      </c>
      <c r="D1383" s="157" t="s">
        <v>4180</v>
      </c>
      <c r="E1383" s="157" t="s">
        <v>4181</v>
      </c>
      <c r="F1383" s="157" t="s">
        <v>4293</v>
      </c>
      <c r="G1383" s="157" t="s">
        <v>4294</v>
      </c>
      <c r="H1383" s="157"/>
      <c r="I1383" s="158">
        <v>-3.2595</v>
      </c>
      <c r="J1383" s="158">
        <v>40.5618</v>
      </c>
      <c r="K1383" s="157" t="s">
        <v>4295</v>
      </c>
      <c r="L1383" s="157" t="s">
        <v>648</v>
      </c>
      <c r="M1383" s="158">
        <v>2022.0</v>
      </c>
      <c r="N1383" s="157" t="s">
        <v>550</v>
      </c>
      <c r="O1383" s="157" t="s">
        <v>4181</v>
      </c>
      <c r="P1383" s="161" t="b">
        <v>1</v>
      </c>
      <c r="Q1383" s="158">
        <v>0.108</v>
      </c>
      <c r="R1383" s="158">
        <v>0.0</v>
      </c>
      <c r="S1383" s="158">
        <v>0.108</v>
      </c>
      <c r="T1383" s="157" t="s">
        <v>550</v>
      </c>
      <c r="U1383" s="46" t="s">
        <v>651</v>
      </c>
      <c r="V1383" s="46" t="b">
        <v>1</v>
      </c>
      <c r="W1383" s="46">
        <v>0.95</v>
      </c>
      <c r="X1383" s="46">
        <v>0.0</v>
      </c>
      <c r="Y1383" s="46" t="s">
        <v>640</v>
      </c>
      <c r="Z1383" s="46" t="b">
        <v>0</v>
      </c>
      <c r="AA1383" s="46" t="b">
        <v>0</v>
      </c>
    </row>
    <row r="1384">
      <c r="A1384" s="157" t="s">
        <v>561</v>
      </c>
      <c r="B1384" s="158">
        <v>3.0</v>
      </c>
      <c r="C1384" s="157" t="s">
        <v>1215</v>
      </c>
      <c r="D1384" s="157" t="s">
        <v>4180</v>
      </c>
      <c r="E1384" s="157" t="s">
        <v>4181</v>
      </c>
      <c r="F1384" s="157" t="s">
        <v>4296</v>
      </c>
      <c r="G1384" s="157" t="s">
        <v>4297</v>
      </c>
      <c r="H1384" s="157"/>
      <c r="I1384" s="158">
        <v>-0.255923</v>
      </c>
      <c r="J1384" s="158">
        <v>39.643104</v>
      </c>
      <c r="K1384" s="157" t="s">
        <v>4298</v>
      </c>
      <c r="L1384" s="157" t="s">
        <v>648</v>
      </c>
      <c r="M1384" s="158">
        <v>2022.0</v>
      </c>
      <c r="N1384" s="157" t="s">
        <v>550</v>
      </c>
      <c r="O1384" s="157" t="s">
        <v>4181</v>
      </c>
      <c r="P1384" s="161" t="b">
        <v>1</v>
      </c>
      <c r="Q1384" s="158">
        <v>0.105</v>
      </c>
      <c r="R1384" s="158">
        <v>0.0</v>
      </c>
      <c r="S1384" s="158">
        <v>0.105</v>
      </c>
      <c r="T1384" s="157" t="s">
        <v>550</v>
      </c>
      <c r="U1384" s="46" t="s">
        <v>651</v>
      </c>
      <c r="V1384" s="46" t="b">
        <v>1</v>
      </c>
      <c r="W1384" s="46">
        <v>0.95</v>
      </c>
      <c r="X1384" s="46">
        <v>0.0</v>
      </c>
      <c r="Y1384" s="46" t="s">
        <v>640</v>
      </c>
      <c r="Z1384" s="46" t="b">
        <v>0</v>
      </c>
      <c r="AA1384" s="46" t="b">
        <v>0</v>
      </c>
    </row>
    <row r="1385">
      <c r="A1385" s="157" t="s">
        <v>563</v>
      </c>
      <c r="B1385" s="158">
        <v>3.0</v>
      </c>
      <c r="C1385" s="157" t="s">
        <v>1215</v>
      </c>
      <c r="D1385" s="157" t="s">
        <v>4180</v>
      </c>
      <c r="E1385" s="157" t="s">
        <v>4181</v>
      </c>
      <c r="F1385" s="157" t="s">
        <v>4299</v>
      </c>
      <c r="G1385" s="157" t="s">
        <v>4300</v>
      </c>
      <c r="H1385" s="157"/>
      <c r="I1385" s="158">
        <v>-2.815975</v>
      </c>
      <c r="J1385" s="158">
        <v>53.280942</v>
      </c>
      <c r="K1385" s="157" t="s">
        <v>4301</v>
      </c>
      <c r="L1385" s="157" t="s">
        <v>648</v>
      </c>
      <c r="M1385" s="158">
        <v>2019.0</v>
      </c>
      <c r="N1385" s="157" t="s">
        <v>550</v>
      </c>
      <c r="O1385" s="157" t="s">
        <v>4181</v>
      </c>
      <c r="P1385" s="161" t="b">
        <v>1</v>
      </c>
      <c r="Q1385" s="158">
        <v>0.2</v>
      </c>
      <c r="R1385" s="158">
        <v>0.0</v>
      </c>
      <c r="S1385" s="158">
        <v>0.2</v>
      </c>
      <c r="T1385" s="157" t="s">
        <v>550</v>
      </c>
      <c r="U1385" s="46" t="s">
        <v>651</v>
      </c>
      <c r="V1385" s="46" t="b">
        <v>1</v>
      </c>
      <c r="W1385" s="46">
        <v>0.95</v>
      </c>
      <c r="X1385" s="46">
        <v>0.0</v>
      </c>
      <c r="Y1385" s="46">
        <v>2.51275841793918</v>
      </c>
      <c r="Z1385" s="46" t="b">
        <v>1</v>
      </c>
      <c r="AA1385" s="46" t="b">
        <v>1</v>
      </c>
    </row>
    <row r="1386">
      <c r="A1386" s="157" t="s">
        <v>563</v>
      </c>
      <c r="B1386" s="158">
        <v>3.0</v>
      </c>
      <c r="C1386" s="157" t="s">
        <v>1215</v>
      </c>
      <c r="D1386" s="157" t="s">
        <v>4180</v>
      </c>
      <c r="E1386" s="157" t="s">
        <v>4181</v>
      </c>
      <c r="F1386" s="157" t="s">
        <v>4302</v>
      </c>
      <c r="G1386" s="157" t="s">
        <v>4303</v>
      </c>
      <c r="H1386" s="157"/>
      <c r="I1386" s="158">
        <v>-1.43893</v>
      </c>
      <c r="J1386" s="158">
        <v>53.5704</v>
      </c>
      <c r="K1386" s="157" t="s">
        <v>4304</v>
      </c>
      <c r="L1386" s="157" t="s">
        <v>648</v>
      </c>
      <c r="M1386" s="158">
        <v>2019.0</v>
      </c>
      <c r="N1386" s="157" t="s">
        <v>550</v>
      </c>
      <c r="O1386" s="157" t="s">
        <v>4181</v>
      </c>
      <c r="P1386" s="161" t="b">
        <v>1</v>
      </c>
      <c r="Q1386" s="158">
        <v>0.154</v>
      </c>
      <c r="R1386" s="158">
        <v>0.0</v>
      </c>
      <c r="S1386" s="158">
        <v>0.154</v>
      </c>
      <c r="T1386" s="157" t="s">
        <v>550</v>
      </c>
      <c r="U1386" s="46" t="s">
        <v>651</v>
      </c>
      <c r="V1386" s="46" t="b">
        <v>1</v>
      </c>
      <c r="W1386" s="46">
        <v>0.95</v>
      </c>
      <c r="X1386" s="46">
        <v>0.0</v>
      </c>
      <c r="Y1386" s="46">
        <v>42.5960755906433</v>
      </c>
      <c r="Z1386" s="46" t="b">
        <v>1</v>
      </c>
      <c r="AA1386" s="46" t="b">
        <v>1</v>
      </c>
    </row>
    <row r="1387">
      <c r="A1387" s="157" t="s">
        <v>563</v>
      </c>
      <c r="B1387" s="158">
        <v>3.0</v>
      </c>
      <c r="C1387" s="157" t="s">
        <v>1215</v>
      </c>
      <c r="D1387" s="157" t="s">
        <v>4180</v>
      </c>
      <c r="E1387" s="157" t="s">
        <v>4181</v>
      </c>
      <c r="F1387" s="157" t="s">
        <v>4305</v>
      </c>
      <c r="G1387" s="157" t="s">
        <v>4306</v>
      </c>
      <c r="H1387" s="157"/>
      <c r="I1387" s="158">
        <v>-3.80083</v>
      </c>
      <c r="J1387" s="158">
        <v>56.11113</v>
      </c>
      <c r="K1387" s="157" t="s">
        <v>4307</v>
      </c>
      <c r="L1387" s="157" t="s">
        <v>648</v>
      </c>
      <c r="M1387" s="158">
        <v>2019.0</v>
      </c>
      <c r="N1387" s="157" t="s">
        <v>550</v>
      </c>
      <c r="O1387" s="157" t="s">
        <v>4181</v>
      </c>
      <c r="P1387" s="161" t="b">
        <v>1</v>
      </c>
      <c r="Q1387" s="158">
        <v>0.149</v>
      </c>
      <c r="R1387" s="158">
        <v>0.0</v>
      </c>
      <c r="S1387" s="158">
        <v>0.149</v>
      </c>
      <c r="T1387" s="157" t="s">
        <v>550</v>
      </c>
      <c r="U1387" s="46" t="s">
        <v>651</v>
      </c>
      <c r="V1387" s="46" t="b">
        <v>1</v>
      </c>
      <c r="W1387" s="46">
        <v>0.95</v>
      </c>
      <c r="X1387" s="46">
        <v>0.0</v>
      </c>
      <c r="Y1387" s="46">
        <v>10.228293282968</v>
      </c>
      <c r="Z1387" s="46" t="b">
        <v>1</v>
      </c>
      <c r="AA1387" s="46" t="b">
        <v>1</v>
      </c>
    </row>
    <row r="1388">
      <c r="A1388" s="157" t="s">
        <v>563</v>
      </c>
      <c r="B1388" s="158">
        <v>3.0</v>
      </c>
      <c r="C1388" s="157" t="s">
        <v>1215</v>
      </c>
      <c r="D1388" s="157" t="s">
        <v>4180</v>
      </c>
      <c r="E1388" s="157" t="s">
        <v>4181</v>
      </c>
      <c r="F1388" s="157" t="s">
        <v>4308</v>
      </c>
      <c r="G1388" s="157" t="s">
        <v>4309</v>
      </c>
      <c r="H1388" s="157"/>
      <c r="I1388" s="158">
        <v>-0.90936</v>
      </c>
      <c r="J1388" s="158">
        <v>53.6978</v>
      </c>
      <c r="K1388" s="157" t="s">
        <v>4310</v>
      </c>
      <c r="L1388" s="157" t="s">
        <v>648</v>
      </c>
      <c r="M1388" s="158">
        <v>2019.0</v>
      </c>
      <c r="N1388" s="157" t="s">
        <v>550</v>
      </c>
      <c r="O1388" s="157" t="s">
        <v>4181</v>
      </c>
      <c r="P1388" s="161" t="b">
        <v>1</v>
      </c>
      <c r="Q1388" s="158">
        <v>0.141</v>
      </c>
      <c r="R1388" s="158">
        <v>0.0</v>
      </c>
      <c r="S1388" s="158">
        <v>0.141</v>
      </c>
      <c r="T1388" s="157" t="s">
        <v>550</v>
      </c>
      <c r="U1388" s="46" t="s">
        <v>651</v>
      </c>
      <c r="V1388" s="46" t="b">
        <v>1</v>
      </c>
      <c r="W1388" s="46">
        <v>0.95</v>
      </c>
      <c r="X1388" s="46">
        <v>0.0</v>
      </c>
      <c r="Y1388" s="46">
        <v>5.27718099860422</v>
      </c>
      <c r="Z1388" s="46" t="b">
        <v>1</v>
      </c>
      <c r="AA1388" s="46" t="b">
        <v>1</v>
      </c>
    </row>
    <row r="1389">
      <c r="A1389" s="157" t="s">
        <v>563</v>
      </c>
      <c r="B1389" s="158">
        <v>3.0</v>
      </c>
      <c r="C1389" s="157" t="s">
        <v>1215</v>
      </c>
      <c r="D1389" s="157" t="s">
        <v>4180</v>
      </c>
      <c r="E1389" s="157" t="s">
        <v>4181</v>
      </c>
      <c r="F1389" s="157" t="s">
        <v>4311</v>
      </c>
      <c r="G1389" s="157" t="s">
        <v>4312</v>
      </c>
      <c r="H1389" s="157"/>
      <c r="I1389" s="158">
        <v>-2.74354</v>
      </c>
      <c r="J1389" s="158">
        <v>53.4423</v>
      </c>
      <c r="K1389" s="157" t="s">
        <v>4313</v>
      </c>
      <c r="L1389" s="157" t="s">
        <v>648</v>
      </c>
      <c r="M1389" s="158">
        <v>2019.0</v>
      </c>
      <c r="N1389" s="157" t="s">
        <v>550</v>
      </c>
      <c r="O1389" s="157" t="s">
        <v>4181</v>
      </c>
      <c r="P1389" s="161" t="b">
        <v>1</v>
      </c>
      <c r="Q1389" s="158">
        <v>0.128</v>
      </c>
      <c r="R1389" s="158">
        <v>0.0</v>
      </c>
      <c r="S1389" s="158">
        <v>0.128</v>
      </c>
      <c r="T1389" s="157" t="s">
        <v>550</v>
      </c>
      <c r="U1389" s="46" t="s">
        <v>651</v>
      </c>
      <c r="V1389" s="46" t="b">
        <v>1</v>
      </c>
      <c r="W1389" s="46">
        <v>0.95</v>
      </c>
      <c r="X1389" s="46">
        <v>0.0</v>
      </c>
      <c r="Y1389" s="46">
        <v>18.3611956507115</v>
      </c>
      <c r="Z1389" s="46" t="b">
        <v>1</v>
      </c>
      <c r="AA1389" s="46" t="b">
        <v>1</v>
      </c>
    </row>
    <row r="1390">
      <c r="A1390" s="157" t="s">
        <v>563</v>
      </c>
      <c r="B1390" s="158">
        <v>3.0</v>
      </c>
      <c r="C1390" s="157" t="s">
        <v>1215</v>
      </c>
      <c r="D1390" s="157" t="s">
        <v>4180</v>
      </c>
      <c r="E1390" s="157" t="s">
        <v>4181</v>
      </c>
      <c r="F1390" s="157" t="s">
        <v>4314</v>
      </c>
      <c r="G1390" s="157" t="s">
        <v>4315</v>
      </c>
      <c r="H1390" s="157"/>
      <c r="I1390" s="158">
        <v>-1.085694</v>
      </c>
      <c r="J1390" s="158">
        <v>53.552344</v>
      </c>
      <c r="K1390" s="157" t="s">
        <v>4316</v>
      </c>
      <c r="L1390" s="157" t="s">
        <v>648</v>
      </c>
      <c r="M1390" s="158">
        <v>2019.0</v>
      </c>
      <c r="N1390" s="157" t="s">
        <v>550</v>
      </c>
      <c r="O1390" s="157" t="s">
        <v>4181</v>
      </c>
      <c r="P1390" s="161" t="b">
        <v>1</v>
      </c>
      <c r="Q1390" s="158">
        <v>0.11</v>
      </c>
      <c r="R1390" s="158">
        <v>0.0</v>
      </c>
      <c r="S1390" s="158">
        <v>0.11</v>
      </c>
      <c r="T1390" s="157" t="s">
        <v>550</v>
      </c>
      <c r="U1390" s="46" t="s">
        <v>651</v>
      </c>
      <c r="V1390" s="46" t="b">
        <v>1</v>
      </c>
      <c r="W1390" s="46">
        <v>0.95</v>
      </c>
      <c r="X1390" s="46">
        <v>0.0</v>
      </c>
      <c r="Y1390" s="46">
        <v>23.1417775443512</v>
      </c>
      <c r="Z1390" s="46" t="b">
        <v>1</v>
      </c>
      <c r="AA1390" s="46" t="b">
        <v>1</v>
      </c>
    </row>
    <row r="1391">
      <c r="A1391" s="157" t="s">
        <v>564</v>
      </c>
      <c r="B1391" s="158">
        <v>9.0</v>
      </c>
      <c r="C1391" s="157" t="s">
        <v>4317</v>
      </c>
      <c r="D1391" s="157" t="s">
        <v>4318</v>
      </c>
      <c r="E1391" s="157" t="s">
        <v>4319</v>
      </c>
      <c r="F1391" s="157" t="s">
        <v>4320</v>
      </c>
      <c r="G1391" s="157" t="s">
        <v>4321</v>
      </c>
      <c r="H1391" s="157"/>
      <c r="I1391" s="158">
        <v>8.9011</v>
      </c>
      <c r="J1391" s="158">
        <v>46.383</v>
      </c>
      <c r="K1391" s="157" t="s">
        <v>4322</v>
      </c>
      <c r="L1391" s="157" t="s">
        <v>648</v>
      </c>
      <c r="M1391" s="158">
        <v>2021.0</v>
      </c>
      <c r="N1391" s="157" t="s">
        <v>105</v>
      </c>
      <c r="O1391" s="157" t="s">
        <v>4319</v>
      </c>
      <c r="P1391" s="161" t="b">
        <v>1</v>
      </c>
      <c r="Q1391" s="158">
        <v>0.0219</v>
      </c>
      <c r="R1391" s="158">
        <v>0.0</v>
      </c>
      <c r="S1391" s="158">
        <v>0.0219</v>
      </c>
      <c r="T1391" s="157" t="s">
        <v>105</v>
      </c>
      <c r="U1391" s="46" t="s">
        <v>651</v>
      </c>
      <c r="V1391" s="46" t="b">
        <v>0</v>
      </c>
      <c r="W1391" s="46">
        <v>0.95</v>
      </c>
      <c r="X1391" s="46">
        <v>0.0</v>
      </c>
      <c r="Y1391" s="46">
        <v>61.6359177894528</v>
      </c>
      <c r="Z1391" s="46" t="b">
        <v>0</v>
      </c>
      <c r="AA1391" s="46" t="b">
        <v>1</v>
      </c>
    </row>
    <row r="1392">
      <c r="A1392" s="157" t="s">
        <v>568</v>
      </c>
      <c r="B1392" s="158">
        <v>9.0</v>
      </c>
      <c r="C1392" s="157" t="s">
        <v>4317</v>
      </c>
      <c r="D1392" s="157" t="s">
        <v>4323</v>
      </c>
      <c r="E1392" s="157" t="s">
        <v>4324</v>
      </c>
      <c r="F1392" s="157" t="s">
        <v>4325</v>
      </c>
      <c r="G1392" s="157" t="s">
        <v>4326</v>
      </c>
      <c r="H1392" s="157"/>
      <c r="I1392" s="158">
        <v>10.3677726341878</v>
      </c>
      <c r="J1392" s="158">
        <v>55.41032</v>
      </c>
      <c r="K1392" s="157" t="s">
        <v>4327</v>
      </c>
      <c r="L1392" s="157" t="s">
        <v>648</v>
      </c>
      <c r="M1392" s="158">
        <v>2022.0</v>
      </c>
      <c r="N1392" s="157" t="s">
        <v>105</v>
      </c>
      <c r="O1392" s="157" t="s">
        <v>4324</v>
      </c>
      <c r="P1392" s="161" t="b">
        <v>1</v>
      </c>
      <c r="Q1392" s="158">
        <v>0.007332972</v>
      </c>
      <c r="R1392" s="158">
        <v>0.0</v>
      </c>
      <c r="S1392" s="158">
        <v>0.007332972</v>
      </c>
      <c r="T1392" s="157" t="s">
        <v>105</v>
      </c>
      <c r="U1392" s="46" t="s">
        <v>651</v>
      </c>
      <c r="V1392" s="46" t="b">
        <v>0</v>
      </c>
      <c r="W1392" s="46">
        <v>0.95</v>
      </c>
      <c r="X1392" s="46">
        <v>0.0</v>
      </c>
      <c r="Y1392" s="46">
        <v>8.4516890330657</v>
      </c>
      <c r="Z1392" s="46" t="b">
        <v>1</v>
      </c>
      <c r="AA1392" s="46" t="b">
        <v>1</v>
      </c>
    </row>
    <row r="1393">
      <c r="A1393" s="157" t="s">
        <v>568</v>
      </c>
      <c r="B1393" s="158">
        <v>9.0</v>
      </c>
      <c r="C1393" s="157" t="s">
        <v>4317</v>
      </c>
      <c r="D1393" s="157" t="s">
        <v>4323</v>
      </c>
      <c r="E1393" s="157" t="s">
        <v>4324</v>
      </c>
      <c r="F1393" s="157" t="s">
        <v>4328</v>
      </c>
      <c r="G1393" s="157" t="s">
        <v>4329</v>
      </c>
      <c r="H1393" s="157"/>
      <c r="I1393" s="158">
        <v>11.3736099910559</v>
      </c>
      <c r="J1393" s="158">
        <v>55.406323250278</v>
      </c>
      <c r="K1393" s="157" t="s">
        <v>4330</v>
      </c>
      <c r="L1393" s="157" t="s">
        <v>648</v>
      </c>
      <c r="M1393" s="158">
        <v>2022.0</v>
      </c>
      <c r="N1393" s="157" t="s">
        <v>105</v>
      </c>
      <c r="O1393" s="157" t="s">
        <v>4324</v>
      </c>
      <c r="P1393" s="161" t="b">
        <v>1</v>
      </c>
      <c r="Q1393" s="158">
        <v>0.005954154</v>
      </c>
      <c r="R1393" s="158">
        <v>0.0</v>
      </c>
      <c r="S1393" s="158">
        <v>0.005954154</v>
      </c>
      <c r="T1393" s="157" t="s">
        <v>105</v>
      </c>
      <c r="U1393" s="46" t="s">
        <v>651</v>
      </c>
      <c r="V1393" s="46" t="b">
        <v>0</v>
      </c>
      <c r="W1393" s="46">
        <v>0.95</v>
      </c>
      <c r="X1393" s="46">
        <v>0.0</v>
      </c>
      <c r="Y1393" s="46">
        <v>7.26514371608956</v>
      </c>
      <c r="Z1393" s="46" t="b">
        <v>1</v>
      </c>
      <c r="AA1393" s="46" t="b">
        <v>1</v>
      </c>
    </row>
    <row r="1394">
      <c r="A1394" s="157" t="s">
        <v>557</v>
      </c>
      <c r="B1394" s="158">
        <v>9.0</v>
      </c>
      <c r="C1394" s="157" t="s">
        <v>4317</v>
      </c>
      <c r="D1394" s="157" t="s">
        <v>4323</v>
      </c>
      <c r="E1394" s="157" t="s">
        <v>4324</v>
      </c>
      <c r="F1394" s="162" t="s">
        <v>4331</v>
      </c>
      <c r="G1394" s="157" t="s">
        <v>4332</v>
      </c>
      <c r="H1394" s="157"/>
      <c r="I1394" s="158">
        <v>8.99610467582824</v>
      </c>
      <c r="J1394" s="158">
        <v>48.6999238084635</v>
      </c>
      <c r="K1394" s="157" t="s">
        <v>4333</v>
      </c>
      <c r="L1394" s="157" t="s">
        <v>648</v>
      </c>
      <c r="M1394" s="158">
        <v>2022.0</v>
      </c>
      <c r="N1394" s="157" t="s">
        <v>105</v>
      </c>
      <c r="O1394" s="157" t="s">
        <v>4324</v>
      </c>
      <c r="P1394" s="161" t="b">
        <v>1</v>
      </c>
      <c r="Q1394" s="158">
        <v>0.216</v>
      </c>
      <c r="R1394" s="158">
        <v>0.0</v>
      </c>
      <c r="S1394" s="158">
        <v>0.216</v>
      </c>
      <c r="T1394" s="157" t="s">
        <v>105</v>
      </c>
      <c r="U1394" s="46" t="s">
        <v>651</v>
      </c>
      <c r="V1394" s="46" t="b">
        <v>1</v>
      </c>
      <c r="W1394" s="46">
        <v>0.95</v>
      </c>
      <c r="X1394" s="46">
        <v>0.0</v>
      </c>
      <c r="Y1394" s="46">
        <v>16.6826517284504</v>
      </c>
      <c r="Z1394" s="46" t="b">
        <v>1</v>
      </c>
      <c r="AA1394" s="46" t="b">
        <v>1</v>
      </c>
    </row>
    <row r="1395">
      <c r="A1395" s="157" t="s">
        <v>557</v>
      </c>
      <c r="B1395" s="158">
        <v>9.0</v>
      </c>
      <c r="C1395" s="157" t="s">
        <v>4317</v>
      </c>
      <c r="D1395" s="157" t="s">
        <v>4323</v>
      </c>
      <c r="E1395" s="157" t="s">
        <v>4324</v>
      </c>
      <c r="F1395" s="162" t="s">
        <v>4334</v>
      </c>
      <c r="G1395" s="157" t="s">
        <v>4335</v>
      </c>
      <c r="H1395" s="157"/>
      <c r="I1395" s="158">
        <v>8.397526681</v>
      </c>
      <c r="J1395" s="158">
        <v>49.9948229354621</v>
      </c>
      <c r="K1395" s="157" t="s">
        <v>4336</v>
      </c>
      <c r="L1395" s="157" t="s">
        <v>648</v>
      </c>
      <c r="M1395" s="158">
        <v>2022.0</v>
      </c>
      <c r="N1395" s="157" t="s">
        <v>105</v>
      </c>
      <c r="O1395" s="157" t="s">
        <v>4324</v>
      </c>
      <c r="P1395" s="161" t="b">
        <v>1</v>
      </c>
      <c r="Q1395" s="158">
        <v>0.162</v>
      </c>
      <c r="R1395" s="158">
        <v>0.0</v>
      </c>
      <c r="S1395" s="158">
        <v>0.162</v>
      </c>
      <c r="T1395" s="157" t="s">
        <v>105</v>
      </c>
      <c r="U1395" s="46" t="s">
        <v>651</v>
      </c>
      <c r="V1395" s="46" t="b">
        <v>1</v>
      </c>
      <c r="W1395" s="46">
        <v>0.95</v>
      </c>
      <c r="X1395" s="46">
        <v>0.0</v>
      </c>
      <c r="Y1395" s="46">
        <v>8.30783302376326</v>
      </c>
      <c r="Z1395" s="46" t="b">
        <v>1</v>
      </c>
      <c r="AA1395" s="46" t="b">
        <v>1</v>
      </c>
    </row>
    <row r="1396">
      <c r="A1396" s="157" t="s">
        <v>557</v>
      </c>
      <c r="B1396" s="158">
        <v>9.0</v>
      </c>
      <c r="C1396" s="157" t="s">
        <v>4317</v>
      </c>
      <c r="D1396" s="157" t="s">
        <v>4323</v>
      </c>
      <c r="E1396" s="157" t="s">
        <v>4324</v>
      </c>
      <c r="F1396" s="162" t="s">
        <v>4337</v>
      </c>
      <c r="G1396" s="157" t="s">
        <v>4338</v>
      </c>
      <c r="H1396" s="157"/>
      <c r="I1396" s="158">
        <v>12.4711510640536</v>
      </c>
      <c r="J1396" s="158">
        <v>48.6466736446315</v>
      </c>
      <c r="K1396" s="157" t="s">
        <v>4339</v>
      </c>
      <c r="L1396" s="157" t="s">
        <v>648</v>
      </c>
      <c r="M1396" s="158">
        <v>2022.0</v>
      </c>
      <c r="N1396" s="157" t="s">
        <v>105</v>
      </c>
      <c r="O1396" s="157" t="s">
        <v>4324</v>
      </c>
      <c r="P1396" s="161" t="b">
        <v>1</v>
      </c>
      <c r="Q1396" s="158">
        <v>0.109</v>
      </c>
      <c r="R1396" s="158">
        <v>0.0</v>
      </c>
      <c r="S1396" s="158">
        <v>0.109</v>
      </c>
      <c r="T1396" s="157" t="s">
        <v>105</v>
      </c>
      <c r="U1396" s="46" t="s">
        <v>651</v>
      </c>
      <c r="V1396" s="46" t="b">
        <v>1</v>
      </c>
      <c r="W1396" s="46">
        <v>0.95</v>
      </c>
      <c r="X1396" s="46">
        <v>0.0</v>
      </c>
      <c r="Y1396" s="46">
        <v>47.4353937135484</v>
      </c>
      <c r="Z1396" s="46" t="b">
        <v>1</v>
      </c>
      <c r="AA1396" s="46" t="b">
        <v>1</v>
      </c>
    </row>
    <row r="1397">
      <c r="A1397" s="157" t="s">
        <v>559</v>
      </c>
      <c r="B1397" s="158">
        <v>9.0</v>
      </c>
      <c r="C1397" s="157" t="s">
        <v>4317</v>
      </c>
      <c r="D1397" s="157" t="s">
        <v>4323</v>
      </c>
      <c r="E1397" s="157" t="s">
        <v>4324</v>
      </c>
      <c r="F1397" s="157" t="s">
        <v>4340</v>
      </c>
      <c r="G1397" s="157" t="s">
        <v>4341</v>
      </c>
      <c r="H1397" s="157"/>
      <c r="I1397" s="158">
        <v>7.5397</v>
      </c>
      <c r="J1397" s="158">
        <v>45.2533</v>
      </c>
      <c r="K1397" s="157" t="s">
        <v>4342</v>
      </c>
      <c r="L1397" s="157" t="s">
        <v>648</v>
      </c>
      <c r="M1397" s="158">
        <v>2022.0</v>
      </c>
      <c r="N1397" s="157" t="s">
        <v>105</v>
      </c>
      <c r="O1397" s="157" t="s">
        <v>4324</v>
      </c>
      <c r="P1397" s="161" t="b">
        <v>1</v>
      </c>
      <c r="Q1397" s="158">
        <v>0.143966</v>
      </c>
      <c r="R1397" s="158">
        <v>0.0</v>
      </c>
      <c r="S1397" s="158">
        <v>0.143966</v>
      </c>
      <c r="T1397" s="157" t="s">
        <v>105</v>
      </c>
      <c r="U1397" s="46" t="s">
        <v>651</v>
      </c>
      <c r="V1397" s="46" t="b">
        <v>1</v>
      </c>
      <c r="W1397" s="46">
        <v>0.95</v>
      </c>
      <c r="X1397" s="46">
        <v>0.0</v>
      </c>
      <c r="Y1397" s="46">
        <v>109.326679430053</v>
      </c>
      <c r="Z1397" s="46" t="b">
        <v>0</v>
      </c>
      <c r="AA1397" s="46" t="b">
        <v>0</v>
      </c>
    </row>
    <row r="1398">
      <c r="A1398" s="157" t="s">
        <v>558</v>
      </c>
      <c r="B1398" s="158">
        <v>9.0</v>
      </c>
      <c r="C1398" s="157" t="s">
        <v>4317</v>
      </c>
      <c r="D1398" s="157" t="s">
        <v>4323</v>
      </c>
      <c r="E1398" s="157" t="s">
        <v>4324</v>
      </c>
      <c r="F1398" s="157" t="s">
        <v>4343</v>
      </c>
      <c r="G1398" s="157" t="s">
        <v>4344</v>
      </c>
      <c r="H1398" s="157"/>
      <c r="I1398" s="158">
        <v>-9.34926</v>
      </c>
      <c r="J1398" s="158">
        <v>38.78029</v>
      </c>
      <c r="K1398" s="157" t="s">
        <v>4345</v>
      </c>
      <c r="L1398" s="157" t="s">
        <v>648</v>
      </c>
      <c r="M1398" s="158">
        <v>2019.0</v>
      </c>
      <c r="N1398" s="157" t="s">
        <v>105</v>
      </c>
      <c r="O1398" s="157" t="s">
        <v>4324</v>
      </c>
      <c r="P1398" s="161" t="b">
        <v>1</v>
      </c>
      <c r="Q1398" s="158">
        <v>0.754</v>
      </c>
      <c r="R1398" s="158">
        <v>0.0</v>
      </c>
      <c r="S1398" s="158">
        <v>0.754</v>
      </c>
      <c r="T1398" s="157" t="s">
        <v>105</v>
      </c>
      <c r="U1398" s="46" t="s">
        <v>651</v>
      </c>
      <c r="V1398" s="46" t="b">
        <v>1</v>
      </c>
      <c r="W1398" s="46">
        <v>0.95</v>
      </c>
      <c r="X1398" s="46">
        <v>0.0</v>
      </c>
      <c r="Y1398" s="46" t="s">
        <v>640</v>
      </c>
      <c r="Z1398" s="46" t="b">
        <v>0</v>
      </c>
      <c r="AA1398" s="46" t="b">
        <v>0</v>
      </c>
    </row>
    <row r="1399">
      <c r="A1399" s="157" t="s">
        <v>561</v>
      </c>
      <c r="B1399" s="158">
        <v>9.0</v>
      </c>
      <c r="C1399" s="157" t="s">
        <v>4317</v>
      </c>
      <c r="D1399" s="157" t="s">
        <v>4323</v>
      </c>
      <c r="E1399" s="157" t="s">
        <v>4324</v>
      </c>
      <c r="F1399" s="157" t="s">
        <v>4346</v>
      </c>
      <c r="G1399" s="157" t="s">
        <v>4347</v>
      </c>
      <c r="H1399" s="157"/>
      <c r="I1399" s="158">
        <v>-2.127925</v>
      </c>
      <c r="J1399" s="158">
        <v>43.092545</v>
      </c>
      <c r="K1399" s="157" t="s">
        <v>4348</v>
      </c>
      <c r="L1399" s="157" t="s">
        <v>648</v>
      </c>
      <c r="M1399" s="158">
        <v>2022.0</v>
      </c>
      <c r="N1399" s="157" t="s">
        <v>105</v>
      </c>
      <c r="O1399" s="157" t="s">
        <v>4324</v>
      </c>
      <c r="P1399" s="161" t="b">
        <v>1</v>
      </c>
      <c r="Q1399" s="158">
        <v>0.125</v>
      </c>
      <c r="R1399" s="158">
        <v>0.0</v>
      </c>
      <c r="S1399" s="158">
        <v>0.125</v>
      </c>
      <c r="T1399" s="157" t="s">
        <v>105</v>
      </c>
      <c r="U1399" s="46" t="s">
        <v>651</v>
      </c>
      <c r="V1399" s="46" t="b">
        <v>1</v>
      </c>
      <c r="W1399" s="46">
        <v>0.95</v>
      </c>
      <c r="X1399" s="46">
        <v>0.0</v>
      </c>
      <c r="Y1399" s="46">
        <v>67.2898851262326</v>
      </c>
      <c r="Z1399" s="46" t="b">
        <v>0</v>
      </c>
      <c r="AA1399" s="46" t="b">
        <v>1</v>
      </c>
    </row>
    <row r="1400">
      <c r="A1400" s="157" t="s">
        <v>563</v>
      </c>
      <c r="B1400" s="158">
        <v>9.0</v>
      </c>
      <c r="C1400" s="157" t="s">
        <v>4317</v>
      </c>
      <c r="D1400" s="157" t="s">
        <v>4323</v>
      </c>
      <c r="E1400" s="157" t="s">
        <v>4324</v>
      </c>
      <c r="F1400" s="157" t="s">
        <v>4349</v>
      </c>
      <c r="G1400" s="157" t="s">
        <v>4350</v>
      </c>
      <c r="H1400" s="157"/>
      <c r="I1400" s="158">
        <v>-2.9085</v>
      </c>
      <c r="J1400" s="158">
        <v>54.8886</v>
      </c>
      <c r="K1400" s="157" t="s">
        <v>4351</v>
      </c>
      <c r="L1400" s="157" t="s">
        <v>648</v>
      </c>
      <c r="M1400" s="158">
        <v>2019.0</v>
      </c>
      <c r="N1400" s="157" t="s">
        <v>105</v>
      </c>
      <c r="O1400" s="157" t="s">
        <v>4324</v>
      </c>
      <c r="P1400" s="161" t="b">
        <v>1</v>
      </c>
      <c r="Q1400" s="158">
        <v>0.135</v>
      </c>
      <c r="R1400" s="158">
        <v>0.0</v>
      </c>
      <c r="S1400" s="158">
        <v>0.135</v>
      </c>
      <c r="T1400" s="157" t="s">
        <v>105</v>
      </c>
      <c r="U1400" s="46" t="s">
        <v>651</v>
      </c>
      <c r="V1400" s="46" t="b">
        <v>1</v>
      </c>
      <c r="W1400" s="46">
        <v>0.95</v>
      </c>
      <c r="X1400" s="46">
        <v>0.0</v>
      </c>
      <c r="Y1400" s="46" t="s">
        <v>640</v>
      </c>
      <c r="Z1400" s="46" t="b">
        <v>0</v>
      </c>
      <c r="AA1400" s="46" t="b">
        <v>0</v>
      </c>
    </row>
    <row r="1401">
      <c r="A1401" s="157" t="s">
        <v>566</v>
      </c>
      <c r="B1401" s="158">
        <v>7.0</v>
      </c>
      <c r="C1401" s="157" t="s">
        <v>4352</v>
      </c>
      <c r="D1401" s="157" t="s">
        <v>4353</v>
      </c>
      <c r="E1401" s="157" t="s">
        <v>4354</v>
      </c>
      <c r="F1401" s="157" t="s">
        <v>4355</v>
      </c>
      <c r="G1401" s="157" t="s">
        <v>4356</v>
      </c>
      <c r="H1401" s="157"/>
      <c r="I1401" s="158">
        <v>16.110249</v>
      </c>
      <c r="J1401" s="158">
        <v>51.182894</v>
      </c>
      <c r="K1401" s="157" t="s">
        <v>2811</v>
      </c>
      <c r="L1401" s="157" t="s">
        <v>648</v>
      </c>
      <c r="M1401" s="158">
        <v>2022.0</v>
      </c>
      <c r="N1401" s="157" t="s">
        <v>553</v>
      </c>
      <c r="O1401" s="157" t="s">
        <v>4354</v>
      </c>
      <c r="P1401" s="161" t="b">
        <v>1</v>
      </c>
      <c r="Q1401" s="158">
        <v>0.209</v>
      </c>
      <c r="R1401" s="158">
        <v>0.0</v>
      </c>
      <c r="S1401" s="158">
        <v>0.209</v>
      </c>
      <c r="T1401" s="157" t="s">
        <v>553</v>
      </c>
      <c r="U1401" s="46" t="s">
        <v>651</v>
      </c>
      <c r="V1401" s="46" t="b">
        <v>1</v>
      </c>
      <c r="W1401" s="46">
        <v>0.95</v>
      </c>
      <c r="X1401" s="46">
        <v>0.0</v>
      </c>
      <c r="Y1401" s="46">
        <v>128.441656329872</v>
      </c>
      <c r="Z1401" s="46" t="b">
        <v>0</v>
      </c>
      <c r="AA1401" s="46" t="b">
        <v>0</v>
      </c>
    </row>
    <row r="1402">
      <c r="A1402" s="157" t="s">
        <v>566</v>
      </c>
      <c r="B1402" s="158">
        <v>7.0</v>
      </c>
      <c r="C1402" s="157" t="s">
        <v>4352</v>
      </c>
      <c r="D1402" s="157" t="s">
        <v>4353</v>
      </c>
      <c r="E1402" s="157" t="s">
        <v>4354</v>
      </c>
      <c r="F1402" s="157" t="s">
        <v>4357</v>
      </c>
      <c r="G1402" s="157" t="s">
        <v>4358</v>
      </c>
      <c r="H1402" s="157"/>
      <c r="I1402" s="158">
        <v>20.26840782</v>
      </c>
      <c r="J1402" s="158">
        <v>52.84041977</v>
      </c>
      <c r="K1402" s="157" t="s">
        <v>4359</v>
      </c>
      <c r="L1402" s="157" t="s">
        <v>648</v>
      </c>
      <c r="M1402" s="158">
        <v>2022.0</v>
      </c>
      <c r="N1402" s="157" t="s">
        <v>553</v>
      </c>
      <c r="O1402" s="157" t="s">
        <v>4354</v>
      </c>
      <c r="P1402" s="161" t="b">
        <v>1</v>
      </c>
      <c r="Q1402" s="158">
        <v>0.163</v>
      </c>
      <c r="R1402" s="158">
        <v>0.0</v>
      </c>
      <c r="S1402" s="158">
        <v>0.163</v>
      </c>
      <c r="T1402" s="157" t="s">
        <v>553</v>
      </c>
      <c r="U1402" s="46" t="s">
        <v>651</v>
      </c>
      <c r="V1402" s="46" t="b">
        <v>1</v>
      </c>
      <c r="W1402" s="46">
        <v>0.95</v>
      </c>
      <c r="X1402" s="46">
        <v>0.0</v>
      </c>
      <c r="Y1402" s="46">
        <v>55.6915585863144</v>
      </c>
      <c r="Z1402" s="46" t="b">
        <v>0</v>
      </c>
      <c r="AA1402" s="46" t="b">
        <v>1</v>
      </c>
    </row>
    <row r="1403">
      <c r="A1403" s="157" t="s">
        <v>566</v>
      </c>
      <c r="B1403" s="158">
        <v>7.0</v>
      </c>
      <c r="C1403" s="157" t="s">
        <v>4352</v>
      </c>
      <c r="D1403" s="157" t="s">
        <v>4353</v>
      </c>
      <c r="E1403" s="157" t="s">
        <v>4354</v>
      </c>
      <c r="F1403" s="157" t="s">
        <v>4360</v>
      </c>
      <c r="G1403" s="157" t="s">
        <v>4361</v>
      </c>
      <c r="H1403" s="157"/>
      <c r="I1403" s="158">
        <v>14.29629803</v>
      </c>
      <c r="J1403" s="158">
        <v>53.90620041</v>
      </c>
      <c r="K1403" s="157" t="s">
        <v>4362</v>
      </c>
      <c r="L1403" s="157" t="s">
        <v>648</v>
      </c>
      <c r="M1403" s="158">
        <v>2022.0</v>
      </c>
      <c r="N1403" s="157" t="s">
        <v>553</v>
      </c>
      <c r="O1403" s="157" t="s">
        <v>4354</v>
      </c>
      <c r="P1403" s="161" t="b">
        <v>1</v>
      </c>
      <c r="Q1403" s="158">
        <v>0.148</v>
      </c>
      <c r="R1403" s="158">
        <v>0.0</v>
      </c>
      <c r="S1403" s="158">
        <v>0.148</v>
      </c>
      <c r="T1403" s="157" t="s">
        <v>553</v>
      </c>
      <c r="U1403" s="46" t="s">
        <v>651</v>
      </c>
      <c r="V1403" s="46" t="b">
        <v>1</v>
      </c>
      <c r="W1403" s="46">
        <v>0.95</v>
      </c>
      <c r="X1403" s="46">
        <v>0.0</v>
      </c>
      <c r="Y1403" s="46">
        <v>134.943190706955</v>
      </c>
      <c r="Z1403" s="46" t="b">
        <v>0</v>
      </c>
      <c r="AA1403" s="46" t="b">
        <v>0</v>
      </c>
    </row>
    <row r="1404">
      <c r="A1404" s="157" t="s">
        <v>566</v>
      </c>
      <c r="B1404" s="158">
        <v>7.0</v>
      </c>
      <c r="C1404" s="157" t="s">
        <v>4352</v>
      </c>
      <c r="D1404" s="157" t="s">
        <v>4353</v>
      </c>
      <c r="E1404" s="157" t="s">
        <v>4354</v>
      </c>
      <c r="F1404" s="157" t="s">
        <v>4363</v>
      </c>
      <c r="G1404" s="157" t="s">
        <v>4364</v>
      </c>
      <c r="H1404" s="157"/>
      <c r="I1404" s="158">
        <v>21.46174812</v>
      </c>
      <c r="J1404" s="158">
        <v>50.30460739</v>
      </c>
      <c r="K1404" s="157" t="s">
        <v>1334</v>
      </c>
      <c r="L1404" s="157" t="s">
        <v>648</v>
      </c>
      <c r="M1404" s="158">
        <v>2022.0</v>
      </c>
      <c r="N1404" s="157" t="s">
        <v>553</v>
      </c>
      <c r="O1404" s="157" t="s">
        <v>4354</v>
      </c>
      <c r="P1404" s="161" t="b">
        <v>1</v>
      </c>
      <c r="Q1404" s="158">
        <v>0.138</v>
      </c>
      <c r="R1404" s="158">
        <v>0.0</v>
      </c>
      <c r="S1404" s="158">
        <v>0.138</v>
      </c>
      <c r="T1404" s="157" t="s">
        <v>553</v>
      </c>
      <c r="U1404" s="46" t="s">
        <v>651</v>
      </c>
      <c r="V1404" s="46" t="b">
        <v>1</v>
      </c>
      <c r="W1404" s="46">
        <v>0.95</v>
      </c>
      <c r="X1404" s="46">
        <v>0.0</v>
      </c>
      <c r="Y1404" s="46" t="s">
        <v>640</v>
      </c>
      <c r="Z1404" s="46" t="b">
        <v>0</v>
      </c>
      <c r="AA1404" s="46" t="b">
        <v>0</v>
      </c>
    </row>
    <row r="1405">
      <c r="A1405" s="157" t="s">
        <v>566</v>
      </c>
      <c r="B1405" s="158">
        <v>7.0</v>
      </c>
      <c r="C1405" s="157" t="s">
        <v>4352</v>
      </c>
      <c r="D1405" s="157" t="s">
        <v>4353</v>
      </c>
      <c r="E1405" s="157" t="s">
        <v>4354</v>
      </c>
      <c r="F1405" s="157" t="s">
        <v>4365</v>
      </c>
      <c r="G1405" s="157" t="s">
        <v>4366</v>
      </c>
      <c r="H1405" s="157"/>
      <c r="I1405" s="158">
        <v>22.30360794</v>
      </c>
      <c r="J1405" s="158">
        <v>52.15895081</v>
      </c>
      <c r="K1405" s="157" t="s">
        <v>4367</v>
      </c>
      <c r="L1405" s="157" t="s">
        <v>648</v>
      </c>
      <c r="M1405" s="158">
        <v>2022.0</v>
      </c>
      <c r="N1405" s="157" t="s">
        <v>553</v>
      </c>
      <c r="O1405" s="157" t="s">
        <v>4354</v>
      </c>
      <c r="P1405" s="161" t="b">
        <v>1</v>
      </c>
      <c r="Q1405" s="158">
        <v>0.121</v>
      </c>
      <c r="R1405" s="158">
        <v>0.0</v>
      </c>
      <c r="S1405" s="158">
        <v>0.121</v>
      </c>
      <c r="T1405" s="157" t="s">
        <v>553</v>
      </c>
      <c r="U1405" s="46" t="s">
        <v>651</v>
      </c>
      <c r="V1405" s="46" t="b">
        <v>1</v>
      </c>
      <c r="W1405" s="46">
        <v>0.95</v>
      </c>
      <c r="X1405" s="46">
        <v>0.0</v>
      </c>
      <c r="Y1405" s="46" t="s">
        <v>640</v>
      </c>
      <c r="Z1405" s="46" t="b">
        <v>0</v>
      </c>
      <c r="AA1405" s="46" t="b">
        <v>0</v>
      </c>
    </row>
    <row r="1406">
      <c r="A1406" s="157" t="s">
        <v>566</v>
      </c>
      <c r="B1406" s="158">
        <v>7.0</v>
      </c>
      <c r="C1406" s="157" t="s">
        <v>4352</v>
      </c>
      <c r="D1406" s="157" t="s">
        <v>4353</v>
      </c>
      <c r="E1406" s="157" t="s">
        <v>4354</v>
      </c>
      <c r="F1406" s="157" t="s">
        <v>4368</v>
      </c>
      <c r="G1406" s="157" t="s">
        <v>4369</v>
      </c>
      <c r="H1406" s="157"/>
      <c r="I1406" s="158">
        <v>16.886944</v>
      </c>
      <c r="J1406" s="158">
        <v>51.016666</v>
      </c>
      <c r="K1406" s="157" t="s">
        <v>4370</v>
      </c>
      <c r="L1406" s="157" t="s">
        <v>648</v>
      </c>
      <c r="M1406" s="158">
        <v>2022.0</v>
      </c>
      <c r="N1406" s="157" t="s">
        <v>553</v>
      </c>
      <c r="O1406" s="157" t="s">
        <v>4354</v>
      </c>
      <c r="P1406" s="161" t="b">
        <v>1</v>
      </c>
      <c r="Q1406" s="158">
        <v>0.103</v>
      </c>
      <c r="R1406" s="158">
        <v>0.0</v>
      </c>
      <c r="S1406" s="158">
        <v>0.103</v>
      </c>
      <c r="T1406" s="157" t="s">
        <v>553</v>
      </c>
      <c r="U1406" s="46" t="s">
        <v>651</v>
      </c>
      <c r="V1406" s="46" t="b">
        <v>1</v>
      </c>
      <c r="W1406" s="46">
        <v>0.95</v>
      </c>
      <c r="X1406" s="46">
        <v>0.0</v>
      </c>
      <c r="Y1406" s="46" t="s">
        <v>640</v>
      </c>
      <c r="Z1406" s="46" t="b">
        <v>0</v>
      </c>
      <c r="AA1406" s="46" t="b">
        <v>0</v>
      </c>
    </row>
    <row r="1407">
      <c r="A1407" s="157" t="s">
        <v>581</v>
      </c>
      <c r="B1407" s="158">
        <v>5.0</v>
      </c>
      <c r="C1407" s="157" t="s">
        <v>652</v>
      </c>
      <c r="D1407" s="157" t="s">
        <v>4371</v>
      </c>
      <c r="E1407" s="157" t="s">
        <v>4372</v>
      </c>
      <c r="F1407" s="157" t="s">
        <v>4373</v>
      </c>
      <c r="G1407" s="157" t="s">
        <v>4374</v>
      </c>
      <c r="H1407" s="157"/>
      <c r="I1407" s="158">
        <v>27.855556</v>
      </c>
      <c r="J1407" s="158">
        <v>43.280278</v>
      </c>
      <c r="K1407" s="157" t="s">
        <v>4375</v>
      </c>
      <c r="L1407" s="157" t="s">
        <v>648</v>
      </c>
      <c r="M1407" s="158">
        <v>2018.0</v>
      </c>
      <c r="N1407" s="157" t="s">
        <v>116</v>
      </c>
      <c r="O1407" s="157" t="s">
        <v>4376</v>
      </c>
      <c r="P1407" s="161" t="b">
        <v>1</v>
      </c>
      <c r="Q1407" s="158">
        <v>0.011399766</v>
      </c>
      <c r="R1407" s="158">
        <v>0.0</v>
      </c>
      <c r="S1407" s="158">
        <v>0.011399766</v>
      </c>
      <c r="T1407" s="157" t="s">
        <v>116</v>
      </c>
      <c r="U1407" s="46" t="s">
        <v>651</v>
      </c>
      <c r="V1407" s="46" t="b">
        <v>0</v>
      </c>
      <c r="W1407" s="46">
        <v>0.95</v>
      </c>
      <c r="X1407" s="46">
        <v>0.0</v>
      </c>
      <c r="Y1407" s="46">
        <v>18.1322041875673</v>
      </c>
      <c r="Z1407" s="46" t="b">
        <v>1</v>
      </c>
      <c r="AA1407" s="46" t="b">
        <v>1</v>
      </c>
    </row>
    <row r="1408">
      <c r="A1408" s="157" t="s">
        <v>581</v>
      </c>
      <c r="B1408" s="158">
        <v>5.0</v>
      </c>
      <c r="C1408" s="157" t="s">
        <v>652</v>
      </c>
      <c r="D1408" s="157" t="s">
        <v>4371</v>
      </c>
      <c r="E1408" s="157" t="s">
        <v>4372</v>
      </c>
      <c r="F1408" s="157" t="s">
        <v>4377</v>
      </c>
      <c r="G1408" s="157" t="s">
        <v>4378</v>
      </c>
      <c r="H1408" s="157"/>
      <c r="I1408" s="158">
        <v>23.700172</v>
      </c>
      <c r="J1408" s="158">
        <v>41.588619</v>
      </c>
      <c r="K1408" s="157" t="s">
        <v>4379</v>
      </c>
      <c r="L1408" s="157" t="s">
        <v>648</v>
      </c>
      <c r="M1408" s="158">
        <v>2018.0</v>
      </c>
      <c r="N1408" s="157" t="s">
        <v>116</v>
      </c>
      <c r="O1408" s="157" t="s">
        <v>4376</v>
      </c>
      <c r="P1408" s="161" t="b">
        <v>1</v>
      </c>
      <c r="Q1408" s="163">
        <v>1.09157E-5</v>
      </c>
      <c r="R1408" s="158">
        <v>0.0</v>
      </c>
      <c r="S1408" s="163">
        <v>1.09157E-5</v>
      </c>
      <c r="T1408" s="157" t="s">
        <v>116</v>
      </c>
      <c r="U1408" s="46" t="s">
        <v>651</v>
      </c>
      <c r="V1408" s="46" t="b">
        <v>0</v>
      </c>
      <c r="W1408" s="46">
        <v>0.95</v>
      </c>
      <c r="X1408" s="46">
        <v>0.0</v>
      </c>
      <c r="Y1408" s="46" t="s">
        <v>640</v>
      </c>
      <c r="Z1408" s="46" t="b">
        <v>0</v>
      </c>
      <c r="AA1408" s="46" t="b">
        <v>0</v>
      </c>
    </row>
    <row r="1409">
      <c r="A1409" s="157" t="s">
        <v>581</v>
      </c>
      <c r="B1409" s="158">
        <v>5.0</v>
      </c>
      <c r="C1409" s="157" t="s">
        <v>652</v>
      </c>
      <c r="D1409" s="157" t="s">
        <v>4371</v>
      </c>
      <c r="E1409" s="157" t="s">
        <v>4372</v>
      </c>
      <c r="F1409" s="157" t="s">
        <v>4380</v>
      </c>
      <c r="G1409" s="157" t="s">
        <v>4381</v>
      </c>
      <c r="H1409" s="157"/>
      <c r="I1409" s="158">
        <v>23.532042</v>
      </c>
      <c r="J1409" s="158">
        <v>41.906266</v>
      </c>
      <c r="K1409" s="157" t="s">
        <v>4382</v>
      </c>
      <c r="L1409" s="157" t="s">
        <v>648</v>
      </c>
      <c r="M1409" s="158">
        <v>2018.0</v>
      </c>
      <c r="N1409" s="157" t="s">
        <v>116</v>
      </c>
      <c r="O1409" s="157" t="s">
        <v>4376</v>
      </c>
      <c r="P1409" s="161" t="b">
        <v>1</v>
      </c>
      <c r="Q1409" s="158">
        <v>7.396E-6</v>
      </c>
      <c r="R1409" s="158">
        <v>0.0</v>
      </c>
      <c r="S1409" s="158">
        <v>7.396E-6</v>
      </c>
      <c r="T1409" s="157" t="s">
        <v>116</v>
      </c>
      <c r="U1409" s="46" t="s">
        <v>651</v>
      </c>
      <c r="V1409" s="46" t="b">
        <v>0</v>
      </c>
      <c r="W1409" s="46">
        <v>0.95</v>
      </c>
      <c r="X1409" s="46">
        <v>0.0</v>
      </c>
      <c r="Y1409" s="46" t="s">
        <v>640</v>
      </c>
      <c r="Z1409" s="46" t="b">
        <v>0</v>
      </c>
      <c r="AA1409" s="46" t="b">
        <v>0</v>
      </c>
    </row>
    <row r="1410">
      <c r="A1410" s="157" t="s">
        <v>581</v>
      </c>
      <c r="B1410" s="158">
        <v>5.0</v>
      </c>
      <c r="C1410" s="157" t="s">
        <v>652</v>
      </c>
      <c r="D1410" s="157" t="s">
        <v>4371</v>
      </c>
      <c r="E1410" s="157" t="s">
        <v>4372</v>
      </c>
      <c r="F1410" s="157" t="s">
        <v>4383</v>
      </c>
      <c r="G1410" s="157" t="s">
        <v>4384</v>
      </c>
      <c r="H1410" s="157"/>
      <c r="I1410" s="158">
        <v>23.25816</v>
      </c>
      <c r="J1410" s="158">
        <v>41.585047</v>
      </c>
      <c r="K1410" s="157" t="s">
        <v>4385</v>
      </c>
      <c r="L1410" s="157" t="s">
        <v>648</v>
      </c>
      <c r="M1410" s="158">
        <v>2018.0</v>
      </c>
      <c r="N1410" s="157" t="s">
        <v>116</v>
      </c>
      <c r="O1410" s="157" t="s">
        <v>4376</v>
      </c>
      <c r="P1410" s="161" t="b">
        <v>1</v>
      </c>
      <c r="Q1410" s="158">
        <v>5.34E-6</v>
      </c>
      <c r="R1410" s="158">
        <v>0.0</v>
      </c>
      <c r="S1410" s="158">
        <v>5.34E-6</v>
      </c>
      <c r="T1410" s="157" t="s">
        <v>116</v>
      </c>
      <c r="U1410" s="46" t="s">
        <v>651</v>
      </c>
      <c r="V1410" s="46" t="b">
        <v>0</v>
      </c>
      <c r="W1410" s="46">
        <v>0.95</v>
      </c>
      <c r="X1410" s="46">
        <v>0.0</v>
      </c>
      <c r="Y1410" s="46" t="s">
        <v>640</v>
      </c>
      <c r="Z1410" s="46" t="b">
        <v>0</v>
      </c>
      <c r="AA1410" s="46" t="b">
        <v>0</v>
      </c>
    </row>
    <row r="1411">
      <c r="A1411" s="157" t="s">
        <v>581</v>
      </c>
      <c r="B1411" s="158">
        <v>5.0</v>
      </c>
      <c r="C1411" s="157" t="s">
        <v>652</v>
      </c>
      <c r="D1411" s="157" t="s">
        <v>4371</v>
      </c>
      <c r="E1411" s="157" t="s">
        <v>4372</v>
      </c>
      <c r="F1411" s="157" t="s">
        <v>4386</v>
      </c>
      <c r="G1411" s="157" t="s">
        <v>4387</v>
      </c>
      <c r="H1411" s="157"/>
      <c r="I1411" s="158">
        <v>23.25816</v>
      </c>
      <c r="J1411" s="158">
        <v>41.585047</v>
      </c>
      <c r="K1411" s="157" t="s">
        <v>4388</v>
      </c>
      <c r="L1411" s="157" t="s">
        <v>648</v>
      </c>
      <c r="M1411" s="158">
        <v>2018.0</v>
      </c>
      <c r="N1411" s="157" t="s">
        <v>116</v>
      </c>
      <c r="O1411" s="157" t="s">
        <v>4376</v>
      </c>
      <c r="P1411" s="161" t="b">
        <v>1</v>
      </c>
      <c r="Q1411" s="163">
        <v>5.22683E-6</v>
      </c>
      <c r="R1411" s="158">
        <v>0.0</v>
      </c>
      <c r="S1411" s="163">
        <v>5.22683E-6</v>
      </c>
      <c r="T1411" s="157" t="s">
        <v>116</v>
      </c>
      <c r="U1411" s="46" t="s">
        <v>651</v>
      </c>
      <c r="V1411" s="46" t="b">
        <v>0</v>
      </c>
      <c r="W1411" s="46">
        <v>0.95</v>
      </c>
      <c r="X1411" s="46">
        <v>0.0</v>
      </c>
      <c r="Y1411" s="46" t="s">
        <v>640</v>
      </c>
      <c r="Z1411" s="46" t="b">
        <v>0</v>
      </c>
      <c r="AA1411" s="46" t="b">
        <v>0</v>
      </c>
    </row>
    <row r="1412">
      <c r="A1412" s="157" t="s">
        <v>568</v>
      </c>
      <c r="B1412" s="158">
        <v>5.0</v>
      </c>
      <c r="C1412" s="157" t="s">
        <v>652</v>
      </c>
      <c r="D1412" s="157" t="s">
        <v>4371</v>
      </c>
      <c r="E1412" s="157" t="s">
        <v>4372</v>
      </c>
      <c r="F1412" s="157" t="s">
        <v>4389</v>
      </c>
      <c r="G1412" s="157" t="s">
        <v>4390</v>
      </c>
      <c r="H1412" s="157"/>
      <c r="I1412" s="158">
        <v>10.7979816885375</v>
      </c>
      <c r="J1412" s="158">
        <v>55.1835432753658</v>
      </c>
      <c r="K1412" s="157" t="s">
        <v>4391</v>
      </c>
      <c r="L1412" s="157" t="s">
        <v>648</v>
      </c>
      <c r="M1412" s="158">
        <v>2022.0</v>
      </c>
      <c r="N1412" s="157" t="s">
        <v>116</v>
      </c>
      <c r="O1412" s="157" t="s">
        <v>4376</v>
      </c>
      <c r="P1412" s="161" t="b">
        <v>1</v>
      </c>
      <c r="Q1412" s="158">
        <v>2.42199E-4</v>
      </c>
      <c r="R1412" s="158">
        <v>0.0</v>
      </c>
      <c r="S1412" s="158">
        <v>2.42199E-4</v>
      </c>
      <c r="T1412" s="157" t="s">
        <v>116</v>
      </c>
      <c r="U1412" s="46" t="s">
        <v>651</v>
      </c>
      <c r="V1412" s="46" t="b">
        <v>0</v>
      </c>
      <c r="W1412" s="46">
        <v>0.95</v>
      </c>
      <c r="X1412" s="46">
        <v>0.0</v>
      </c>
      <c r="Y1412" s="46">
        <v>15.4028600285875</v>
      </c>
      <c r="Z1412" s="46" t="b">
        <v>1</v>
      </c>
      <c r="AA1412" s="46" t="b">
        <v>1</v>
      </c>
    </row>
    <row r="1413">
      <c r="A1413" s="157" t="s">
        <v>568</v>
      </c>
      <c r="B1413" s="158">
        <v>5.0</v>
      </c>
      <c r="C1413" s="157" t="s">
        <v>652</v>
      </c>
      <c r="D1413" s="157" t="s">
        <v>4371</v>
      </c>
      <c r="E1413" s="157" t="s">
        <v>4372</v>
      </c>
      <c r="F1413" s="157" t="s">
        <v>4392</v>
      </c>
      <c r="G1413" s="157" t="s">
        <v>4393</v>
      </c>
      <c r="H1413" s="157"/>
      <c r="I1413" s="158">
        <v>9.65238614962956</v>
      </c>
      <c r="J1413" s="158">
        <v>54.9043747558645</v>
      </c>
      <c r="K1413" s="157" t="s">
        <v>4394</v>
      </c>
      <c r="L1413" s="157" t="s">
        <v>648</v>
      </c>
      <c r="M1413" s="158">
        <v>2022.0</v>
      </c>
      <c r="N1413" s="157" t="s">
        <v>116</v>
      </c>
      <c r="O1413" s="157" t="s">
        <v>4376</v>
      </c>
      <c r="P1413" s="161" t="b">
        <v>1</v>
      </c>
      <c r="Q1413" s="158">
        <v>5.7043E-5</v>
      </c>
      <c r="R1413" s="158">
        <v>0.0</v>
      </c>
      <c r="S1413" s="158">
        <v>5.7043E-5</v>
      </c>
      <c r="T1413" s="157" t="s">
        <v>116</v>
      </c>
      <c r="U1413" s="46" t="s">
        <v>651</v>
      </c>
      <c r="V1413" s="46" t="b">
        <v>0</v>
      </c>
      <c r="W1413" s="46">
        <v>0.95</v>
      </c>
      <c r="X1413" s="46">
        <v>0.0</v>
      </c>
      <c r="Y1413" s="46">
        <v>21.4474231579626</v>
      </c>
      <c r="Z1413" s="46" t="b">
        <v>1</v>
      </c>
      <c r="AA1413" s="46" t="b">
        <v>1</v>
      </c>
    </row>
    <row r="1414">
      <c r="A1414" s="157" t="s">
        <v>568</v>
      </c>
      <c r="B1414" s="158">
        <v>5.0</v>
      </c>
      <c r="C1414" s="157" t="s">
        <v>652</v>
      </c>
      <c r="D1414" s="157" t="s">
        <v>4371</v>
      </c>
      <c r="E1414" s="157" t="s">
        <v>4372</v>
      </c>
      <c r="F1414" s="157" t="s">
        <v>4395</v>
      </c>
      <c r="G1414" s="157" t="s">
        <v>4396</v>
      </c>
      <c r="H1414" s="157"/>
      <c r="I1414" s="158">
        <v>9.8637436349149</v>
      </c>
      <c r="J1414" s="158">
        <v>55.8500768476535</v>
      </c>
      <c r="K1414" s="157" t="s">
        <v>4397</v>
      </c>
      <c r="L1414" s="157" t="s">
        <v>648</v>
      </c>
      <c r="M1414" s="158">
        <v>2022.0</v>
      </c>
      <c r="N1414" s="157" t="s">
        <v>116</v>
      </c>
      <c r="O1414" s="157" t="s">
        <v>4376</v>
      </c>
      <c r="P1414" s="161" t="b">
        <v>1</v>
      </c>
      <c r="Q1414" s="158">
        <v>1.5E-5</v>
      </c>
      <c r="R1414" s="158">
        <v>0.0</v>
      </c>
      <c r="S1414" s="158">
        <v>1.5E-5</v>
      </c>
      <c r="T1414" s="157" t="s">
        <v>116</v>
      </c>
      <c r="U1414" s="46" t="s">
        <v>651</v>
      </c>
      <c r="V1414" s="46" t="b">
        <v>0</v>
      </c>
      <c r="W1414" s="46">
        <v>0.95</v>
      </c>
      <c r="X1414" s="46">
        <v>0.0</v>
      </c>
      <c r="Y1414" s="46">
        <v>28.2268206300616</v>
      </c>
      <c r="Z1414" s="46" t="b">
        <v>1</v>
      </c>
      <c r="AA1414" s="46" t="b">
        <v>1</v>
      </c>
    </row>
    <row r="1415">
      <c r="A1415" s="157" t="s">
        <v>568</v>
      </c>
      <c r="B1415" s="158">
        <v>5.0</v>
      </c>
      <c r="C1415" s="157" t="s">
        <v>652</v>
      </c>
      <c r="D1415" s="157" t="s">
        <v>4371</v>
      </c>
      <c r="E1415" s="157" t="s">
        <v>4372</v>
      </c>
      <c r="F1415" s="157" t="s">
        <v>4398</v>
      </c>
      <c r="G1415" s="157" t="s">
        <v>4399</v>
      </c>
      <c r="H1415" s="157"/>
      <c r="I1415" s="158">
        <v>9.82517925012192</v>
      </c>
      <c r="J1415" s="158">
        <v>55.5072132991538</v>
      </c>
      <c r="K1415" s="157" t="s">
        <v>4400</v>
      </c>
      <c r="L1415" s="157" t="s">
        <v>648</v>
      </c>
      <c r="M1415" s="158">
        <v>2022.0</v>
      </c>
      <c r="N1415" s="157" t="s">
        <v>116</v>
      </c>
      <c r="O1415" s="157" t="s">
        <v>4376</v>
      </c>
      <c r="P1415" s="161" t="b">
        <v>1</v>
      </c>
      <c r="Q1415" s="163">
        <v>1.59936E-6</v>
      </c>
      <c r="R1415" s="158">
        <v>0.0</v>
      </c>
      <c r="S1415" s="163">
        <v>1.59936E-6</v>
      </c>
      <c r="T1415" s="157" t="s">
        <v>116</v>
      </c>
      <c r="U1415" s="46" t="s">
        <v>651</v>
      </c>
      <c r="V1415" s="46" t="b">
        <v>0</v>
      </c>
      <c r="W1415" s="46">
        <v>0.95</v>
      </c>
      <c r="X1415" s="46">
        <v>0.0</v>
      </c>
      <c r="Y1415" s="46">
        <v>12.74576466163</v>
      </c>
      <c r="Z1415" s="46" t="b">
        <v>1</v>
      </c>
      <c r="AA1415" s="46" t="b">
        <v>1</v>
      </c>
    </row>
    <row r="1416">
      <c r="A1416" s="157" t="s">
        <v>556</v>
      </c>
      <c r="B1416" s="158">
        <v>5.0</v>
      </c>
      <c r="C1416" s="157" t="s">
        <v>652</v>
      </c>
      <c r="D1416" s="157" t="s">
        <v>4371</v>
      </c>
      <c r="E1416" s="157" t="s">
        <v>4372</v>
      </c>
      <c r="F1416" s="157" t="s">
        <v>4401</v>
      </c>
      <c r="G1416" s="157" t="s">
        <v>4402</v>
      </c>
      <c r="H1416" s="157"/>
      <c r="I1416" s="158">
        <v>2.645</v>
      </c>
      <c r="J1416" s="158">
        <v>48.9402</v>
      </c>
      <c r="K1416" s="157" t="s">
        <v>4403</v>
      </c>
      <c r="L1416" s="157" t="s">
        <v>648</v>
      </c>
      <c r="M1416" s="158">
        <v>2022.0</v>
      </c>
      <c r="N1416" s="157" t="s">
        <v>116</v>
      </c>
      <c r="O1416" s="157" t="s">
        <v>4376</v>
      </c>
      <c r="P1416" s="161" t="b">
        <v>1</v>
      </c>
      <c r="Q1416" s="158">
        <v>0.127</v>
      </c>
      <c r="R1416" s="158">
        <v>0.0</v>
      </c>
      <c r="S1416" s="158">
        <v>0.127</v>
      </c>
      <c r="T1416" s="157" t="s">
        <v>116</v>
      </c>
      <c r="U1416" s="46" t="s">
        <v>651</v>
      </c>
      <c r="V1416" s="46" t="b">
        <v>1</v>
      </c>
      <c r="W1416" s="46">
        <v>0.95</v>
      </c>
      <c r="X1416" s="46">
        <v>0.0</v>
      </c>
      <c r="Y1416" s="46">
        <v>16.3656908358336</v>
      </c>
      <c r="Z1416" s="46" t="b">
        <v>1</v>
      </c>
      <c r="AA1416" s="46" t="b">
        <v>1</v>
      </c>
    </row>
    <row r="1417">
      <c r="A1417" s="157" t="s">
        <v>572</v>
      </c>
      <c r="B1417" s="158">
        <v>5.0</v>
      </c>
      <c r="C1417" s="157" t="s">
        <v>652</v>
      </c>
      <c r="D1417" s="157" t="s">
        <v>4371</v>
      </c>
      <c r="E1417" s="157" t="s">
        <v>4372</v>
      </c>
      <c r="F1417" s="157" t="s">
        <v>4404</v>
      </c>
      <c r="G1417" s="157" t="s">
        <v>4405</v>
      </c>
      <c r="H1417" s="157"/>
      <c r="I1417" s="158">
        <v>23.65238</v>
      </c>
      <c r="J1417" s="158">
        <v>38.0747</v>
      </c>
      <c r="K1417" s="157" t="s">
        <v>4406</v>
      </c>
      <c r="L1417" s="157" t="s">
        <v>648</v>
      </c>
      <c r="M1417" s="158">
        <v>2021.0</v>
      </c>
      <c r="N1417" s="157" t="s">
        <v>116</v>
      </c>
      <c r="O1417" s="157" t="s">
        <v>4376</v>
      </c>
      <c r="P1417" s="161" t="b">
        <v>1</v>
      </c>
      <c r="Q1417" s="158">
        <v>0.218</v>
      </c>
      <c r="R1417" s="158">
        <v>0.0</v>
      </c>
      <c r="S1417" s="158">
        <v>0.218</v>
      </c>
      <c r="T1417" s="157" t="s">
        <v>116</v>
      </c>
      <c r="U1417" s="46" t="s">
        <v>651</v>
      </c>
      <c r="V1417" s="46" t="b">
        <v>1</v>
      </c>
      <c r="W1417" s="46">
        <v>0.95</v>
      </c>
      <c r="X1417" s="46">
        <v>0.0</v>
      </c>
      <c r="Y1417" s="46">
        <v>17.0803235980685</v>
      </c>
      <c r="Z1417" s="46" t="b">
        <v>1</v>
      </c>
      <c r="AA1417" s="46" t="b">
        <v>1</v>
      </c>
    </row>
    <row r="1418">
      <c r="A1418" s="157" t="s">
        <v>566</v>
      </c>
      <c r="B1418" s="158">
        <v>5.0</v>
      </c>
      <c r="C1418" s="157" t="s">
        <v>652</v>
      </c>
      <c r="D1418" s="157" t="s">
        <v>4371</v>
      </c>
      <c r="E1418" s="157" t="s">
        <v>4372</v>
      </c>
      <c r="F1418" s="157" t="s">
        <v>4407</v>
      </c>
      <c r="G1418" s="157" t="s">
        <v>4408</v>
      </c>
      <c r="H1418" s="157"/>
      <c r="I1418" s="158">
        <v>21.61202812</v>
      </c>
      <c r="J1418" s="158">
        <v>53.1044426</v>
      </c>
      <c r="K1418" s="157" t="s">
        <v>4409</v>
      </c>
      <c r="L1418" s="157" t="s">
        <v>648</v>
      </c>
      <c r="M1418" s="158">
        <v>2022.0</v>
      </c>
      <c r="N1418" s="157" t="s">
        <v>116</v>
      </c>
      <c r="O1418" s="157" t="s">
        <v>4376</v>
      </c>
      <c r="P1418" s="161" t="b">
        <v>1</v>
      </c>
      <c r="Q1418" s="158">
        <v>2.74</v>
      </c>
      <c r="R1418" s="158">
        <v>0.0</v>
      </c>
      <c r="S1418" s="158">
        <v>2.74</v>
      </c>
      <c r="T1418" s="157" t="s">
        <v>116</v>
      </c>
      <c r="U1418" s="46" t="s">
        <v>651</v>
      </c>
      <c r="V1418" s="46" t="b">
        <v>1</v>
      </c>
      <c r="W1418" s="46">
        <v>0.95</v>
      </c>
      <c r="X1418" s="46">
        <v>0.0</v>
      </c>
      <c r="Y1418" s="46" t="s">
        <v>640</v>
      </c>
      <c r="Z1418" s="46" t="b">
        <v>0</v>
      </c>
      <c r="AA1418" s="46" t="b">
        <v>0</v>
      </c>
    </row>
    <row r="1419">
      <c r="A1419" s="157" t="s">
        <v>566</v>
      </c>
      <c r="B1419" s="158">
        <v>5.0</v>
      </c>
      <c r="C1419" s="157" t="s">
        <v>652</v>
      </c>
      <c r="D1419" s="157" t="s">
        <v>4371</v>
      </c>
      <c r="E1419" s="157" t="s">
        <v>4372</v>
      </c>
      <c r="F1419" s="157" t="s">
        <v>4410</v>
      </c>
      <c r="G1419" s="157" t="s">
        <v>4411</v>
      </c>
      <c r="H1419" s="157"/>
      <c r="I1419" s="158">
        <v>18.84647369</v>
      </c>
      <c r="J1419" s="158">
        <v>50.13369751</v>
      </c>
      <c r="K1419" s="157" t="s">
        <v>3585</v>
      </c>
      <c r="L1419" s="157" t="s">
        <v>648</v>
      </c>
      <c r="M1419" s="158">
        <v>2022.0</v>
      </c>
      <c r="N1419" s="157" t="s">
        <v>116</v>
      </c>
      <c r="O1419" s="157" t="s">
        <v>4376</v>
      </c>
      <c r="P1419" s="161" t="b">
        <v>1</v>
      </c>
      <c r="Q1419" s="158">
        <v>2.74</v>
      </c>
      <c r="R1419" s="158">
        <v>0.0</v>
      </c>
      <c r="S1419" s="158">
        <v>2.74</v>
      </c>
      <c r="T1419" s="157" t="s">
        <v>116</v>
      </c>
      <c r="U1419" s="46" t="s">
        <v>651</v>
      </c>
      <c r="V1419" s="46" t="b">
        <v>1</v>
      </c>
      <c r="W1419" s="46">
        <v>0.95</v>
      </c>
      <c r="X1419" s="46">
        <v>0.0</v>
      </c>
      <c r="Y1419" s="46" t="s">
        <v>640</v>
      </c>
      <c r="Z1419" s="46" t="b">
        <v>0</v>
      </c>
      <c r="AA1419" s="46" t="b">
        <v>0</v>
      </c>
    </row>
    <row r="1420">
      <c r="A1420" s="157" t="s">
        <v>566</v>
      </c>
      <c r="B1420" s="158">
        <v>5.0</v>
      </c>
      <c r="C1420" s="157" t="s">
        <v>652</v>
      </c>
      <c r="D1420" s="157" t="s">
        <v>4371</v>
      </c>
      <c r="E1420" s="157" t="s">
        <v>4372</v>
      </c>
      <c r="F1420" s="157" t="s">
        <v>4412</v>
      </c>
      <c r="G1420" s="157" t="s">
        <v>4413</v>
      </c>
      <c r="H1420" s="157"/>
      <c r="I1420" s="158">
        <v>18.37431335</v>
      </c>
      <c r="J1420" s="158">
        <v>53.39354706</v>
      </c>
      <c r="K1420" s="157" t="s">
        <v>4414</v>
      </c>
      <c r="L1420" s="157" t="s">
        <v>648</v>
      </c>
      <c r="M1420" s="158">
        <v>2022.0</v>
      </c>
      <c r="N1420" s="157" t="s">
        <v>116</v>
      </c>
      <c r="O1420" s="157" t="s">
        <v>4376</v>
      </c>
      <c r="P1420" s="161" t="b">
        <v>1</v>
      </c>
      <c r="Q1420" s="158">
        <v>2.25</v>
      </c>
      <c r="R1420" s="158">
        <v>0.0</v>
      </c>
      <c r="S1420" s="158">
        <v>2.25</v>
      </c>
      <c r="T1420" s="157" t="s">
        <v>116</v>
      </c>
      <c r="U1420" s="46" t="s">
        <v>651</v>
      </c>
      <c r="V1420" s="46" t="b">
        <v>1</v>
      </c>
      <c r="W1420" s="46">
        <v>0.95</v>
      </c>
      <c r="X1420" s="46">
        <v>0.0</v>
      </c>
      <c r="Y1420" s="46">
        <v>20.4118891128493</v>
      </c>
      <c r="Z1420" s="46" t="b">
        <v>1</v>
      </c>
      <c r="AA1420" s="46" t="b">
        <v>1</v>
      </c>
    </row>
    <row r="1421">
      <c r="A1421" s="157" t="s">
        <v>566</v>
      </c>
      <c r="B1421" s="158">
        <v>5.0</v>
      </c>
      <c r="C1421" s="157" t="s">
        <v>652</v>
      </c>
      <c r="D1421" s="157" t="s">
        <v>4371</v>
      </c>
      <c r="E1421" s="157" t="s">
        <v>4372</v>
      </c>
      <c r="F1421" s="157" t="s">
        <v>4415</v>
      </c>
      <c r="G1421" s="157" t="s">
        <v>4416</v>
      </c>
      <c r="H1421" s="157"/>
      <c r="I1421" s="158">
        <v>19.46277809</v>
      </c>
      <c r="J1421" s="158">
        <v>50.20639038</v>
      </c>
      <c r="K1421" s="157" t="s">
        <v>4417</v>
      </c>
      <c r="L1421" s="157" t="s">
        <v>648</v>
      </c>
      <c r="M1421" s="158">
        <v>2022.0</v>
      </c>
      <c r="N1421" s="157" t="s">
        <v>116</v>
      </c>
      <c r="O1421" s="157" t="s">
        <v>4376</v>
      </c>
      <c r="P1421" s="161" t="b">
        <v>1</v>
      </c>
      <c r="Q1421" s="158">
        <v>0.84</v>
      </c>
      <c r="R1421" s="158">
        <v>0.0</v>
      </c>
      <c r="S1421" s="158">
        <v>0.84</v>
      </c>
      <c r="T1421" s="157" t="s">
        <v>116</v>
      </c>
      <c r="U1421" s="46" t="s">
        <v>651</v>
      </c>
      <c r="V1421" s="46" t="b">
        <v>1</v>
      </c>
      <c r="W1421" s="46">
        <v>0.95</v>
      </c>
      <c r="X1421" s="46">
        <v>0.0</v>
      </c>
      <c r="Y1421" s="46" t="s">
        <v>640</v>
      </c>
      <c r="Z1421" s="46" t="b">
        <v>0</v>
      </c>
      <c r="AA1421" s="46" t="b">
        <v>0</v>
      </c>
    </row>
    <row r="1422">
      <c r="A1422" s="157" t="s">
        <v>566</v>
      </c>
      <c r="B1422" s="158">
        <v>5.0</v>
      </c>
      <c r="C1422" s="157" t="s">
        <v>652</v>
      </c>
      <c r="D1422" s="157" t="s">
        <v>4371</v>
      </c>
      <c r="E1422" s="157" t="s">
        <v>4372</v>
      </c>
      <c r="F1422" s="157" t="s">
        <v>4418</v>
      </c>
      <c r="G1422" s="157" t="s">
        <v>4419</v>
      </c>
      <c r="H1422" s="157"/>
      <c r="I1422" s="158">
        <v>18.25942039</v>
      </c>
      <c r="J1422" s="158">
        <v>50.30339432</v>
      </c>
      <c r="K1422" s="157" t="s">
        <v>2928</v>
      </c>
      <c r="L1422" s="157" t="s">
        <v>648</v>
      </c>
      <c r="M1422" s="158">
        <v>2022.0</v>
      </c>
      <c r="N1422" s="157" t="s">
        <v>116</v>
      </c>
      <c r="O1422" s="157" t="s">
        <v>4376</v>
      </c>
      <c r="P1422" s="161" t="b">
        <v>1</v>
      </c>
      <c r="Q1422" s="158">
        <v>0.748</v>
      </c>
      <c r="R1422" s="158">
        <v>0.0</v>
      </c>
      <c r="S1422" s="158">
        <v>0.748</v>
      </c>
      <c r="T1422" s="157" t="s">
        <v>116</v>
      </c>
      <c r="U1422" s="46" t="s">
        <v>651</v>
      </c>
      <c r="V1422" s="46" t="b">
        <v>1</v>
      </c>
      <c r="W1422" s="46">
        <v>0.95</v>
      </c>
      <c r="X1422" s="46">
        <v>0.0</v>
      </c>
      <c r="Y1422" s="46" t="s">
        <v>640</v>
      </c>
      <c r="Z1422" s="46" t="b">
        <v>0</v>
      </c>
      <c r="AA1422" s="46" t="b">
        <v>0</v>
      </c>
    </row>
    <row r="1423">
      <c r="A1423" s="157" t="s">
        <v>566</v>
      </c>
      <c r="B1423" s="158">
        <v>5.0</v>
      </c>
      <c r="C1423" s="157" t="s">
        <v>652</v>
      </c>
      <c r="D1423" s="157" t="s">
        <v>4371</v>
      </c>
      <c r="E1423" s="157" t="s">
        <v>4372</v>
      </c>
      <c r="F1423" s="157" t="s">
        <v>4420</v>
      </c>
      <c r="G1423" s="157" t="s">
        <v>4421</v>
      </c>
      <c r="H1423" s="157"/>
      <c r="I1423" s="158">
        <v>18.96583366</v>
      </c>
      <c r="J1423" s="158">
        <v>52.70222473</v>
      </c>
      <c r="K1423" s="157" t="s">
        <v>2092</v>
      </c>
      <c r="L1423" s="157" t="s">
        <v>648</v>
      </c>
      <c r="M1423" s="158">
        <v>2022.0</v>
      </c>
      <c r="N1423" s="157" t="s">
        <v>116</v>
      </c>
      <c r="O1423" s="157" t="s">
        <v>4376</v>
      </c>
      <c r="P1423" s="161" t="b">
        <v>1</v>
      </c>
      <c r="Q1423" s="158">
        <v>0.67</v>
      </c>
      <c r="R1423" s="158">
        <v>0.0</v>
      </c>
      <c r="S1423" s="158">
        <v>0.67</v>
      </c>
      <c r="T1423" s="157" t="s">
        <v>116</v>
      </c>
      <c r="U1423" s="46" t="s">
        <v>651</v>
      </c>
      <c r="V1423" s="46" t="b">
        <v>1</v>
      </c>
      <c r="W1423" s="46">
        <v>0.95</v>
      </c>
      <c r="X1423" s="46">
        <v>0.0</v>
      </c>
      <c r="Y1423" s="46">
        <v>3.76970262429358</v>
      </c>
      <c r="Z1423" s="46" t="b">
        <v>1</v>
      </c>
      <c r="AA1423" s="46" t="b">
        <v>1</v>
      </c>
    </row>
    <row r="1424">
      <c r="A1424" s="157" t="s">
        <v>566</v>
      </c>
      <c r="B1424" s="158">
        <v>5.0</v>
      </c>
      <c r="C1424" s="157" t="s">
        <v>652</v>
      </c>
      <c r="D1424" s="157" t="s">
        <v>4371</v>
      </c>
      <c r="E1424" s="157" t="s">
        <v>4372</v>
      </c>
      <c r="F1424" s="157" t="s">
        <v>4422</v>
      </c>
      <c r="G1424" s="157" t="s">
        <v>4423</v>
      </c>
      <c r="H1424" s="157"/>
      <c r="I1424" s="158">
        <v>18.93077087</v>
      </c>
      <c r="J1424" s="158">
        <v>50.50259018</v>
      </c>
      <c r="K1424" s="157" t="s">
        <v>4424</v>
      </c>
      <c r="L1424" s="157" t="s">
        <v>648</v>
      </c>
      <c r="M1424" s="158">
        <v>2022.0</v>
      </c>
      <c r="N1424" s="157" t="s">
        <v>116</v>
      </c>
      <c r="O1424" s="157" t="s">
        <v>4376</v>
      </c>
      <c r="P1424" s="161" t="b">
        <v>1</v>
      </c>
      <c r="Q1424" s="158">
        <v>0.381</v>
      </c>
      <c r="R1424" s="158">
        <v>0.0</v>
      </c>
      <c r="S1424" s="158">
        <v>0.381</v>
      </c>
      <c r="T1424" s="157" t="s">
        <v>116</v>
      </c>
      <c r="U1424" s="46" t="s">
        <v>651</v>
      </c>
      <c r="V1424" s="46" t="b">
        <v>1</v>
      </c>
      <c r="W1424" s="46">
        <v>0.95</v>
      </c>
      <c r="X1424" s="46">
        <v>0.0</v>
      </c>
      <c r="Y1424" s="46" t="s">
        <v>640</v>
      </c>
      <c r="Z1424" s="46" t="b">
        <v>0</v>
      </c>
      <c r="AA1424" s="46" t="b">
        <v>0</v>
      </c>
    </row>
    <row r="1425">
      <c r="A1425" s="157" t="s">
        <v>566</v>
      </c>
      <c r="B1425" s="158">
        <v>5.0</v>
      </c>
      <c r="C1425" s="157" t="s">
        <v>652</v>
      </c>
      <c r="D1425" s="157" t="s">
        <v>4371</v>
      </c>
      <c r="E1425" s="157" t="s">
        <v>4372</v>
      </c>
      <c r="F1425" s="157" t="s">
        <v>4425</v>
      </c>
      <c r="G1425" s="157" t="s">
        <v>4426</v>
      </c>
      <c r="H1425" s="157"/>
      <c r="I1425" s="158">
        <v>15.2688055</v>
      </c>
      <c r="J1425" s="158">
        <v>52.75086212</v>
      </c>
      <c r="K1425" s="157" t="s">
        <v>4427</v>
      </c>
      <c r="L1425" s="157" t="s">
        <v>648</v>
      </c>
      <c r="M1425" s="158">
        <v>2022.0</v>
      </c>
      <c r="N1425" s="157" t="s">
        <v>116</v>
      </c>
      <c r="O1425" s="157" t="s">
        <v>4376</v>
      </c>
      <c r="P1425" s="161" t="b">
        <v>1</v>
      </c>
      <c r="Q1425" s="158">
        <v>0.364</v>
      </c>
      <c r="R1425" s="158">
        <v>0.0</v>
      </c>
      <c r="S1425" s="158">
        <v>0.364</v>
      </c>
      <c r="T1425" s="157" t="s">
        <v>116</v>
      </c>
      <c r="U1425" s="46" t="s">
        <v>651</v>
      </c>
      <c r="V1425" s="46" t="b">
        <v>1</v>
      </c>
      <c r="W1425" s="46">
        <v>0.95</v>
      </c>
      <c r="X1425" s="46">
        <v>0.0</v>
      </c>
      <c r="Y1425" s="46">
        <v>71.4198860784761</v>
      </c>
      <c r="Z1425" s="46" t="b">
        <v>0</v>
      </c>
      <c r="AA1425" s="46" t="b">
        <v>1</v>
      </c>
    </row>
    <row r="1426">
      <c r="A1426" s="157" t="s">
        <v>566</v>
      </c>
      <c r="B1426" s="158">
        <v>5.0</v>
      </c>
      <c r="C1426" s="157" t="s">
        <v>652</v>
      </c>
      <c r="D1426" s="157" t="s">
        <v>4371</v>
      </c>
      <c r="E1426" s="157" t="s">
        <v>4372</v>
      </c>
      <c r="F1426" s="157" t="s">
        <v>4428</v>
      </c>
      <c r="G1426" s="157" t="s">
        <v>4429</v>
      </c>
      <c r="H1426" s="157"/>
      <c r="I1426" s="158">
        <v>19.38529205</v>
      </c>
      <c r="J1426" s="158">
        <v>54.17979431</v>
      </c>
      <c r="K1426" s="157" t="s">
        <v>4430</v>
      </c>
      <c r="L1426" s="157" t="s">
        <v>648</v>
      </c>
      <c r="M1426" s="158">
        <v>2022.0</v>
      </c>
      <c r="N1426" s="157" t="s">
        <v>116</v>
      </c>
      <c r="O1426" s="157" t="s">
        <v>4376</v>
      </c>
      <c r="P1426" s="161" t="b">
        <v>1</v>
      </c>
      <c r="Q1426" s="158">
        <v>0.223</v>
      </c>
      <c r="R1426" s="158">
        <v>0.0</v>
      </c>
      <c r="S1426" s="158">
        <v>0.223</v>
      </c>
      <c r="T1426" s="157" t="s">
        <v>116</v>
      </c>
      <c r="U1426" s="46" t="s">
        <v>651</v>
      </c>
      <c r="V1426" s="46" t="b">
        <v>1</v>
      </c>
      <c r="W1426" s="46">
        <v>0.95</v>
      </c>
      <c r="X1426" s="46">
        <v>0.0</v>
      </c>
      <c r="Y1426" s="46">
        <v>47.1942260352451</v>
      </c>
      <c r="Z1426" s="46" t="b">
        <v>1</v>
      </c>
      <c r="AA1426" s="46" t="b">
        <v>1</v>
      </c>
    </row>
    <row r="1427">
      <c r="A1427" s="157" t="s">
        <v>566</v>
      </c>
      <c r="B1427" s="158">
        <v>5.0</v>
      </c>
      <c r="C1427" s="157" t="s">
        <v>652</v>
      </c>
      <c r="D1427" s="157" t="s">
        <v>4371</v>
      </c>
      <c r="E1427" s="157" t="s">
        <v>4372</v>
      </c>
      <c r="F1427" s="157" t="s">
        <v>4431</v>
      </c>
      <c r="G1427" s="157" t="s">
        <v>4432</v>
      </c>
      <c r="H1427" s="157"/>
      <c r="I1427" s="158">
        <v>19.39416695</v>
      </c>
      <c r="J1427" s="158">
        <v>51.84083176</v>
      </c>
      <c r="K1427" s="157" t="s">
        <v>4433</v>
      </c>
      <c r="L1427" s="157" t="s">
        <v>648</v>
      </c>
      <c r="M1427" s="158">
        <v>2022.0</v>
      </c>
      <c r="N1427" s="157" t="s">
        <v>116</v>
      </c>
      <c r="O1427" s="157" t="s">
        <v>4376</v>
      </c>
      <c r="P1427" s="161" t="b">
        <v>1</v>
      </c>
      <c r="Q1427" s="158">
        <v>0.171</v>
      </c>
      <c r="R1427" s="158">
        <v>0.0</v>
      </c>
      <c r="S1427" s="158">
        <v>0.171</v>
      </c>
      <c r="T1427" s="157" t="s">
        <v>116</v>
      </c>
      <c r="U1427" s="46" t="s">
        <v>651</v>
      </c>
      <c r="V1427" s="46" t="b">
        <v>1</v>
      </c>
      <c r="W1427" s="46">
        <v>0.95</v>
      </c>
      <c r="X1427" s="46">
        <v>0.0</v>
      </c>
      <c r="Y1427" s="46">
        <v>81.4730579760634</v>
      </c>
      <c r="Z1427" s="46" t="b">
        <v>0</v>
      </c>
      <c r="AA1427" s="46" t="b">
        <v>1</v>
      </c>
    </row>
    <row r="1428">
      <c r="A1428" s="157" t="s">
        <v>566</v>
      </c>
      <c r="B1428" s="158">
        <v>5.0</v>
      </c>
      <c r="C1428" s="157" t="s">
        <v>652</v>
      </c>
      <c r="D1428" s="157" t="s">
        <v>4371</v>
      </c>
      <c r="E1428" s="157" t="s">
        <v>4372</v>
      </c>
      <c r="F1428" s="157" t="s">
        <v>4434</v>
      </c>
      <c r="G1428" s="157" t="s">
        <v>4435</v>
      </c>
      <c r="H1428" s="157"/>
      <c r="I1428" s="158">
        <v>18.08328629</v>
      </c>
      <c r="J1428" s="158">
        <v>53.06920242</v>
      </c>
      <c r="K1428" s="157" t="s">
        <v>2023</v>
      </c>
      <c r="L1428" s="157" t="s">
        <v>648</v>
      </c>
      <c r="M1428" s="158">
        <v>2022.0</v>
      </c>
      <c r="N1428" s="157" t="s">
        <v>116</v>
      </c>
      <c r="O1428" s="157" t="s">
        <v>4376</v>
      </c>
      <c r="P1428" s="161" t="b">
        <v>1</v>
      </c>
      <c r="Q1428" s="158">
        <v>0.166</v>
      </c>
      <c r="R1428" s="158">
        <v>0.0</v>
      </c>
      <c r="S1428" s="158">
        <v>0.166</v>
      </c>
      <c r="T1428" s="157" t="s">
        <v>116</v>
      </c>
      <c r="U1428" s="46" t="s">
        <v>651</v>
      </c>
      <c r="V1428" s="46" t="b">
        <v>1</v>
      </c>
      <c r="W1428" s="46">
        <v>0.95</v>
      </c>
      <c r="X1428" s="46">
        <v>0.0</v>
      </c>
      <c r="Y1428" s="46">
        <v>29.8639910070308</v>
      </c>
      <c r="Z1428" s="46" t="b">
        <v>1</v>
      </c>
      <c r="AA1428" s="46" t="b">
        <v>1</v>
      </c>
    </row>
    <row r="1429">
      <c r="A1429" s="157" t="s">
        <v>558</v>
      </c>
      <c r="B1429" s="158">
        <v>5.0</v>
      </c>
      <c r="C1429" s="157" t="s">
        <v>652</v>
      </c>
      <c r="D1429" s="157" t="s">
        <v>4371</v>
      </c>
      <c r="E1429" s="157" t="s">
        <v>4372</v>
      </c>
      <c r="F1429" s="157" t="s">
        <v>4436</v>
      </c>
      <c r="G1429" s="157" t="s">
        <v>4437</v>
      </c>
      <c r="H1429" s="157"/>
      <c r="I1429" s="158">
        <v>-7.472355</v>
      </c>
      <c r="J1429" s="158">
        <v>40.208342</v>
      </c>
      <c r="K1429" s="157" t="s">
        <v>4438</v>
      </c>
      <c r="L1429" s="157" t="s">
        <v>648</v>
      </c>
      <c r="M1429" s="158">
        <v>2022.0</v>
      </c>
      <c r="N1429" s="157" t="s">
        <v>116</v>
      </c>
      <c r="O1429" s="157" t="s">
        <v>4376</v>
      </c>
      <c r="P1429" s="161" t="b">
        <v>1</v>
      </c>
      <c r="Q1429" s="158">
        <v>0.446</v>
      </c>
      <c r="R1429" s="158">
        <v>0.0</v>
      </c>
      <c r="S1429" s="158">
        <v>0.446</v>
      </c>
      <c r="T1429" s="157" t="s">
        <v>116</v>
      </c>
      <c r="U1429" s="46" t="s">
        <v>651</v>
      </c>
      <c r="V1429" s="46" t="b">
        <v>1</v>
      </c>
      <c r="W1429" s="46">
        <v>0.95</v>
      </c>
      <c r="X1429" s="46">
        <v>0.0</v>
      </c>
      <c r="Y1429" s="46" t="s">
        <v>640</v>
      </c>
      <c r="Z1429" s="46" t="b">
        <v>0</v>
      </c>
      <c r="AA1429" s="46" t="b">
        <v>0</v>
      </c>
    </row>
    <row r="1430">
      <c r="A1430" s="157" t="s">
        <v>564</v>
      </c>
      <c r="B1430" s="158">
        <v>5.0</v>
      </c>
      <c r="C1430" s="157" t="s">
        <v>652</v>
      </c>
      <c r="D1430" s="157" t="s">
        <v>4371</v>
      </c>
      <c r="E1430" s="157" t="s">
        <v>4372</v>
      </c>
      <c r="F1430" s="157" t="s">
        <v>4439</v>
      </c>
      <c r="G1430" s="157" t="s">
        <v>4440</v>
      </c>
      <c r="H1430" s="157"/>
      <c r="I1430" s="158">
        <v>8.5608</v>
      </c>
      <c r="J1430" s="158">
        <v>47.2182</v>
      </c>
      <c r="K1430" s="157" t="s">
        <v>4441</v>
      </c>
      <c r="L1430" s="157" t="s">
        <v>648</v>
      </c>
      <c r="M1430" s="158">
        <v>2021.0</v>
      </c>
      <c r="N1430" s="157" t="s">
        <v>116</v>
      </c>
      <c r="O1430" s="157" t="s">
        <v>4376</v>
      </c>
      <c r="P1430" s="161" t="b">
        <v>1</v>
      </c>
      <c r="Q1430" s="158">
        <v>6.98E-4</v>
      </c>
      <c r="R1430" s="158">
        <v>0.0</v>
      </c>
      <c r="S1430" s="158">
        <v>6.98E-4</v>
      </c>
      <c r="T1430" s="157" t="s">
        <v>116</v>
      </c>
      <c r="U1430" s="46" t="s">
        <v>651</v>
      </c>
      <c r="V1430" s="46" t="b">
        <v>0</v>
      </c>
      <c r="W1430" s="46">
        <v>0.95</v>
      </c>
      <c r="X1430" s="46">
        <v>0.0</v>
      </c>
      <c r="Y1430" s="46">
        <v>37.8677493040616</v>
      </c>
      <c r="Z1430" s="46" t="b">
        <v>1</v>
      </c>
      <c r="AA1430" s="46" t="b">
        <v>1</v>
      </c>
    </row>
    <row r="1431">
      <c r="A1431" s="157" t="s">
        <v>563</v>
      </c>
      <c r="B1431" s="158">
        <v>5.0</v>
      </c>
      <c r="C1431" s="157" t="s">
        <v>652</v>
      </c>
      <c r="D1431" s="157" t="s">
        <v>4371</v>
      </c>
      <c r="E1431" s="157" t="s">
        <v>4372</v>
      </c>
      <c r="F1431" s="157" t="s">
        <v>4442</v>
      </c>
      <c r="G1431" s="157" t="s">
        <v>4443</v>
      </c>
      <c r="H1431" s="157"/>
      <c r="I1431" s="158">
        <v>-0.58549139</v>
      </c>
      <c r="J1431" s="158">
        <v>52.048097</v>
      </c>
      <c r="K1431" s="157" t="s">
        <v>4444</v>
      </c>
      <c r="L1431" s="157" t="s">
        <v>648</v>
      </c>
      <c r="M1431" s="158">
        <v>2019.0</v>
      </c>
      <c r="N1431" s="157" t="s">
        <v>116</v>
      </c>
      <c r="O1431" s="157" t="s">
        <v>4376</v>
      </c>
      <c r="P1431" s="161" t="b">
        <v>1</v>
      </c>
      <c r="Q1431" s="158">
        <v>0.14</v>
      </c>
      <c r="R1431" s="158">
        <v>0.0</v>
      </c>
      <c r="S1431" s="158">
        <v>0.14</v>
      </c>
      <c r="T1431" s="157" t="s">
        <v>116</v>
      </c>
      <c r="U1431" s="46" t="s">
        <v>651</v>
      </c>
      <c r="V1431" s="46" t="b">
        <v>1</v>
      </c>
      <c r="W1431" s="46">
        <v>0.95</v>
      </c>
      <c r="X1431" s="46">
        <v>0.0</v>
      </c>
      <c r="Y1431" s="46" t="s">
        <v>640</v>
      </c>
      <c r="Z1431" s="46" t="b">
        <v>0</v>
      </c>
      <c r="AA1431" s="46" t="b">
        <v>0</v>
      </c>
    </row>
    <row r="1432">
      <c r="A1432" s="157" t="s">
        <v>563</v>
      </c>
      <c r="B1432" s="158">
        <v>5.0</v>
      </c>
      <c r="C1432" s="157" t="s">
        <v>652</v>
      </c>
      <c r="D1432" s="157" t="s">
        <v>4371</v>
      </c>
      <c r="E1432" s="157" t="s">
        <v>4372</v>
      </c>
      <c r="F1432" s="157" t="s">
        <v>4445</v>
      </c>
      <c r="G1432" s="157" t="s">
        <v>4446</v>
      </c>
      <c r="H1432" s="157"/>
      <c r="I1432" s="158">
        <v>-2.6183583</v>
      </c>
      <c r="J1432" s="158">
        <v>53.376451</v>
      </c>
      <c r="K1432" s="157" t="s">
        <v>4447</v>
      </c>
      <c r="L1432" s="157" t="s">
        <v>648</v>
      </c>
      <c r="M1432" s="158">
        <v>2019.0</v>
      </c>
      <c r="N1432" s="157" t="s">
        <v>116</v>
      </c>
      <c r="O1432" s="157" t="s">
        <v>4376</v>
      </c>
      <c r="P1432" s="161" t="b">
        <v>1</v>
      </c>
      <c r="Q1432" s="158">
        <v>0.128</v>
      </c>
      <c r="R1432" s="158">
        <v>0.0</v>
      </c>
      <c r="S1432" s="158">
        <v>0.128</v>
      </c>
      <c r="T1432" s="157" t="s">
        <v>116</v>
      </c>
      <c r="U1432" s="46" t="s">
        <v>651</v>
      </c>
      <c r="V1432" s="46" t="b">
        <v>1</v>
      </c>
      <c r="W1432" s="46">
        <v>0.95</v>
      </c>
      <c r="X1432" s="46">
        <v>0.0</v>
      </c>
      <c r="Y1432" s="46">
        <v>10.2371884966511</v>
      </c>
      <c r="Z1432" s="46" t="b">
        <v>1</v>
      </c>
      <c r="AA1432" s="46" t="b">
        <v>1</v>
      </c>
    </row>
    <row r="1433">
      <c r="A1433" s="157" t="s">
        <v>563</v>
      </c>
      <c r="B1433" s="158">
        <v>5.0</v>
      </c>
      <c r="C1433" s="157" t="s">
        <v>652</v>
      </c>
      <c r="D1433" s="157" t="s">
        <v>4371</v>
      </c>
      <c r="E1433" s="157" t="s">
        <v>4372</v>
      </c>
      <c r="F1433" s="157" t="s">
        <v>4448</v>
      </c>
      <c r="G1433" s="157" t="s">
        <v>4449</v>
      </c>
      <c r="H1433" s="157"/>
      <c r="I1433" s="158">
        <v>-2.0117909</v>
      </c>
      <c r="J1433" s="158">
        <v>52.682295</v>
      </c>
      <c r="K1433" s="157" t="s">
        <v>4450</v>
      </c>
      <c r="L1433" s="157" t="s">
        <v>648</v>
      </c>
      <c r="M1433" s="158">
        <v>2019.0</v>
      </c>
      <c r="N1433" s="157" t="s">
        <v>116</v>
      </c>
      <c r="O1433" s="157" t="s">
        <v>4376</v>
      </c>
      <c r="P1433" s="161" t="b">
        <v>1</v>
      </c>
      <c r="Q1433" s="158">
        <v>0.115</v>
      </c>
      <c r="R1433" s="158">
        <v>0.0</v>
      </c>
      <c r="S1433" s="158">
        <v>0.115</v>
      </c>
      <c r="T1433" s="157" t="s">
        <v>116</v>
      </c>
      <c r="U1433" s="46" t="s">
        <v>651</v>
      </c>
      <c r="V1433" s="46" t="b">
        <v>1</v>
      </c>
      <c r="W1433" s="46">
        <v>0.95</v>
      </c>
      <c r="X1433" s="46">
        <v>0.0</v>
      </c>
      <c r="Y1433" s="46">
        <v>75.3352941902786</v>
      </c>
      <c r="Z1433" s="46" t="b">
        <v>0</v>
      </c>
      <c r="AA1433" s="46" t="b">
        <v>1</v>
      </c>
    </row>
    <row r="1434">
      <c r="A1434" s="157" t="s">
        <v>568</v>
      </c>
      <c r="B1434" s="158">
        <v>3.0</v>
      </c>
      <c r="C1434" s="157" t="s">
        <v>1215</v>
      </c>
      <c r="D1434" s="157" t="s">
        <v>2113</v>
      </c>
      <c r="E1434" s="157" t="s">
        <v>2114</v>
      </c>
      <c r="F1434" s="157" t="s">
        <v>4451</v>
      </c>
      <c r="G1434" s="157" t="s">
        <v>4452</v>
      </c>
      <c r="H1434" s="157"/>
      <c r="I1434" s="158">
        <v>12.1343193810549</v>
      </c>
      <c r="J1434" s="158">
        <v>55.2443192256035</v>
      </c>
      <c r="K1434" s="157" t="s">
        <v>3927</v>
      </c>
      <c r="L1434" s="157" t="s">
        <v>648</v>
      </c>
      <c r="M1434" s="158">
        <v>2022.0</v>
      </c>
      <c r="N1434" s="157" t="s">
        <v>114</v>
      </c>
      <c r="O1434" s="157" t="s">
        <v>2118</v>
      </c>
      <c r="P1434" s="161" t="b">
        <v>1</v>
      </c>
      <c r="Q1434" s="158">
        <v>0.01559431</v>
      </c>
      <c r="R1434" s="158">
        <v>0.0</v>
      </c>
      <c r="S1434" s="158">
        <v>0.01559431</v>
      </c>
      <c r="T1434" s="157" t="s">
        <v>114</v>
      </c>
      <c r="U1434" s="46" t="s">
        <v>651</v>
      </c>
      <c r="V1434" s="46" t="b">
        <v>0</v>
      </c>
      <c r="W1434" s="46">
        <v>0.95</v>
      </c>
      <c r="X1434" s="46">
        <v>0.0</v>
      </c>
      <c r="Y1434" s="46">
        <v>37.4003949580832</v>
      </c>
      <c r="Z1434" s="46" t="b">
        <v>1</v>
      </c>
      <c r="AA1434" s="46" t="b">
        <v>1</v>
      </c>
    </row>
    <row r="1435">
      <c r="A1435" s="157" t="s">
        <v>557</v>
      </c>
      <c r="B1435" s="158">
        <v>3.0</v>
      </c>
      <c r="C1435" s="157" t="s">
        <v>1215</v>
      </c>
      <c r="D1435" s="157" t="s">
        <v>2113</v>
      </c>
      <c r="E1435" s="157" t="s">
        <v>2114</v>
      </c>
      <c r="F1435" s="162" t="s">
        <v>4453</v>
      </c>
      <c r="G1435" s="157" t="s">
        <v>4454</v>
      </c>
      <c r="H1435" s="157"/>
      <c r="I1435" s="158">
        <v>7.84167749411479</v>
      </c>
      <c r="J1435" s="158">
        <v>51.3977023691383</v>
      </c>
      <c r="K1435" s="157" t="s">
        <v>4455</v>
      </c>
      <c r="L1435" s="157" t="s">
        <v>648</v>
      </c>
      <c r="M1435" s="158">
        <v>2022.0</v>
      </c>
      <c r="N1435" s="157" t="s">
        <v>114</v>
      </c>
      <c r="O1435" s="157" t="s">
        <v>2118</v>
      </c>
      <c r="P1435" s="161" t="b">
        <v>1</v>
      </c>
      <c r="Q1435" s="158">
        <v>0.682</v>
      </c>
      <c r="R1435" s="158">
        <v>0.0</v>
      </c>
      <c r="S1435" s="158">
        <v>0.682</v>
      </c>
      <c r="T1435" s="157" t="s">
        <v>114</v>
      </c>
      <c r="U1435" s="46" t="s">
        <v>651</v>
      </c>
      <c r="V1435" s="46" t="b">
        <v>1</v>
      </c>
      <c r="W1435" s="46">
        <v>0.95</v>
      </c>
      <c r="X1435" s="46">
        <v>0.0</v>
      </c>
      <c r="Y1435" s="46">
        <v>25.2248084699219</v>
      </c>
      <c r="Z1435" s="46" t="b">
        <v>1</v>
      </c>
      <c r="AA1435" s="46" t="b">
        <v>1</v>
      </c>
    </row>
    <row r="1436">
      <c r="A1436" s="157" t="s">
        <v>557</v>
      </c>
      <c r="B1436" s="158">
        <v>3.0</v>
      </c>
      <c r="C1436" s="157" t="s">
        <v>1215</v>
      </c>
      <c r="D1436" s="157" t="s">
        <v>2113</v>
      </c>
      <c r="E1436" s="157" t="s">
        <v>2114</v>
      </c>
      <c r="F1436" s="162" t="s">
        <v>4456</v>
      </c>
      <c r="G1436" s="157" t="s">
        <v>4457</v>
      </c>
      <c r="H1436" s="157"/>
      <c r="I1436" s="158">
        <v>7.04190223059343</v>
      </c>
      <c r="J1436" s="158">
        <v>51.2481487964896</v>
      </c>
      <c r="K1436" s="157" t="s">
        <v>1021</v>
      </c>
      <c r="L1436" s="157" t="s">
        <v>648</v>
      </c>
      <c r="M1436" s="158">
        <v>2022.0</v>
      </c>
      <c r="N1436" s="157" t="s">
        <v>114</v>
      </c>
      <c r="O1436" s="157" t="s">
        <v>2118</v>
      </c>
      <c r="P1436" s="161" t="b">
        <v>1</v>
      </c>
      <c r="Q1436" s="158">
        <v>0.242</v>
      </c>
      <c r="R1436" s="158">
        <v>0.0</v>
      </c>
      <c r="S1436" s="158">
        <v>0.242</v>
      </c>
      <c r="T1436" s="157" t="s">
        <v>114</v>
      </c>
      <c r="U1436" s="46" t="s">
        <v>651</v>
      </c>
      <c r="V1436" s="46" t="b">
        <v>1</v>
      </c>
      <c r="W1436" s="46">
        <v>0.95</v>
      </c>
      <c r="X1436" s="46">
        <v>0.0</v>
      </c>
      <c r="Y1436" s="46">
        <v>18.3371086436603</v>
      </c>
      <c r="Z1436" s="46" t="b">
        <v>1</v>
      </c>
      <c r="AA1436" s="46" t="b">
        <v>1</v>
      </c>
    </row>
    <row r="1437">
      <c r="A1437" s="157" t="s">
        <v>557</v>
      </c>
      <c r="B1437" s="158">
        <v>3.0</v>
      </c>
      <c r="C1437" s="157" t="s">
        <v>1215</v>
      </c>
      <c r="D1437" s="157" t="s">
        <v>2113</v>
      </c>
      <c r="E1437" s="157" t="s">
        <v>2114</v>
      </c>
      <c r="F1437" s="162" t="s">
        <v>4458</v>
      </c>
      <c r="G1437" s="157" t="s">
        <v>4459</v>
      </c>
      <c r="H1437" s="157"/>
      <c r="I1437" s="158">
        <v>13.8300469517843</v>
      </c>
      <c r="J1437" s="158">
        <v>52.4864480501054</v>
      </c>
      <c r="K1437" s="157" t="s">
        <v>3675</v>
      </c>
      <c r="L1437" s="157" t="s">
        <v>648</v>
      </c>
      <c r="M1437" s="158">
        <v>2022.0</v>
      </c>
      <c r="N1437" s="157" t="s">
        <v>114</v>
      </c>
      <c r="O1437" s="157" t="s">
        <v>2118</v>
      </c>
      <c r="P1437" s="161" t="b">
        <v>1</v>
      </c>
      <c r="Q1437" s="158">
        <v>0.19</v>
      </c>
      <c r="R1437" s="158">
        <v>0.0</v>
      </c>
      <c r="S1437" s="158">
        <v>0.19</v>
      </c>
      <c r="T1437" s="157" t="s">
        <v>114</v>
      </c>
      <c r="U1437" s="46" t="s">
        <v>651</v>
      </c>
      <c r="V1437" s="46" t="b">
        <v>1</v>
      </c>
      <c r="W1437" s="46">
        <v>0.95</v>
      </c>
      <c r="X1437" s="46">
        <v>0.0</v>
      </c>
      <c r="Y1437" s="46">
        <v>10.1664157315251</v>
      </c>
      <c r="Z1437" s="46" t="b">
        <v>1</v>
      </c>
      <c r="AA1437" s="46" t="b">
        <v>1</v>
      </c>
    </row>
    <row r="1438">
      <c r="A1438" s="157" t="s">
        <v>576</v>
      </c>
      <c r="B1438" s="158">
        <v>3.0</v>
      </c>
      <c r="C1438" s="157" t="s">
        <v>1215</v>
      </c>
      <c r="D1438" s="157" t="s">
        <v>2113</v>
      </c>
      <c r="E1438" s="157" t="s">
        <v>2114</v>
      </c>
      <c r="F1438" s="157" t="s">
        <v>4460</v>
      </c>
      <c r="G1438" s="157" t="s">
        <v>4461</v>
      </c>
      <c r="H1438" s="157"/>
      <c r="I1438" s="158">
        <v>25.109331</v>
      </c>
      <c r="J1438" s="158">
        <v>45.292761</v>
      </c>
      <c r="K1438" s="157" t="s">
        <v>4462</v>
      </c>
      <c r="L1438" s="157" t="s">
        <v>648</v>
      </c>
      <c r="M1438" s="158">
        <v>2022.0</v>
      </c>
      <c r="N1438" s="157" t="s">
        <v>114</v>
      </c>
      <c r="O1438" s="157" t="s">
        <v>2118</v>
      </c>
      <c r="P1438" s="161" t="b">
        <v>1</v>
      </c>
      <c r="Q1438" s="158">
        <v>0.174</v>
      </c>
      <c r="R1438" s="158">
        <v>0.0</v>
      </c>
      <c r="S1438" s="158">
        <v>0.174</v>
      </c>
      <c r="T1438" s="157" t="s">
        <v>114</v>
      </c>
      <c r="U1438" s="46" t="s">
        <v>651</v>
      </c>
      <c r="V1438" s="46" t="b">
        <v>1</v>
      </c>
      <c r="W1438" s="46">
        <v>0.95</v>
      </c>
      <c r="X1438" s="46">
        <v>0.0</v>
      </c>
      <c r="Y1438" s="46" t="s">
        <v>640</v>
      </c>
      <c r="Z1438" s="46" t="b">
        <v>0</v>
      </c>
      <c r="AA1438" s="46" t="b">
        <v>0</v>
      </c>
    </row>
    <row r="1439">
      <c r="A1439" s="157" t="s">
        <v>567</v>
      </c>
      <c r="B1439" s="158">
        <v>3.0</v>
      </c>
      <c r="C1439" s="157" t="s">
        <v>1215</v>
      </c>
      <c r="D1439" s="157" t="s">
        <v>2113</v>
      </c>
      <c r="E1439" s="157" t="s">
        <v>2114</v>
      </c>
      <c r="F1439" s="157" t="s">
        <v>4463</v>
      </c>
      <c r="G1439" s="157" t="s">
        <v>4464</v>
      </c>
      <c r="H1439" s="157"/>
      <c r="I1439" s="158">
        <v>11.444128</v>
      </c>
      <c r="J1439" s="158">
        <v>63.7843475</v>
      </c>
      <c r="K1439" s="157" t="s">
        <v>4465</v>
      </c>
      <c r="L1439" s="157" t="s">
        <v>648</v>
      </c>
      <c r="M1439" s="158">
        <v>2017.0</v>
      </c>
      <c r="N1439" s="157" t="s">
        <v>114</v>
      </c>
      <c r="O1439" s="157" t="s">
        <v>2118</v>
      </c>
      <c r="P1439" s="161" t="b">
        <v>1</v>
      </c>
      <c r="Q1439" s="158">
        <v>0.167</v>
      </c>
      <c r="R1439" s="158">
        <v>0.0</v>
      </c>
      <c r="S1439" s="158">
        <v>0.167</v>
      </c>
      <c r="T1439" s="157" t="s">
        <v>114</v>
      </c>
      <c r="U1439" s="46" t="s">
        <v>651</v>
      </c>
      <c r="V1439" s="46" t="b">
        <v>1</v>
      </c>
      <c r="W1439" s="46">
        <v>0.95</v>
      </c>
      <c r="X1439" s="46">
        <v>0.0</v>
      </c>
      <c r="Y1439" s="46" t="s">
        <v>640</v>
      </c>
      <c r="Z1439" s="46" t="b">
        <v>0</v>
      </c>
      <c r="AA1439" s="46" t="b">
        <v>0</v>
      </c>
    </row>
    <row r="1440">
      <c r="A1440" s="157" t="s">
        <v>557</v>
      </c>
      <c r="B1440" s="158">
        <v>1.0</v>
      </c>
      <c r="C1440" s="157" t="s">
        <v>642</v>
      </c>
      <c r="D1440" s="157" t="s">
        <v>4466</v>
      </c>
      <c r="E1440" s="157" t="s">
        <v>4467</v>
      </c>
      <c r="F1440" s="162" t="s">
        <v>4468</v>
      </c>
      <c r="G1440" s="157" t="s">
        <v>4469</v>
      </c>
      <c r="H1440" s="157"/>
      <c r="I1440" s="158">
        <v>6.84622636832365</v>
      </c>
      <c r="J1440" s="158">
        <v>50.8635647564445</v>
      </c>
      <c r="K1440" s="157" t="s">
        <v>1150</v>
      </c>
      <c r="L1440" s="157" t="s">
        <v>648</v>
      </c>
      <c r="M1440" s="158">
        <v>2022.0</v>
      </c>
      <c r="N1440" s="157" t="s">
        <v>551</v>
      </c>
      <c r="O1440" s="157" t="s">
        <v>4470</v>
      </c>
      <c r="P1440" s="161" t="b">
        <v>1</v>
      </c>
      <c r="Q1440" s="158">
        <v>1.55</v>
      </c>
      <c r="R1440" s="158">
        <v>0.0</v>
      </c>
      <c r="S1440" s="158">
        <v>1.55</v>
      </c>
      <c r="T1440" s="157" t="s">
        <v>551</v>
      </c>
      <c r="U1440" s="46" t="s">
        <v>651</v>
      </c>
      <c r="V1440" s="46" t="b">
        <v>1</v>
      </c>
      <c r="W1440" s="46">
        <v>0.95</v>
      </c>
      <c r="X1440" s="46">
        <v>0.0</v>
      </c>
      <c r="Y1440" s="46">
        <v>1.90093843433955</v>
      </c>
      <c r="Z1440" s="46" t="b">
        <v>1</v>
      </c>
      <c r="AA1440" s="46" t="b">
        <v>1</v>
      </c>
    </row>
    <row r="1441">
      <c r="A1441" s="157" t="s">
        <v>557</v>
      </c>
      <c r="B1441" s="158">
        <v>1.0</v>
      </c>
      <c r="C1441" s="157" t="s">
        <v>642</v>
      </c>
      <c r="D1441" s="157" t="s">
        <v>4466</v>
      </c>
      <c r="E1441" s="157" t="s">
        <v>4467</v>
      </c>
      <c r="F1441" s="162" t="s">
        <v>4471</v>
      </c>
      <c r="G1441" s="157" t="s">
        <v>4472</v>
      </c>
      <c r="H1441" s="157"/>
      <c r="I1441" s="158">
        <v>6.79909816150665</v>
      </c>
      <c r="J1441" s="158">
        <v>50.899209957092</v>
      </c>
      <c r="K1441" s="157" t="s">
        <v>4473</v>
      </c>
      <c r="L1441" s="157" t="s">
        <v>648</v>
      </c>
      <c r="M1441" s="158">
        <v>2022.0</v>
      </c>
      <c r="N1441" s="157" t="s">
        <v>551</v>
      </c>
      <c r="O1441" s="157" t="s">
        <v>4470</v>
      </c>
      <c r="P1441" s="161" t="b">
        <v>1</v>
      </c>
      <c r="Q1441" s="158">
        <v>0.975</v>
      </c>
      <c r="R1441" s="158">
        <v>0.0</v>
      </c>
      <c r="S1441" s="158">
        <v>0.975</v>
      </c>
      <c r="T1441" s="157" t="s">
        <v>551</v>
      </c>
      <c r="U1441" s="46" t="s">
        <v>651</v>
      </c>
      <c r="V1441" s="46" t="b">
        <v>1</v>
      </c>
      <c r="W1441" s="46">
        <v>0.95</v>
      </c>
      <c r="X1441" s="46">
        <v>0.0</v>
      </c>
      <c r="Y1441" s="164">
        <v>7.8390515820632E-8</v>
      </c>
      <c r="Z1441" s="46" t="b">
        <v>1</v>
      </c>
      <c r="AA1441" s="46" t="b">
        <v>1</v>
      </c>
    </row>
    <row r="1442">
      <c r="A1442" s="157" t="s">
        <v>557</v>
      </c>
      <c r="B1442" s="158">
        <v>2.0</v>
      </c>
      <c r="C1442" s="157" t="s">
        <v>916</v>
      </c>
      <c r="D1442" s="157" t="s">
        <v>917</v>
      </c>
      <c r="E1442" s="157" t="s">
        <v>918</v>
      </c>
      <c r="F1442" s="162" t="s">
        <v>4474</v>
      </c>
      <c r="G1442" s="157" t="s">
        <v>4475</v>
      </c>
      <c r="H1442" s="157"/>
      <c r="I1442" s="158">
        <v>6.73512444078458</v>
      </c>
      <c r="J1442" s="158">
        <v>51.50698470926</v>
      </c>
      <c r="K1442" s="157" t="s">
        <v>3805</v>
      </c>
      <c r="L1442" s="157" t="s">
        <v>648</v>
      </c>
      <c r="M1442" s="158">
        <v>2022.0</v>
      </c>
      <c r="N1442" s="157" t="s">
        <v>549</v>
      </c>
      <c r="O1442" s="157" t="s">
        <v>922</v>
      </c>
      <c r="P1442" s="161" t="b">
        <v>1</v>
      </c>
      <c r="Q1442" s="158">
        <v>4.24</v>
      </c>
      <c r="R1442" s="158">
        <v>0.0</v>
      </c>
      <c r="S1442" s="158">
        <v>4.24</v>
      </c>
      <c r="T1442" s="157" t="s">
        <v>549</v>
      </c>
      <c r="U1442" s="46" t="s">
        <v>651</v>
      </c>
      <c r="V1442" s="46" t="b">
        <v>1</v>
      </c>
      <c r="W1442" s="46">
        <v>0.95</v>
      </c>
      <c r="X1442" s="46">
        <v>0.0</v>
      </c>
      <c r="Y1442" s="46">
        <v>9.43483398481578</v>
      </c>
      <c r="Z1442" s="46" t="b">
        <v>1</v>
      </c>
      <c r="AA1442" s="46" t="b">
        <v>1</v>
      </c>
    </row>
    <row r="1443">
      <c r="A1443" s="157" t="s">
        <v>554</v>
      </c>
      <c r="B1443" s="158">
        <v>2.0</v>
      </c>
      <c r="C1443" s="157" t="s">
        <v>916</v>
      </c>
      <c r="D1443" s="157" t="s">
        <v>917</v>
      </c>
      <c r="E1443" s="157" t="s">
        <v>918</v>
      </c>
      <c r="F1443" s="157" t="s">
        <v>4476</v>
      </c>
      <c r="G1443" s="157" t="s">
        <v>4477</v>
      </c>
      <c r="H1443" s="157"/>
      <c r="I1443" s="158">
        <v>20.19092</v>
      </c>
      <c r="J1443" s="158">
        <v>67.84939</v>
      </c>
      <c r="K1443" s="157" t="s">
        <v>4478</v>
      </c>
      <c r="L1443" s="157" t="s">
        <v>648</v>
      </c>
      <c r="M1443" s="158">
        <v>2022.0</v>
      </c>
      <c r="N1443" s="157" t="s">
        <v>549</v>
      </c>
      <c r="O1443" s="157" t="s">
        <v>922</v>
      </c>
      <c r="P1443" s="161" t="b">
        <v>1</v>
      </c>
      <c r="Q1443" s="158">
        <v>0.397</v>
      </c>
      <c r="R1443" s="158">
        <v>0.0</v>
      </c>
      <c r="S1443" s="158">
        <v>0.397</v>
      </c>
      <c r="T1443" s="157" t="s">
        <v>549</v>
      </c>
      <c r="U1443" s="46" t="s">
        <v>651</v>
      </c>
      <c r="V1443" s="46" t="b">
        <v>1</v>
      </c>
      <c r="W1443" s="46">
        <v>0.95</v>
      </c>
      <c r="X1443" s="46">
        <v>0.0</v>
      </c>
      <c r="Y1443" s="46" t="s">
        <v>640</v>
      </c>
      <c r="Z1443" s="46" t="b">
        <v>0</v>
      </c>
      <c r="AA1443" s="46" t="b">
        <v>0</v>
      </c>
    </row>
    <row r="1444">
      <c r="A1444" s="157" t="s">
        <v>563</v>
      </c>
      <c r="B1444" s="158">
        <v>2.0</v>
      </c>
      <c r="C1444" s="157" t="s">
        <v>916</v>
      </c>
      <c r="D1444" s="157" t="s">
        <v>917</v>
      </c>
      <c r="E1444" s="157" t="s">
        <v>918</v>
      </c>
      <c r="F1444" s="157" t="s">
        <v>4479</v>
      </c>
      <c r="G1444" s="157" t="s">
        <v>4480</v>
      </c>
      <c r="H1444" s="157"/>
      <c r="I1444" s="158">
        <v>-3.76471</v>
      </c>
      <c r="J1444" s="158">
        <v>51.55608</v>
      </c>
      <c r="K1444" s="157" t="s">
        <v>4481</v>
      </c>
      <c r="L1444" s="157" t="s">
        <v>648</v>
      </c>
      <c r="M1444" s="158">
        <v>2019.0</v>
      </c>
      <c r="N1444" s="157" t="s">
        <v>549</v>
      </c>
      <c r="O1444" s="157" t="s">
        <v>922</v>
      </c>
      <c r="P1444" s="161" t="b">
        <v>1</v>
      </c>
      <c r="Q1444" s="158">
        <v>6.43</v>
      </c>
      <c r="R1444" s="158">
        <v>0.0</v>
      </c>
      <c r="S1444" s="158">
        <v>6.43</v>
      </c>
      <c r="T1444" s="157" t="s">
        <v>549</v>
      </c>
      <c r="U1444" s="46" t="s">
        <v>651</v>
      </c>
      <c r="V1444" s="46" t="b">
        <v>1</v>
      </c>
      <c r="W1444" s="46">
        <v>0.95</v>
      </c>
      <c r="X1444" s="46">
        <v>0.0</v>
      </c>
      <c r="Y1444" s="46" t="s">
        <v>640</v>
      </c>
      <c r="Z1444" s="46" t="b">
        <v>0</v>
      </c>
      <c r="AA1444" s="46" t="b">
        <v>0</v>
      </c>
    </row>
    <row r="1445">
      <c r="A1445" s="157" t="s">
        <v>581</v>
      </c>
      <c r="B1445" s="158">
        <v>1.0</v>
      </c>
      <c r="C1445" s="157" t="s">
        <v>642</v>
      </c>
      <c r="D1445" s="157" t="s">
        <v>2370</v>
      </c>
      <c r="E1445" s="157" t="s">
        <v>2371</v>
      </c>
      <c r="F1445" s="157" t="s">
        <v>4482</v>
      </c>
      <c r="G1445" s="157" t="s">
        <v>4483</v>
      </c>
      <c r="H1445" s="157"/>
      <c r="I1445" s="158">
        <v>27.336508</v>
      </c>
      <c r="J1445" s="158">
        <v>42.54544</v>
      </c>
      <c r="K1445" s="157" t="s">
        <v>4484</v>
      </c>
      <c r="L1445" s="157" t="s">
        <v>648</v>
      </c>
      <c r="M1445" s="158">
        <v>2021.0</v>
      </c>
      <c r="N1445" s="157" t="s">
        <v>547</v>
      </c>
      <c r="O1445" s="157" t="s">
        <v>2371</v>
      </c>
      <c r="P1445" s="161" t="b">
        <v>1</v>
      </c>
      <c r="Q1445" s="158">
        <v>1.472768</v>
      </c>
      <c r="R1445" s="158">
        <v>0.0</v>
      </c>
      <c r="S1445" s="158">
        <v>1.472768</v>
      </c>
      <c r="T1445" s="157" t="s">
        <v>547</v>
      </c>
      <c r="U1445" s="46" t="s">
        <v>651</v>
      </c>
      <c r="V1445" s="46" t="b">
        <v>1</v>
      </c>
      <c r="W1445" s="46">
        <v>0.95</v>
      </c>
      <c r="X1445" s="46">
        <v>0.0</v>
      </c>
      <c r="Y1445" s="46">
        <v>73.6530430624855</v>
      </c>
      <c r="Z1445" s="46" t="b">
        <v>0</v>
      </c>
      <c r="AA1445" s="46" t="b">
        <v>1</v>
      </c>
    </row>
    <row r="1446">
      <c r="A1446" s="157" t="s">
        <v>565</v>
      </c>
      <c r="B1446" s="158">
        <v>1.0</v>
      </c>
      <c r="C1446" s="157" t="s">
        <v>642</v>
      </c>
      <c r="D1446" s="157" t="s">
        <v>2370</v>
      </c>
      <c r="E1446" s="157" t="s">
        <v>2371</v>
      </c>
      <c r="F1446" s="157" t="s">
        <v>4485</v>
      </c>
      <c r="G1446" s="157" t="s">
        <v>4486</v>
      </c>
      <c r="H1446" s="157"/>
      <c r="I1446" s="158">
        <v>14.32869175</v>
      </c>
      <c r="J1446" s="158">
        <v>50.25840943</v>
      </c>
      <c r="K1446" s="157" t="s">
        <v>4487</v>
      </c>
      <c r="L1446" s="157" t="s">
        <v>648</v>
      </c>
      <c r="M1446" s="158">
        <v>2020.0</v>
      </c>
      <c r="N1446" s="157" t="s">
        <v>547</v>
      </c>
      <c r="O1446" s="157" t="s">
        <v>2371</v>
      </c>
      <c r="P1446" s="161" t="b">
        <v>1</v>
      </c>
      <c r="Q1446" s="158">
        <v>0.442708155</v>
      </c>
      <c r="R1446" s="158">
        <v>0.0</v>
      </c>
      <c r="S1446" s="158">
        <v>0.442708155</v>
      </c>
      <c r="T1446" s="157" t="s">
        <v>547</v>
      </c>
      <c r="U1446" s="46" t="s">
        <v>651</v>
      </c>
      <c r="V1446" s="46" t="b">
        <v>1</v>
      </c>
      <c r="W1446" s="46">
        <v>0.95</v>
      </c>
      <c r="X1446" s="46">
        <v>0.0</v>
      </c>
      <c r="Y1446" s="46">
        <v>76.7436875759833</v>
      </c>
      <c r="Z1446" s="46" t="b">
        <v>0</v>
      </c>
      <c r="AA1446" s="46" t="b">
        <v>1</v>
      </c>
    </row>
    <row r="1447">
      <c r="A1447" s="157" t="s">
        <v>565</v>
      </c>
      <c r="B1447" s="158">
        <v>1.0</v>
      </c>
      <c r="C1447" s="157" t="s">
        <v>642</v>
      </c>
      <c r="D1447" s="157" t="s">
        <v>2370</v>
      </c>
      <c r="E1447" s="157" t="s">
        <v>2371</v>
      </c>
      <c r="F1447" s="157" t="s">
        <v>4488</v>
      </c>
      <c r="G1447" s="157" t="s">
        <v>4489</v>
      </c>
      <c r="H1447" s="157"/>
      <c r="I1447" s="158">
        <v>15.74508121</v>
      </c>
      <c r="J1447" s="158">
        <v>50.03146588</v>
      </c>
      <c r="K1447" s="157" t="s">
        <v>4490</v>
      </c>
      <c r="L1447" s="157" t="s">
        <v>648</v>
      </c>
      <c r="M1447" s="158">
        <v>2020.0</v>
      </c>
      <c r="N1447" s="157" t="s">
        <v>547</v>
      </c>
      <c r="O1447" s="157" t="s">
        <v>2371</v>
      </c>
      <c r="P1447" s="161" t="b">
        <v>1</v>
      </c>
      <c r="Q1447" s="158">
        <v>0.024083</v>
      </c>
      <c r="R1447" s="158">
        <v>0.0</v>
      </c>
      <c r="S1447" s="158">
        <v>0.024083</v>
      </c>
      <c r="T1447" s="157" t="s">
        <v>547</v>
      </c>
      <c r="U1447" s="46" t="s">
        <v>651</v>
      </c>
      <c r="V1447" s="46" t="b">
        <v>0</v>
      </c>
      <c r="W1447" s="46">
        <v>0.95</v>
      </c>
      <c r="X1447" s="46">
        <v>0.0</v>
      </c>
      <c r="Y1447" s="46" t="s">
        <v>640</v>
      </c>
      <c r="Z1447" s="46" t="b">
        <v>0</v>
      </c>
      <c r="AA1447" s="46" t="b">
        <v>0</v>
      </c>
    </row>
    <row r="1448">
      <c r="A1448" s="157" t="s">
        <v>568</v>
      </c>
      <c r="B1448" s="158">
        <v>1.0</v>
      </c>
      <c r="C1448" s="157" t="s">
        <v>642</v>
      </c>
      <c r="D1448" s="157" t="s">
        <v>2370</v>
      </c>
      <c r="E1448" s="157" t="s">
        <v>2371</v>
      </c>
      <c r="F1448" s="157" t="s">
        <v>4491</v>
      </c>
      <c r="G1448" s="157" t="s">
        <v>4492</v>
      </c>
      <c r="H1448" s="157"/>
      <c r="I1448" s="158">
        <v>11.1036079016391</v>
      </c>
      <c r="J1448" s="158">
        <v>55.6549303636194</v>
      </c>
      <c r="K1448" s="157" t="s">
        <v>4493</v>
      </c>
      <c r="L1448" s="157" t="s">
        <v>648</v>
      </c>
      <c r="M1448" s="158">
        <v>2022.0</v>
      </c>
      <c r="N1448" s="157" t="s">
        <v>547</v>
      </c>
      <c r="O1448" s="157" t="s">
        <v>2371</v>
      </c>
      <c r="P1448" s="161" t="b">
        <v>1</v>
      </c>
      <c r="Q1448" s="158">
        <v>0.51401</v>
      </c>
      <c r="R1448" s="158">
        <v>0.0</v>
      </c>
      <c r="S1448" s="158">
        <v>0.51401</v>
      </c>
      <c r="T1448" s="157" t="s">
        <v>547</v>
      </c>
      <c r="U1448" s="46" t="s">
        <v>651</v>
      </c>
      <c r="V1448" s="46" t="b">
        <v>1</v>
      </c>
      <c r="W1448" s="46">
        <v>0.95</v>
      </c>
      <c r="X1448" s="46">
        <v>0.0</v>
      </c>
      <c r="Y1448" s="46">
        <v>25.2247980561015</v>
      </c>
      <c r="Z1448" s="46" t="b">
        <v>1</v>
      </c>
      <c r="AA1448" s="46" t="b">
        <v>1</v>
      </c>
    </row>
    <row r="1449">
      <c r="A1449" s="157" t="s">
        <v>568</v>
      </c>
      <c r="B1449" s="158">
        <v>1.0</v>
      </c>
      <c r="C1449" s="157" t="s">
        <v>642</v>
      </c>
      <c r="D1449" s="157" t="s">
        <v>2370</v>
      </c>
      <c r="E1449" s="157" t="s">
        <v>2371</v>
      </c>
      <c r="F1449" s="157" t="s">
        <v>4494</v>
      </c>
      <c r="G1449" s="157" t="s">
        <v>4495</v>
      </c>
      <c r="H1449" s="157"/>
      <c r="I1449" s="158">
        <v>9.7524233697535</v>
      </c>
      <c r="J1449" s="158">
        <v>55.59122786</v>
      </c>
      <c r="K1449" s="157" t="s">
        <v>3924</v>
      </c>
      <c r="L1449" s="157" t="s">
        <v>648</v>
      </c>
      <c r="M1449" s="158">
        <v>2022.0</v>
      </c>
      <c r="N1449" s="157" t="s">
        <v>547</v>
      </c>
      <c r="O1449" s="157" t="s">
        <v>2371</v>
      </c>
      <c r="P1449" s="161" t="b">
        <v>1</v>
      </c>
      <c r="Q1449" s="158">
        <v>0.414983</v>
      </c>
      <c r="R1449" s="158">
        <v>0.0</v>
      </c>
      <c r="S1449" s="158">
        <v>0.414983</v>
      </c>
      <c r="T1449" s="157" t="s">
        <v>547</v>
      </c>
      <c r="U1449" s="46" t="s">
        <v>651</v>
      </c>
      <c r="V1449" s="46" t="b">
        <v>1</v>
      </c>
      <c r="W1449" s="46">
        <v>0.95</v>
      </c>
      <c r="X1449" s="46">
        <v>0.0</v>
      </c>
      <c r="Y1449" s="46">
        <v>23.102373106371</v>
      </c>
      <c r="Z1449" s="46" t="b">
        <v>1</v>
      </c>
      <c r="AA1449" s="46" t="b">
        <v>1</v>
      </c>
    </row>
    <row r="1450">
      <c r="A1450" s="157" t="s">
        <v>555</v>
      </c>
      <c r="B1450" s="158">
        <v>1.0</v>
      </c>
      <c r="C1450" s="157" t="s">
        <v>642</v>
      </c>
      <c r="D1450" s="157" t="s">
        <v>2370</v>
      </c>
      <c r="E1450" s="157" t="s">
        <v>2371</v>
      </c>
      <c r="F1450" s="162" t="s">
        <v>4496</v>
      </c>
      <c r="G1450" s="157" t="s">
        <v>4497</v>
      </c>
      <c r="H1450" s="157"/>
      <c r="I1450" s="158">
        <v>25.52596</v>
      </c>
      <c r="J1450" s="158">
        <v>60.31311</v>
      </c>
      <c r="K1450" s="157" t="s">
        <v>1113</v>
      </c>
      <c r="L1450" s="157" t="s">
        <v>648</v>
      </c>
      <c r="M1450" s="158">
        <v>2022.0</v>
      </c>
      <c r="N1450" s="157" t="s">
        <v>547</v>
      </c>
      <c r="O1450" s="157" t="s">
        <v>2371</v>
      </c>
      <c r="P1450" s="161" t="b">
        <v>1</v>
      </c>
      <c r="Q1450" s="158">
        <v>2.57</v>
      </c>
      <c r="R1450" s="158">
        <v>0.0</v>
      </c>
      <c r="S1450" s="158">
        <v>2.57</v>
      </c>
      <c r="T1450" s="157" t="s">
        <v>547</v>
      </c>
      <c r="U1450" s="46" t="s">
        <v>651</v>
      </c>
      <c r="V1450" s="46" t="b">
        <v>1</v>
      </c>
      <c r="W1450" s="46">
        <v>0.95</v>
      </c>
      <c r="X1450" s="46">
        <v>0.0</v>
      </c>
      <c r="Y1450" s="46" t="s">
        <v>640</v>
      </c>
      <c r="Z1450" s="46" t="b">
        <v>0</v>
      </c>
      <c r="AA1450" s="46" t="b">
        <v>0</v>
      </c>
    </row>
    <row r="1451">
      <c r="A1451" s="157" t="s">
        <v>557</v>
      </c>
      <c r="B1451" s="158">
        <v>1.0</v>
      </c>
      <c r="C1451" s="157" t="s">
        <v>642</v>
      </c>
      <c r="D1451" s="157" t="s">
        <v>2370</v>
      </c>
      <c r="E1451" s="157" t="s">
        <v>2371</v>
      </c>
      <c r="F1451" s="162" t="s">
        <v>4498</v>
      </c>
      <c r="G1451" s="157" t="s">
        <v>4499</v>
      </c>
      <c r="H1451" s="157"/>
      <c r="I1451" s="158">
        <v>14.2381215333281</v>
      </c>
      <c r="J1451" s="158">
        <v>53.0875852913881</v>
      </c>
      <c r="K1451" s="157" t="s">
        <v>4500</v>
      </c>
      <c r="L1451" s="157" t="s">
        <v>648</v>
      </c>
      <c r="M1451" s="158">
        <v>2022.0</v>
      </c>
      <c r="N1451" s="157" t="s">
        <v>547</v>
      </c>
      <c r="O1451" s="157" t="s">
        <v>2371</v>
      </c>
      <c r="P1451" s="161" t="b">
        <v>1</v>
      </c>
      <c r="Q1451" s="158">
        <v>3.55</v>
      </c>
      <c r="R1451" s="158">
        <v>0.0</v>
      </c>
      <c r="S1451" s="158">
        <v>3.55</v>
      </c>
      <c r="T1451" s="157" t="s">
        <v>547</v>
      </c>
      <c r="U1451" s="46" t="s">
        <v>651</v>
      </c>
      <c r="V1451" s="46" t="b">
        <v>1</v>
      </c>
      <c r="W1451" s="46">
        <v>0.95</v>
      </c>
      <c r="X1451" s="46">
        <v>0.0</v>
      </c>
      <c r="Y1451" s="46">
        <v>48.8578916082657</v>
      </c>
      <c r="Z1451" s="46" t="b">
        <v>1</v>
      </c>
      <c r="AA1451" s="46" t="b">
        <v>1</v>
      </c>
    </row>
    <row r="1452">
      <c r="A1452" s="157" t="s">
        <v>557</v>
      </c>
      <c r="B1452" s="158">
        <v>1.0</v>
      </c>
      <c r="C1452" s="157" t="s">
        <v>642</v>
      </c>
      <c r="D1452" s="157" t="s">
        <v>2370</v>
      </c>
      <c r="E1452" s="157" t="s">
        <v>2371</v>
      </c>
      <c r="F1452" s="162" t="s">
        <v>4501</v>
      </c>
      <c r="G1452" s="157" t="s">
        <v>4502</v>
      </c>
      <c r="H1452" s="157"/>
      <c r="I1452" s="158">
        <v>7.02890850572054</v>
      </c>
      <c r="J1452" s="158">
        <v>51.59603275</v>
      </c>
      <c r="K1452" s="157" t="s">
        <v>4503</v>
      </c>
      <c r="L1452" s="157" t="s">
        <v>648</v>
      </c>
      <c r="M1452" s="158">
        <v>2022.0</v>
      </c>
      <c r="N1452" s="157" t="s">
        <v>547</v>
      </c>
      <c r="O1452" s="157" t="s">
        <v>2371</v>
      </c>
      <c r="P1452" s="161" t="b">
        <v>1</v>
      </c>
      <c r="Q1452" s="158">
        <v>3.08</v>
      </c>
      <c r="R1452" s="158">
        <v>0.0</v>
      </c>
      <c r="S1452" s="158">
        <v>3.08</v>
      </c>
      <c r="T1452" s="157" t="s">
        <v>547</v>
      </c>
      <c r="U1452" s="46" t="s">
        <v>651</v>
      </c>
      <c r="V1452" s="46" t="b">
        <v>1</v>
      </c>
      <c r="W1452" s="46">
        <v>0.95</v>
      </c>
      <c r="X1452" s="46">
        <v>0.0</v>
      </c>
      <c r="Y1452" s="46">
        <v>20.2661602240943</v>
      </c>
      <c r="Z1452" s="46" t="b">
        <v>1</v>
      </c>
      <c r="AA1452" s="46" t="b">
        <v>1</v>
      </c>
    </row>
    <row r="1453">
      <c r="A1453" s="157" t="s">
        <v>557</v>
      </c>
      <c r="B1453" s="158">
        <v>1.0</v>
      </c>
      <c r="C1453" s="157" t="s">
        <v>642</v>
      </c>
      <c r="D1453" s="157" t="s">
        <v>2370</v>
      </c>
      <c r="E1453" s="157" t="s">
        <v>2371</v>
      </c>
      <c r="F1453" s="162" t="s">
        <v>4504</v>
      </c>
      <c r="G1453" s="157" t="s">
        <v>4505</v>
      </c>
      <c r="H1453" s="157"/>
      <c r="I1453" s="158">
        <v>7.00575627868132</v>
      </c>
      <c r="J1453" s="158">
        <v>50.8141104234868</v>
      </c>
      <c r="K1453" s="157" t="s">
        <v>4506</v>
      </c>
      <c r="L1453" s="157" t="s">
        <v>648</v>
      </c>
      <c r="M1453" s="158">
        <v>2022.0</v>
      </c>
      <c r="N1453" s="157" t="s">
        <v>547</v>
      </c>
      <c r="O1453" s="157" t="s">
        <v>2371</v>
      </c>
      <c r="P1453" s="161" t="b">
        <v>1</v>
      </c>
      <c r="Q1453" s="158">
        <v>1.99</v>
      </c>
      <c r="R1453" s="158">
        <v>0.0</v>
      </c>
      <c r="S1453" s="158">
        <v>1.99</v>
      </c>
      <c r="T1453" s="157" t="s">
        <v>547</v>
      </c>
      <c r="U1453" s="46" t="s">
        <v>651</v>
      </c>
      <c r="V1453" s="46" t="b">
        <v>1</v>
      </c>
      <c r="W1453" s="46">
        <v>0.95</v>
      </c>
      <c r="X1453" s="46">
        <v>0.0</v>
      </c>
      <c r="Y1453" s="46">
        <v>1.35330068945728</v>
      </c>
      <c r="Z1453" s="46" t="b">
        <v>1</v>
      </c>
      <c r="AA1453" s="46" t="b">
        <v>1</v>
      </c>
    </row>
    <row r="1454">
      <c r="A1454" s="157" t="s">
        <v>557</v>
      </c>
      <c r="B1454" s="158">
        <v>1.0</v>
      </c>
      <c r="C1454" s="157" t="s">
        <v>642</v>
      </c>
      <c r="D1454" s="157" t="s">
        <v>2370</v>
      </c>
      <c r="E1454" s="157" t="s">
        <v>2371</v>
      </c>
      <c r="F1454" s="162" t="s">
        <v>4507</v>
      </c>
      <c r="G1454" s="157" t="s">
        <v>4508</v>
      </c>
      <c r="H1454" s="157"/>
      <c r="I1454" s="158">
        <v>12.0001179708505</v>
      </c>
      <c r="J1454" s="158">
        <v>51.2876432105941</v>
      </c>
      <c r="K1454" s="157" t="s">
        <v>4509</v>
      </c>
      <c r="L1454" s="157" t="s">
        <v>648</v>
      </c>
      <c r="M1454" s="158">
        <v>2022.0</v>
      </c>
      <c r="N1454" s="157" t="s">
        <v>547</v>
      </c>
      <c r="O1454" s="157" t="s">
        <v>2371</v>
      </c>
      <c r="P1454" s="161" t="b">
        <v>1</v>
      </c>
      <c r="Q1454" s="158">
        <v>1.91</v>
      </c>
      <c r="R1454" s="158">
        <v>0.0</v>
      </c>
      <c r="S1454" s="158">
        <v>1.91</v>
      </c>
      <c r="T1454" s="157" t="s">
        <v>547</v>
      </c>
      <c r="U1454" s="46" t="s">
        <v>651</v>
      </c>
      <c r="V1454" s="46" t="b">
        <v>1</v>
      </c>
      <c r="W1454" s="46">
        <v>0.95</v>
      </c>
      <c r="X1454" s="46">
        <v>0.0</v>
      </c>
      <c r="Y1454" s="46">
        <v>7.40173746969559</v>
      </c>
      <c r="Z1454" s="46" t="b">
        <v>1</v>
      </c>
      <c r="AA1454" s="46" t="b">
        <v>1</v>
      </c>
    </row>
    <row r="1455">
      <c r="A1455" s="157" t="s">
        <v>557</v>
      </c>
      <c r="B1455" s="158">
        <v>1.0</v>
      </c>
      <c r="C1455" s="157" t="s">
        <v>642</v>
      </c>
      <c r="D1455" s="157" t="s">
        <v>2370</v>
      </c>
      <c r="E1455" s="157" t="s">
        <v>2371</v>
      </c>
      <c r="F1455" s="162" t="s">
        <v>4510</v>
      </c>
      <c r="G1455" s="157" t="s">
        <v>4511</v>
      </c>
      <c r="H1455" s="157"/>
      <c r="I1455" s="158">
        <v>8.32905386692406</v>
      </c>
      <c r="J1455" s="158">
        <v>49.057799920466</v>
      </c>
      <c r="K1455" s="157" t="s">
        <v>925</v>
      </c>
      <c r="L1455" s="157" t="s">
        <v>648</v>
      </c>
      <c r="M1455" s="158">
        <v>2022.0</v>
      </c>
      <c r="N1455" s="157" t="s">
        <v>547</v>
      </c>
      <c r="O1455" s="157" t="s">
        <v>2371</v>
      </c>
      <c r="P1455" s="161" t="b">
        <v>1</v>
      </c>
      <c r="Q1455" s="158">
        <v>1.87</v>
      </c>
      <c r="R1455" s="158">
        <v>0.0</v>
      </c>
      <c r="S1455" s="158">
        <v>1.87</v>
      </c>
      <c r="T1455" s="157" t="s">
        <v>547</v>
      </c>
      <c r="U1455" s="46" t="s">
        <v>651</v>
      </c>
      <c r="V1455" s="46" t="b">
        <v>1</v>
      </c>
      <c r="W1455" s="46">
        <v>0.95</v>
      </c>
      <c r="X1455" s="46">
        <v>0.0</v>
      </c>
      <c r="Y1455" s="46">
        <v>1.27197504054413</v>
      </c>
      <c r="Z1455" s="46" t="b">
        <v>1</v>
      </c>
      <c r="AA1455" s="46" t="b">
        <v>1</v>
      </c>
    </row>
    <row r="1456">
      <c r="A1456" s="157" t="s">
        <v>557</v>
      </c>
      <c r="B1456" s="158">
        <v>1.0</v>
      </c>
      <c r="C1456" s="157" t="s">
        <v>642</v>
      </c>
      <c r="D1456" s="157" t="s">
        <v>2370</v>
      </c>
      <c r="E1456" s="157" t="s">
        <v>2371</v>
      </c>
      <c r="F1456" s="162" t="s">
        <v>4512</v>
      </c>
      <c r="G1456" s="157" t="s">
        <v>4513</v>
      </c>
      <c r="H1456" s="157"/>
      <c r="I1456" s="158">
        <v>6.976845536</v>
      </c>
      <c r="J1456" s="158">
        <v>50.8549933741484</v>
      </c>
      <c r="K1456" s="157" t="s">
        <v>4090</v>
      </c>
      <c r="L1456" s="157" t="s">
        <v>648</v>
      </c>
      <c r="M1456" s="158">
        <v>2022.0</v>
      </c>
      <c r="N1456" s="157" t="s">
        <v>547</v>
      </c>
      <c r="O1456" s="157" t="s">
        <v>2371</v>
      </c>
      <c r="P1456" s="161" t="b">
        <v>1</v>
      </c>
      <c r="Q1456" s="158">
        <v>1.39</v>
      </c>
      <c r="R1456" s="158">
        <v>0.0</v>
      </c>
      <c r="S1456" s="158">
        <v>1.39</v>
      </c>
      <c r="T1456" s="157" t="s">
        <v>547</v>
      </c>
      <c r="U1456" s="46" t="s">
        <v>651</v>
      </c>
      <c r="V1456" s="46" t="b">
        <v>1</v>
      </c>
      <c r="W1456" s="46">
        <v>0.95</v>
      </c>
      <c r="X1456" s="46">
        <v>0.0</v>
      </c>
      <c r="Y1456" s="46">
        <v>1.66126930043758</v>
      </c>
      <c r="Z1456" s="46" t="b">
        <v>1</v>
      </c>
      <c r="AA1456" s="46" t="b">
        <v>1</v>
      </c>
    </row>
    <row r="1457">
      <c r="A1457" s="157" t="s">
        <v>557</v>
      </c>
      <c r="B1457" s="158">
        <v>1.0</v>
      </c>
      <c r="C1457" s="157" t="s">
        <v>642</v>
      </c>
      <c r="D1457" s="157" t="s">
        <v>2370</v>
      </c>
      <c r="E1457" s="157" t="s">
        <v>2371</v>
      </c>
      <c r="F1457" s="162" t="s">
        <v>4514</v>
      </c>
      <c r="G1457" s="157" t="s">
        <v>4515</v>
      </c>
      <c r="H1457" s="157"/>
      <c r="I1457" s="158">
        <v>7.03720284379516</v>
      </c>
      <c r="J1457" s="158">
        <v>51.5396069504629</v>
      </c>
      <c r="K1457" s="157" t="s">
        <v>4503</v>
      </c>
      <c r="L1457" s="157" t="s">
        <v>648</v>
      </c>
      <c r="M1457" s="158">
        <v>2022.0</v>
      </c>
      <c r="N1457" s="157" t="s">
        <v>547</v>
      </c>
      <c r="O1457" s="157" t="s">
        <v>2371</v>
      </c>
      <c r="P1457" s="161" t="b">
        <v>1</v>
      </c>
      <c r="Q1457" s="158">
        <v>1.11</v>
      </c>
      <c r="R1457" s="158">
        <v>0.0</v>
      </c>
      <c r="S1457" s="158">
        <v>1.11</v>
      </c>
      <c r="T1457" s="157" t="s">
        <v>547</v>
      </c>
      <c r="U1457" s="46" t="s">
        <v>651</v>
      </c>
      <c r="V1457" s="46" t="b">
        <v>1</v>
      </c>
      <c r="W1457" s="46">
        <v>0.95</v>
      </c>
      <c r="X1457" s="46">
        <v>0.0</v>
      </c>
      <c r="Y1457" s="46">
        <v>14.0261367558041</v>
      </c>
      <c r="Z1457" s="46" t="b">
        <v>1</v>
      </c>
      <c r="AA1457" s="46" t="b">
        <v>1</v>
      </c>
    </row>
    <row r="1458">
      <c r="A1458" s="157" t="s">
        <v>557</v>
      </c>
      <c r="B1458" s="158">
        <v>1.0</v>
      </c>
      <c r="C1458" s="157" t="s">
        <v>642</v>
      </c>
      <c r="D1458" s="157" t="s">
        <v>2370</v>
      </c>
      <c r="E1458" s="157" t="s">
        <v>2371</v>
      </c>
      <c r="F1458" s="162" t="s">
        <v>4516</v>
      </c>
      <c r="G1458" s="157" t="s">
        <v>4517</v>
      </c>
      <c r="H1458" s="157"/>
      <c r="I1458" s="158">
        <v>7.31181464088802</v>
      </c>
      <c r="J1458" s="158">
        <v>52.5618542808937</v>
      </c>
      <c r="K1458" s="157" t="s">
        <v>4518</v>
      </c>
      <c r="L1458" s="157" t="s">
        <v>648</v>
      </c>
      <c r="M1458" s="158">
        <v>2022.0</v>
      </c>
      <c r="N1458" s="157" t="s">
        <v>547</v>
      </c>
      <c r="O1458" s="157" t="s">
        <v>2371</v>
      </c>
      <c r="P1458" s="161" t="b">
        <v>1</v>
      </c>
      <c r="Q1458" s="158">
        <v>1.07</v>
      </c>
      <c r="R1458" s="158">
        <v>0.0</v>
      </c>
      <c r="S1458" s="158">
        <v>1.07</v>
      </c>
      <c r="T1458" s="157" t="s">
        <v>547</v>
      </c>
      <c r="U1458" s="46" t="s">
        <v>651</v>
      </c>
      <c r="V1458" s="46" t="b">
        <v>1</v>
      </c>
      <c r="W1458" s="46">
        <v>0.95</v>
      </c>
      <c r="X1458" s="46">
        <v>0.0</v>
      </c>
      <c r="Y1458" s="46">
        <v>6.76882438348001</v>
      </c>
      <c r="Z1458" s="46" t="b">
        <v>1</v>
      </c>
      <c r="AA1458" s="46" t="b">
        <v>1</v>
      </c>
    </row>
    <row r="1459">
      <c r="A1459" s="157" t="s">
        <v>557</v>
      </c>
      <c r="B1459" s="158">
        <v>1.0</v>
      </c>
      <c r="C1459" s="157" t="s">
        <v>642</v>
      </c>
      <c r="D1459" s="157" t="s">
        <v>2370</v>
      </c>
      <c r="E1459" s="157" t="s">
        <v>2371</v>
      </c>
      <c r="F1459" s="162" t="s">
        <v>4519</v>
      </c>
      <c r="G1459" s="157" t="s">
        <v>4520</v>
      </c>
      <c r="H1459" s="157"/>
      <c r="I1459" s="158">
        <v>11.7580033141637</v>
      </c>
      <c r="J1459" s="158">
        <v>48.78498359</v>
      </c>
      <c r="K1459" s="157" t="s">
        <v>4521</v>
      </c>
      <c r="L1459" s="157" t="s">
        <v>648</v>
      </c>
      <c r="M1459" s="158">
        <v>2022.0</v>
      </c>
      <c r="N1459" s="157" t="s">
        <v>547</v>
      </c>
      <c r="O1459" s="157" t="s">
        <v>2371</v>
      </c>
      <c r="P1459" s="161" t="b">
        <v>1</v>
      </c>
      <c r="Q1459" s="158">
        <v>1.01</v>
      </c>
      <c r="R1459" s="158">
        <v>0.0</v>
      </c>
      <c r="S1459" s="158">
        <v>1.01</v>
      </c>
      <c r="T1459" s="157" t="s">
        <v>547</v>
      </c>
      <c r="U1459" s="46" t="s">
        <v>651</v>
      </c>
      <c r="V1459" s="46" t="b">
        <v>1</v>
      </c>
      <c r="W1459" s="46">
        <v>0.95</v>
      </c>
      <c r="X1459" s="46">
        <v>0.0</v>
      </c>
      <c r="Y1459" s="46">
        <v>0.977566898771818</v>
      </c>
      <c r="Z1459" s="46" t="b">
        <v>1</v>
      </c>
      <c r="AA1459" s="46" t="b">
        <v>1</v>
      </c>
    </row>
    <row r="1460">
      <c r="A1460" s="157" t="s">
        <v>557</v>
      </c>
      <c r="B1460" s="158">
        <v>1.0</v>
      </c>
      <c r="C1460" s="157" t="s">
        <v>642</v>
      </c>
      <c r="D1460" s="157" t="s">
        <v>2370</v>
      </c>
      <c r="E1460" s="157" t="s">
        <v>2371</v>
      </c>
      <c r="F1460" s="162" t="s">
        <v>4522</v>
      </c>
      <c r="G1460" s="157" t="s">
        <v>4523</v>
      </c>
      <c r="H1460" s="157"/>
      <c r="I1460" s="158">
        <v>9.07977443187903</v>
      </c>
      <c r="J1460" s="158">
        <v>54.1608312087665</v>
      </c>
      <c r="K1460" s="157" t="s">
        <v>4524</v>
      </c>
      <c r="L1460" s="157" t="s">
        <v>648</v>
      </c>
      <c r="M1460" s="158">
        <v>2022.0</v>
      </c>
      <c r="N1460" s="157" t="s">
        <v>547</v>
      </c>
      <c r="O1460" s="157" t="s">
        <v>2371</v>
      </c>
      <c r="P1460" s="161" t="b">
        <v>1</v>
      </c>
      <c r="Q1460" s="158">
        <v>1.0</v>
      </c>
      <c r="R1460" s="158">
        <v>0.0</v>
      </c>
      <c r="S1460" s="158">
        <v>1.0</v>
      </c>
      <c r="T1460" s="157" t="s">
        <v>547</v>
      </c>
      <c r="U1460" s="46" t="s">
        <v>651</v>
      </c>
      <c r="V1460" s="46" t="b">
        <v>1</v>
      </c>
      <c r="W1460" s="46">
        <v>0.95</v>
      </c>
      <c r="X1460" s="46">
        <v>0.0</v>
      </c>
      <c r="Y1460" s="46">
        <v>29.3986353722409</v>
      </c>
      <c r="Z1460" s="46" t="b">
        <v>1</v>
      </c>
      <c r="AA1460" s="46" t="b">
        <v>1</v>
      </c>
    </row>
    <row r="1461">
      <c r="A1461" s="157" t="s">
        <v>557</v>
      </c>
      <c r="B1461" s="158">
        <v>1.0</v>
      </c>
      <c r="C1461" s="157" t="s">
        <v>642</v>
      </c>
      <c r="D1461" s="157" t="s">
        <v>2370</v>
      </c>
      <c r="E1461" s="157" t="s">
        <v>2371</v>
      </c>
      <c r="F1461" s="162" t="s">
        <v>4525</v>
      </c>
      <c r="G1461" s="157" t="s">
        <v>4526</v>
      </c>
      <c r="H1461" s="157"/>
      <c r="I1461" s="158">
        <v>12.8365268762075</v>
      </c>
      <c r="J1461" s="158">
        <v>48.1930039242309</v>
      </c>
      <c r="K1461" s="157" t="s">
        <v>4527</v>
      </c>
      <c r="L1461" s="157" t="s">
        <v>648</v>
      </c>
      <c r="M1461" s="158">
        <v>2022.0</v>
      </c>
      <c r="N1461" s="157" t="s">
        <v>547</v>
      </c>
      <c r="O1461" s="157" t="s">
        <v>2371</v>
      </c>
      <c r="P1461" s="161" t="b">
        <v>1</v>
      </c>
      <c r="Q1461" s="158">
        <v>0.96</v>
      </c>
      <c r="R1461" s="158">
        <v>0.0</v>
      </c>
      <c r="S1461" s="158">
        <v>0.96</v>
      </c>
      <c r="T1461" s="157" t="s">
        <v>547</v>
      </c>
      <c r="U1461" s="46" t="s">
        <v>651</v>
      </c>
      <c r="V1461" s="46" t="b">
        <v>1</v>
      </c>
      <c r="W1461" s="46">
        <v>0.95</v>
      </c>
      <c r="X1461" s="46">
        <v>0.0</v>
      </c>
      <c r="Y1461" s="46">
        <v>8.57579858936182</v>
      </c>
      <c r="Z1461" s="46" t="b">
        <v>1</v>
      </c>
      <c r="AA1461" s="46" t="b">
        <v>1</v>
      </c>
    </row>
    <row r="1462">
      <c r="A1462" s="157" t="s">
        <v>557</v>
      </c>
      <c r="B1462" s="158">
        <v>1.0</v>
      </c>
      <c r="C1462" s="157" t="s">
        <v>642</v>
      </c>
      <c r="D1462" s="157" t="s">
        <v>2370</v>
      </c>
      <c r="E1462" s="157" t="s">
        <v>2371</v>
      </c>
      <c r="F1462" s="162" t="s">
        <v>4528</v>
      </c>
      <c r="G1462" s="157" t="s">
        <v>4529</v>
      </c>
      <c r="H1462" s="157"/>
      <c r="I1462" s="158">
        <v>9.95158189424644</v>
      </c>
      <c r="J1462" s="158">
        <v>53.477085862413</v>
      </c>
      <c r="K1462" s="157" t="s">
        <v>903</v>
      </c>
      <c r="L1462" s="157" t="s">
        <v>648</v>
      </c>
      <c r="M1462" s="158">
        <v>2022.0</v>
      </c>
      <c r="N1462" s="157" t="s">
        <v>547</v>
      </c>
      <c r="O1462" s="157" t="s">
        <v>2371</v>
      </c>
      <c r="P1462" s="161" t="b">
        <v>1</v>
      </c>
      <c r="Q1462" s="158">
        <v>0.765</v>
      </c>
      <c r="R1462" s="158">
        <v>0.0</v>
      </c>
      <c r="S1462" s="158">
        <v>0.765</v>
      </c>
      <c r="T1462" s="157" t="s">
        <v>547</v>
      </c>
      <c r="U1462" s="46" t="s">
        <v>651</v>
      </c>
      <c r="V1462" s="46" t="b">
        <v>1</v>
      </c>
      <c r="W1462" s="46">
        <v>0.95</v>
      </c>
      <c r="X1462" s="46">
        <v>0.0</v>
      </c>
      <c r="Y1462" s="46">
        <v>1.08164942875214</v>
      </c>
      <c r="Z1462" s="46" t="b">
        <v>1</v>
      </c>
      <c r="AA1462" s="46" t="b">
        <v>1</v>
      </c>
    </row>
    <row r="1463">
      <c r="A1463" s="157" t="s">
        <v>557</v>
      </c>
      <c r="B1463" s="158">
        <v>1.0</v>
      </c>
      <c r="C1463" s="157" t="s">
        <v>642</v>
      </c>
      <c r="D1463" s="157" t="s">
        <v>2370</v>
      </c>
      <c r="E1463" s="157" t="s">
        <v>2371</v>
      </c>
      <c r="F1463" s="162" t="s">
        <v>4530</v>
      </c>
      <c r="G1463" s="157" t="s">
        <v>4531</v>
      </c>
      <c r="H1463" s="157"/>
      <c r="I1463" s="158">
        <v>8.346402204</v>
      </c>
      <c r="J1463" s="158">
        <v>49.0568293299884</v>
      </c>
      <c r="K1463" s="157" t="s">
        <v>925</v>
      </c>
      <c r="L1463" s="157" t="s">
        <v>648</v>
      </c>
      <c r="M1463" s="158">
        <v>2022.0</v>
      </c>
      <c r="N1463" s="157" t="s">
        <v>547</v>
      </c>
      <c r="O1463" s="157" t="s">
        <v>2371</v>
      </c>
      <c r="P1463" s="161" t="b">
        <v>1</v>
      </c>
      <c r="Q1463" s="158">
        <v>0.752</v>
      </c>
      <c r="R1463" s="158">
        <v>0.0</v>
      </c>
      <c r="S1463" s="158">
        <v>0.752</v>
      </c>
      <c r="T1463" s="157" t="s">
        <v>547</v>
      </c>
      <c r="U1463" s="46" t="s">
        <v>651</v>
      </c>
      <c r="V1463" s="46" t="b">
        <v>1</v>
      </c>
      <c r="W1463" s="46">
        <v>0.95</v>
      </c>
      <c r="X1463" s="46">
        <v>0.0</v>
      </c>
      <c r="Y1463" s="164">
        <v>8.87971490832178E-8</v>
      </c>
      <c r="Z1463" s="46" t="b">
        <v>1</v>
      </c>
      <c r="AA1463" s="46" t="b">
        <v>1</v>
      </c>
    </row>
    <row r="1464">
      <c r="A1464" s="157" t="s">
        <v>557</v>
      </c>
      <c r="B1464" s="158">
        <v>1.0</v>
      </c>
      <c r="C1464" s="157" t="s">
        <v>642</v>
      </c>
      <c r="D1464" s="157" t="s">
        <v>2370</v>
      </c>
      <c r="E1464" s="157" t="s">
        <v>2371</v>
      </c>
      <c r="F1464" s="162" t="s">
        <v>4532</v>
      </c>
      <c r="G1464" s="157" t="s">
        <v>4533</v>
      </c>
      <c r="H1464" s="157"/>
      <c r="I1464" s="158">
        <v>11.472950828513</v>
      </c>
      <c r="J1464" s="158">
        <v>48.78936001</v>
      </c>
      <c r="K1464" s="157" t="s">
        <v>4534</v>
      </c>
      <c r="L1464" s="157" t="s">
        <v>648</v>
      </c>
      <c r="M1464" s="158">
        <v>2022.0</v>
      </c>
      <c r="N1464" s="157" t="s">
        <v>547</v>
      </c>
      <c r="O1464" s="157" t="s">
        <v>2371</v>
      </c>
      <c r="P1464" s="161" t="b">
        <v>1</v>
      </c>
      <c r="Q1464" s="158">
        <v>0.679</v>
      </c>
      <c r="R1464" s="158">
        <v>0.0</v>
      </c>
      <c r="S1464" s="158">
        <v>0.679</v>
      </c>
      <c r="T1464" s="157" t="s">
        <v>547</v>
      </c>
      <c r="U1464" s="46" t="s">
        <v>651</v>
      </c>
      <c r="V1464" s="46" t="b">
        <v>1</v>
      </c>
      <c r="W1464" s="46">
        <v>0.95</v>
      </c>
      <c r="X1464" s="46">
        <v>0.0</v>
      </c>
      <c r="Y1464" s="46">
        <v>21.3870787206979</v>
      </c>
      <c r="Z1464" s="46" t="b">
        <v>1</v>
      </c>
      <c r="AA1464" s="46" t="b">
        <v>1</v>
      </c>
    </row>
    <row r="1465">
      <c r="A1465" s="157" t="s">
        <v>557</v>
      </c>
      <c r="B1465" s="158">
        <v>1.0</v>
      </c>
      <c r="C1465" s="157" t="s">
        <v>642</v>
      </c>
      <c r="D1465" s="157" t="s">
        <v>2370</v>
      </c>
      <c r="E1465" s="157" t="s">
        <v>2371</v>
      </c>
      <c r="F1465" s="162" t="s">
        <v>4535</v>
      </c>
      <c r="G1465" s="157" t="s">
        <v>4536</v>
      </c>
      <c r="H1465" s="157"/>
      <c r="I1465" s="158">
        <v>11.7179066686173</v>
      </c>
      <c r="J1465" s="158">
        <v>51.4616142967967</v>
      </c>
      <c r="K1465" s="157" t="s">
        <v>4537</v>
      </c>
      <c r="L1465" s="157" t="s">
        <v>648</v>
      </c>
      <c r="M1465" s="158">
        <v>2022.0</v>
      </c>
      <c r="N1465" s="157" t="s">
        <v>547</v>
      </c>
      <c r="O1465" s="157" t="s">
        <v>2371</v>
      </c>
      <c r="P1465" s="161" t="b">
        <v>1</v>
      </c>
      <c r="Q1465" s="158">
        <v>0.405</v>
      </c>
      <c r="R1465" s="158">
        <v>0.0</v>
      </c>
      <c r="S1465" s="158">
        <v>0.405</v>
      </c>
      <c r="T1465" s="157" t="s">
        <v>547</v>
      </c>
      <c r="U1465" s="46" t="s">
        <v>651</v>
      </c>
      <c r="V1465" s="46" t="b">
        <v>1</v>
      </c>
      <c r="W1465" s="46">
        <v>0.95</v>
      </c>
      <c r="X1465" s="46">
        <v>0.0</v>
      </c>
      <c r="Y1465" s="46">
        <v>12.845982517314</v>
      </c>
      <c r="Z1465" s="46" t="b">
        <v>1</v>
      </c>
      <c r="AA1465" s="46" t="b">
        <v>1</v>
      </c>
    </row>
    <row r="1466">
      <c r="A1466" s="157" t="s">
        <v>557</v>
      </c>
      <c r="B1466" s="158">
        <v>1.0</v>
      </c>
      <c r="C1466" s="157" t="s">
        <v>642</v>
      </c>
      <c r="D1466" s="157" t="s">
        <v>2370</v>
      </c>
      <c r="E1466" s="157" t="s">
        <v>2371</v>
      </c>
      <c r="F1466" s="162" t="s">
        <v>4538</v>
      </c>
      <c r="G1466" s="157" t="s">
        <v>4539</v>
      </c>
      <c r="H1466" s="157"/>
      <c r="I1466" s="158">
        <v>11.5988829003105</v>
      </c>
      <c r="J1466" s="158">
        <v>48.7657950788379</v>
      </c>
      <c r="K1466" s="157" t="s">
        <v>4540</v>
      </c>
      <c r="L1466" s="157" t="s">
        <v>648</v>
      </c>
      <c r="M1466" s="158">
        <v>2022.0</v>
      </c>
      <c r="N1466" s="157" t="s">
        <v>547</v>
      </c>
      <c r="O1466" s="157" t="s">
        <v>2371</v>
      </c>
      <c r="P1466" s="161" t="b">
        <v>1</v>
      </c>
      <c r="Q1466" s="158">
        <v>0.384</v>
      </c>
      <c r="R1466" s="158">
        <v>0.0</v>
      </c>
      <c r="S1466" s="158">
        <v>0.384</v>
      </c>
      <c r="T1466" s="157" t="s">
        <v>547</v>
      </c>
      <c r="U1466" s="46" t="s">
        <v>651</v>
      </c>
      <c r="V1466" s="46" t="b">
        <v>1</v>
      </c>
      <c r="W1466" s="46">
        <v>0.95</v>
      </c>
      <c r="X1466" s="46">
        <v>0.0</v>
      </c>
      <c r="Y1466" s="46">
        <v>12.8635612743645</v>
      </c>
      <c r="Z1466" s="46" t="b">
        <v>1</v>
      </c>
      <c r="AA1466" s="46" t="b">
        <v>1</v>
      </c>
    </row>
    <row r="1467">
      <c r="A1467" s="157" t="s">
        <v>583</v>
      </c>
      <c r="B1467" s="158">
        <v>1.0</v>
      </c>
      <c r="C1467" s="157" t="s">
        <v>642</v>
      </c>
      <c r="D1467" s="157" t="s">
        <v>2370</v>
      </c>
      <c r="E1467" s="157" t="s">
        <v>2371</v>
      </c>
      <c r="F1467" s="157" t="s">
        <v>4541</v>
      </c>
      <c r="G1467" s="157" t="s">
        <v>4542</v>
      </c>
      <c r="H1467" s="157"/>
      <c r="I1467" s="158">
        <v>-8.24794</v>
      </c>
      <c r="J1467" s="158">
        <v>51.820571</v>
      </c>
      <c r="K1467" s="157" t="s">
        <v>4543</v>
      </c>
      <c r="L1467" s="157" t="s">
        <v>648</v>
      </c>
      <c r="M1467" s="158">
        <v>2022.0</v>
      </c>
      <c r="N1467" s="157" t="s">
        <v>547</v>
      </c>
      <c r="O1467" s="157" t="s">
        <v>2371</v>
      </c>
      <c r="P1467" s="161" t="b">
        <v>1</v>
      </c>
      <c r="Q1467" s="158">
        <v>0.308081</v>
      </c>
      <c r="R1467" s="158">
        <v>0.0</v>
      </c>
      <c r="S1467" s="158">
        <v>0.308081</v>
      </c>
      <c r="T1467" s="157" t="s">
        <v>547</v>
      </c>
      <c r="U1467" s="46" t="s">
        <v>651</v>
      </c>
      <c r="V1467" s="46" t="b">
        <v>1</v>
      </c>
      <c r="W1467" s="46">
        <v>0.95</v>
      </c>
      <c r="X1467" s="46">
        <v>0.0</v>
      </c>
      <c r="Y1467" s="46" t="s">
        <v>640</v>
      </c>
      <c r="Z1467" s="46" t="b">
        <v>0</v>
      </c>
      <c r="AA1467" s="46" t="b">
        <v>0</v>
      </c>
    </row>
    <row r="1468">
      <c r="A1468" s="157" t="s">
        <v>570</v>
      </c>
      <c r="B1468" s="158">
        <v>1.0</v>
      </c>
      <c r="C1468" s="157" t="s">
        <v>642</v>
      </c>
      <c r="D1468" s="157" t="s">
        <v>2370</v>
      </c>
      <c r="E1468" s="157" t="s">
        <v>2371</v>
      </c>
      <c r="F1468" s="157" t="s">
        <v>4544</v>
      </c>
      <c r="G1468" s="157" t="s">
        <v>4545</v>
      </c>
      <c r="H1468" s="157"/>
      <c r="I1468" s="158">
        <v>4.33533</v>
      </c>
      <c r="J1468" s="158">
        <v>51.88013</v>
      </c>
      <c r="K1468" s="157" t="s">
        <v>4546</v>
      </c>
      <c r="L1468" s="157" t="s">
        <v>648</v>
      </c>
      <c r="M1468" s="158">
        <v>2022.0</v>
      </c>
      <c r="N1468" s="157" t="s">
        <v>547</v>
      </c>
      <c r="O1468" s="157" t="s">
        <v>2371</v>
      </c>
      <c r="P1468" s="161" t="b">
        <v>1</v>
      </c>
      <c r="Q1468" s="158">
        <v>4.18</v>
      </c>
      <c r="R1468" s="158">
        <v>0.0</v>
      </c>
      <c r="S1468" s="158">
        <v>4.18</v>
      </c>
      <c r="T1468" s="157" t="s">
        <v>547</v>
      </c>
      <c r="U1468" s="46" t="s">
        <v>651</v>
      </c>
      <c r="V1468" s="46" t="b">
        <v>1</v>
      </c>
      <c r="W1468" s="46">
        <v>0.95</v>
      </c>
      <c r="X1468" s="46">
        <v>0.0</v>
      </c>
      <c r="Y1468" s="46">
        <v>5.36219730282177</v>
      </c>
      <c r="Z1468" s="46" t="b">
        <v>1</v>
      </c>
      <c r="AA1468" s="46" t="b">
        <v>1</v>
      </c>
    </row>
    <row r="1469">
      <c r="A1469" s="157" t="s">
        <v>570</v>
      </c>
      <c r="B1469" s="158">
        <v>1.0</v>
      </c>
      <c r="C1469" s="157" t="s">
        <v>642</v>
      </c>
      <c r="D1469" s="157" t="s">
        <v>2370</v>
      </c>
      <c r="E1469" s="157" t="s">
        <v>2371</v>
      </c>
      <c r="F1469" s="157" t="s">
        <v>4547</v>
      </c>
      <c r="G1469" s="157" t="s">
        <v>4548</v>
      </c>
      <c r="H1469" s="157"/>
      <c r="I1469" s="158">
        <v>4.29626</v>
      </c>
      <c r="J1469" s="158">
        <v>51.87221</v>
      </c>
      <c r="K1469" s="157" t="s">
        <v>4113</v>
      </c>
      <c r="L1469" s="157" t="s">
        <v>648</v>
      </c>
      <c r="M1469" s="158">
        <v>2022.0</v>
      </c>
      <c r="N1469" s="157" t="s">
        <v>547</v>
      </c>
      <c r="O1469" s="157" t="s">
        <v>2371</v>
      </c>
      <c r="P1469" s="161" t="b">
        <v>1</v>
      </c>
      <c r="Q1469" s="158">
        <v>2.67</v>
      </c>
      <c r="R1469" s="158">
        <v>0.0</v>
      </c>
      <c r="S1469" s="158">
        <v>2.67</v>
      </c>
      <c r="T1469" s="157" t="s">
        <v>547</v>
      </c>
      <c r="U1469" s="46" t="s">
        <v>651</v>
      </c>
      <c r="V1469" s="46" t="b">
        <v>1</v>
      </c>
      <c r="W1469" s="46">
        <v>0.95</v>
      </c>
      <c r="X1469" s="46">
        <v>0.0</v>
      </c>
      <c r="Y1469" s="46">
        <v>2.56879278384491</v>
      </c>
      <c r="Z1469" s="46" t="b">
        <v>1</v>
      </c>
      <c r="AA1469" s="46" t="b">
        <v>1</v>
      </c>
    </row>
    <row r="1470">
      <c r="A1470" s="157" t="s">
        <v>570</v>
      </c>
      <c r="B1470" s="158">
        <v>1.0</v>
      </c>
      <c r="C1470" s="157" t="s">
        <v>642</v>
      </c>
      <c r="D1470" s="157" t="s">
        <v>2370</v>
      </c>
      <c r="E1470" s="157" t="s">
        <v>2371</v>
      </c>
      <c r="F1470" s="157" t="s">
        <v>4549</v>
      </c>
      <c r="G1470" s="157" t="s">
        <v>4550</v>
      </c>
      <c r="H1470" s="157"/>
      <c r="I1470" s="158">
        <v>4.10779</v>
      </c>
      <c r="J1470" s="158">
        <v>51.94499</v>
      </c>
      <c r="K1470" s="157" t="s">
        <v>4551</v>
      </c>
      <c r="L1470" s="157" t="s">
        <v>648</v>
      </c>
      <c r="M1470" s="158">
        <v>2022.0</v>
      </c>
      <c r="N1470" s="157" t="s">
        <v>547</v>
      </c>
      <c r="O1470" s="157" t="s">
        <v>2371</v>
      </c>
      <c r="P1470" s="161" t="b">
        <v>1</v>
      </c>
      <c r="Q1470" s="158">
        <v>1.94</v>
      </c>
      <c r="R1470" s="158">
        <v>0.0</v>
      </c>
      <c r="S1470" s="158">
        <v>1.94</v>
      </c>
      <c r="T1470" s="157" t="s">
        <v>547</v>
      </c>
      <c r="U1470" s="46" t="s">
        <v>651</v>
      </c>
      <c r="V1470" s="46" t="b">
        <v>1</v>
      </c>
      <c r="W1470" s="46">
        <v>0.95</v>
      </c>
      <c r="X1470" s="46">
        <v>0.0</v>
      </c>
      <c r="Y1470" s="46">
        <v>5.19395224669908</v>
      </c>
      <c r="Z1470" s="46" t="b">
        <v>1</v>
      </c>
      <c r="AA1470" s="46" t="b">
        <v>1</v>
      </c>
    </row>
    <row r="1471">
      <c r="A1471" s="157" t="s">
        <v>570</v>
      </c>
      <c r="B1471" s="158">
        <v>1.0</v>
      </c>
      <c r="C1471" s="157" t="s">
        <v>642</v>
      </c>
      <c r="D1471" s="157" t="s">
        <v>2370</v>
      </c>
      <c r="E1471" s="157" t="s">
        <v>2371</v>
      </c>
      <c r="F1471" s="157" t="s">
        <v>4552</v>
      </c>
      <c r="G1471" s="157" t="s">
        <v>4553</v>
      </c>
      <c r="H1471" s="157"/>
      <c r="I1471" s="158">
        <v>3.72705</v>
      </c>
      <c r="J1471" s="158">
        <v>51.44562</v>
      </c>
      <c r="K1471" s="157" t="s">
        <v>4554</v>
      </c>
      <c r="L1471" s="157" t="s">
        <v>648</v>
      </c>
      <c r="M1471" s="158">
        <v>2022.0</v>
      </c>
      <c r="N1471" s="157" t="s">
        <v>547</v>
      </c>
      <c r="O1471" s="157" t="s">
        <v>2371</v>
      </c>
      <c r="P1471" s="161" t="b">
        <v>1</v>
      </c>
      <c r="Q1471" s="158">
        <v>1.59</v>
      </c>
      <c r="R1471" s="158">
        <v>0.0</v>
      </c>
      <c r="S1471" s="158">
        <v>1.59</v>
      </c>
      <c r="T1471" s="157" t="s">
        <v>547</v>
      </c>
      <c r="U1471" s="46" t="s">
        <v>651</v>
      </c>
      <c r="V1471" s="46" t="b">
        <v>1</v>
      </c>
      <c r="W1471" s="46">
        <v>0.95</v>
      </c>
      <c r="X1471" s="46">
        <v>0.0</v>
      </c>
      <c r="Y1471" s="46">
        <v>34.1928130121817</v>
      </c>
      <c r="Z1471" s="46" t="b">
        <v>1</v>
      </c>
      <c r="AA1471" s="46" t="b">
        <v>1</v>
      </c>
    </row>
    <row r="1472">
      <c r="A1472" s="157" t="s">
        <v>570</v>
      </c>
      <c r="B1472" s="158">
        <v>1.0</v>
      </c>
      <c r="C1472" s="157" t="s">
        <v>642</v>
      </c>
      <c r="D1472" s="157" t="s">
        <v>2370</v>
      </c>
      <c r="E1472" s="157" t="s">
        <v>2371</v>
      </c>
      <c r="F1472" s="157" t="s">
        <v>4555</v>
      </c>
      <c r="G1472" s="157" t="s">
        <v>4556</v>
      </c>
      <c r="H1472" s="157"/>
      <c r="I1472" s="158">
        <v>4.16573</v>
      </c>
      <c r="J1472" s="158">
        <v>51.93494</v>
      </c>
      <c r="K1472" s="157" t="s">
        <v>4551</v>
      </c>
      <c r="L1472" s="157" t="s">
        <v>648</v>
      </c>
      <c r="M1472" s="158">
        <v>2022.0</v>
      </c>
      <c r="N1472" s="157" t="s">
        <v>547</v>
      </c>
      <c r="O1472" s="157" t="s">
        <v>2371</v>
      </c>
      <c r="P1472" s="161" t="b">
        <v>1</v>
      </c>
      <c r="Q1472" s="158">
        <v>0.233</v>
      </c>
      <c r="R1472" s="158">
        <v>0.0</v>
      </c>
      <c r="S1472" s="158">
        <v>0.233</v>
      </c>
      <c r="T1472" s="157" t="s">
        <v>547</v>
      </c>
      <c r="U1472" s="46" t="s">
        <v>651</v>
      </c>
      <c r="V1472" s="46" t="b">
        <v>1</v>
      </c>
      <c r="W1472" s="46">
        <v>0.95</v>
      </c>
      <c r="X1472" s="46">
        <v>0.0</v>
      </c>
      <c r="Y1472" s="46">
        <v>2.1795209092123</v>
      </c>
      <c r="Z1472" s="46" t="b">
        <v>1</v>
      </c>
      <c r="AA1472" s="46" t="b">
        <v>1</v>
      </c>
    </row>
    <row r="1473">
      <c r="A1473" s="157" t="s">
        <v>570</v>
      </c>
      <c r="B1473" s="158">
        <v>1.0</v>
      </c>
      <c r="C1473" s="157" t="s">
        <v>642</v>
      </c>
      <c r="D1473" s="157" t="s">
        <v>2370</v>
      </c>
      <c r="E1473" s="157" t="s">
        <v>2371</v>
      </c>
      <c r="F1473" s="157" t="s">
        <v>4557</v>
      </c>
      <c r="G1473" s="157" t="s">
        <v>4558</v>
      </c>
      <c r="H1473" s="157"/>
      <c r="I1473" s="158">
        <v>4.21727</v>
      </c>
      <c r="J1473" s="158">
        <v>51.91026</v>
      </c>
      <c r="K1473" s="157" t="s">
        <v>4551</v>
      </c>
      <c r="L1473" s="157" t="s">
        <v>648</v>
      </c>
      <c r="M1473" s="158">
        <v>2022.0</v>
      </c>
      <c r="N1473" s="157" t="s">
        <v>547</v>
      </c>
      <c r="O1473" s="157" t="s">
        <v>2371</v>
      </c>
      <c r="P1473" s="161" t="b">
        <v>1</v>
      </c>
      <c r="Q1473" s="158">
        <v>0.121</v>
      </c>
      <c r="R1473" s="158">
        <v>0.0</v>
      </c>
      <c r="S1473" s="158">
        <v>0.121</v>
      </c>
      <c r="T1473" s="157" t="s">
        <v>547</v>
      </c>
      <c r="U1473" s="46" t="s">
        <v>651</v>
      </c>
      <c r="V1473" s="46" t="b">
        <v>1</v>
      </c>
      <c r="W1473" s="46">
        <v>0.95</v>
      </c>
      <c r="X1473" s="46">
        <v>0.0</v>
      </c>
      <c r="Y1473" s="46">
        <v>0.303605864550764</v>
      </c>
      <c r="Z1473" s="46" t="b">
        <v>1</v>
      </c>
      <c r="AA1473" s="46" t="b">
        <v>1</v>
      </c>
    </row>
    <row r="1474">
      <c r="A1474" s="157" t="s">
        <v>576</v>
      </c>
      <c r="B1474" s="158">
        <v>1.0</v>
      </c>
      <c r="C1474" s="157" t="s">
        <v>642</v>
      </c>
      <c r="D1474" s="157" t="s">
        <v>2370</v>
      </c>
      <c r="E1474" s="157" t="s">
        <v>2371</v>
      </c>
      <c r="F1474" s="157" t="s">
        <v>4559</v>
      </c>
      <c r="G1474" s="157" t="s">
        <v>4560</v>
      </c>
      <c r="H1474" s="157"/>
      <c r="I1474" s="158">
        <v>26.010388</v>
      </c>
      <c r="J1474" s="158">
        <v>44.876519</v>
      </c>
      <c r="K1474" s="157" t="s">
        <v>4561</v>
      </c>
      <c r="L1474" s="157" t="s">
        <v>648</v>
      </c>
      <c r="M1474" s="158">
        <v>2022.0</v>
      </c>
      <c r="N1474" s="157" t="s">
        <v>547</v>
      </c>
      <c r="O1474" s="157" t="s">
        <v>2371</v>
      </c>
      <c r="P1474" s="161" t="b">
        <v>1</v>
      </c>
      <c r="Q1474" s="158">
        <v>1.08</v>
      </c>
      <c r="R1474" s="158">
        <v>0.0</v>
      </c>
      <c r="S1474" s="158">
        <v>1.08</v>
      </c>
      <c r="T1474" s="157" t="s">
        <v>547</v>
      </c>
      <c r="U1474" s="46" t="s">
        <v>651</v>
      </c>
      <c r="V1474" s="46" t="b">
        <v>1</v>
      </c>
      <c r="W1474" s="46">
        <v>0.95</v>
      </c>
      <c r="X1474" s="46">
        <v>0.0</v>
      </c>
      <c r="Y1474" s="46" t="s">
        <v>640</v>
      </c>
      <c r="Z1474" s="46" t="b">
        <v>0</v>
      </c>
      <c r="AA1474" s="46" t="b">
        <v>0</v>
      </c>
    </row>
    <row r="1475">
      <c r="A1475" s="157" t="s">
        <v>576</v>
      </c>
      <c r="B1475" s="158">
        <v>1.0</v>
      </c>
      <c r="C1475" s="157" t="s">
        <v>642</v>
      </c>
      <c r="D1475" s="157" t="s">
        <v>2370</v>
      </c>
      <c r="E1475" s="157" t="s">
        <v>2371</v>
      </c>
      <c r="F1475" s="157" t="s">
        <v>4562</v>
      </c>
      <c r="G1475" s="157" t="s">
        <v>4563</v>
      </c>
      <c r="H1475" s="157"/>
      <c r="I1475" s="158">
        <v>28.646779</v>
      </c>
      <c r="J1475" s="158">
        <v>44.339117</v>
      </c>
      <c r="K1475" s="157" t="s">
        <v>4564</v>
      </c>
      <c r="L1475" s="157" t="s">
        <v>648</v>
      </c>
      <c r="M1475" s="158">
        <v>2022.0</v>
      </c>
      <c r="N1475" s="157" t="s">
        <v>547</v>
      </c>
      <c r="O1475" s="157" t="s">
        <v>2371</v>
      </c>
      <c r="P1475" s="161" t="b">
        <v>1</v>
      </c>
      <c r="Q1475" s="158">
        <v>0.882</v>
      </c>
      <c r="R1475" s="158">
        <v>0.0</v>
      </c>
      <c r="S1475" s="158">
        <v>0.882</v>
      </c>
      <c r="T1475" s="157" t="s">
        <v>547</v>
      </c>
      <c r="U1475" s="46" t="s">
        <v>651</v>
      </c>
      <c r="V1475" s="46" t="b">
        <v>1</v>
      </c>
      <c r="W1475" s="46">
        <v>0.95</v>
      </c>
      <c r="X1475" s="46">
        <v>0.0</v>
      </c>
      <c r="Y1475" s="46">
        <v>151.693376736553</v>
      </c>
      <c r="Z1475" s="46" t="b">
        <v>0</v>
      </c>
      <c r="AA1475" s="46" t="b">
        <v>0</v>
      </c>
    </row>
    <row r="1476">
      <c r="A1476" s="157" t="s">
        <v>576</v>
      </c>
      <c r="B1476" s="158">
        <v>1.0</v>
      </c>
      <c r="C1476" s="157" t="s">
        <v>642</v>
      </c>
      <c r="D1476" s="157" t="s">
        <v>2370</v>
      </c>
      <c r="E1476" s="157" t="s">
        <v>2371</v>
      </c>
      <c r="F1476" s="157" t="s">
        <v>4565</v>
      </c>
      <c r="G1476" s="157" t="s">
        <v>4566</v>
      </c>
      <c r="H1476" s="157"/>
      <c r="I1476" s="158">
        <v>26.079463</v>
      </c>
      <c r="J1476" s="158">
        <v>44.946413</v>
      </c>
      <c r="K1476" s="157" t="s">
        <v>4567</v>
      </c>
      <c r="L1476" s="157" t="s">
        <v>648</v>
      </c>
      <c r="M1476" s="158">
        <v>2022.0</v>
      </c>
      <c r="N1476" s="157" t="s">
        <v>547</v>
      </c>
      <c r="O1476" s="157" t="s">
        <v>2371</v>
      </c>
      <c r="P1476" s="161" t="b">
        <v>1</v>
      </c>
      <c r="Q1476" s="158">
        <v>0.426</v>
      </c>
      <c r="R1476" s="158">
        <v>0.0</v>
      </c>
      <c r="S1476" s="158">
        <v>0.426</v>
      </c>
      <c r="T1476" s="157" t="s">
        <v>547</v>
      </c>
      <c r="U1476" s="46" t="s">
        <v>651</v>
      </c>
      <c r="V1476" s="46" t="b">
        <v>1</v>
      </c>
      <c r="W1476" s="46">
        <v>0.95</v>
      </c>
      <c r="X1476" s="46">
        <v>0.0</v>
      </c>
      <c r="Y1476" s="46" t="s">
        <v>640</v>
      </c>
      <c r="Z1476" s="46" t="b">
        <v>0</v>
      </c>
      <c r="AA1476" s="46" t="b">
        <v>0</v>
      </c>
    </row>
    <row r="1477">
      <c r="A1477" s="157" t="s">
        <v>554</v>
      </c>
      <c r="B1477" s="158">
        <v>1.0</v>
      </c>
      <c r="C1477" s="157" t="s">
        <v>642</v>
      </c>
      <c r="D1477" s="157" t="s">
        <v>2370</v>
      </c>
      <c r="E1477" s="157" t="s">
        <v>2371</v>
      </c>
      <c r="F1477" s="157" t="s">
        <v>4568</v>
      </c>
      <c r="G1477" s="157" t="s">
        <v>4569</v>
      </c>
      <c r="H1477" s="157"/>
      <c r="I1477" s="158">
        <v>11.42308</v>
      </c>
      <c r="J1477" s="158">
        <v>58.34674</v>
      </c>
      <c r="K1477" s="157" t="s">
        <v>4570</v>
      </c>
      <c r="L1477" s="157" t="s">
        <v>648</v>
      </c>
      <c r="M1477" s="158">
        <v>2022.0</v>
      </c>
      <c r="N1477" s="157" t="s">
        <v>547</v>
      </c>
      <c r="O1477" s="157" t="s">
        <v>2371</v>
      </c>
      <c r="P1477" s="161" t="b">
        <v>1</v>
      </c>
      <c r="Q1477" s="158">
        <v>1.38</v>
      </c>
      <c r="R1477" s="158">
        <v>0.0</v>
      </c>
      <c r="S1477" s="158">
        <v>1.38</v>
      </c>
      <c r="T1477" s="157" t="s">
        <v>547</v>
      </c>
      <c r="U1477" s="46" t="s">
        <v>651</v>
      </c>
      <c r="V1477" s="46" t="b">
        <v>1</v>
      </c>
      <c r="W1477" s="46">
        <v>0.95</v>
      </c>
      <c r="X1477" s="46">
        <v>0.0</v>
      </c>
      <c r="Y1477" s="46" t="s">
        <v>640</v>
      </c>
      <c r="Z1477" s="46" t="b">
        <v>0</v>
      </c>
      <c r="AA1477" s="46" t="b">
        <v>0</v>
      </c>
    </row>
    <row r="1478">
      <c r="A1478" s="157" t="s">
        <v>554</v>
      </c>
      <c r="B1478" s="158">
        <v>1.0</v>
      </c>
      <c r="C1478" s="157" t="s">
        <v>642</v>
      </c>
      <c r="D1478" s="157" t="s">
        <v>2370</v>
      </c>
      <c r="E1478" s="157" t="s">
        <v>2371</v>
      </c>
      <c r="F1478" s="157" t="s">
        <v>4571</v>
      </c>
      <c r="G1478" s="157" t="s">
        <v>4572</v>
      </c>
      <c r="H1478" s="157"/>
      <c r="I1478" s="158">
        <v>11.87983</v>
      </c>
      <c r="J1478" s="158">
        <v>57.70185</v>
      </c>
      <c r="K1478" s="157" t="s">
        <v>879</v>
      </c>
      <c r="L1478" s="157" t="s">
        <v>648</v>
      </c>
      <c r="M1478" s="158">
        <v>2022.0</v>
      </c>
      <c r="N1478" s="157" t="s">
        <v>547</v>
      </c>
      <c r="O1478" s="157" t="s">
        <v>2371</v>
      </c>
      <c r="P1478" s="161" t="b">
        <v>1</v>
      </c>
      <c r="Q1478" s="158">
        <v>0.569</v>
      </c>
      <c r="R1478" s="158">
        <v>0.0</v>
      </c>
      <c r="S1478" s="158">
        <v>0.569</v>
      </c>
      <c r="T1478" s="157" t="s">
        <v>547</v>
      </c>
      <c r="U1478" s="46" t="s">
        <v>651</v>
      </c>
      <c r="V1478" s="46" t="b">
        <v>1</v>
      </c>
      <c r="W1478" s="46">
        <v>0.95</v>
      </c>
      <c r="X1478" s="46">
        <v>0.0</v>
      </c>
      <c r="Y1478" s="46">
        <v>130.806171464032</v>
      </c>
      <c r="Z1478" s="46" t="b">
        <v>0</v>
      </c>
      <c r="AA1478" s="46" t="b">
        <v>0</v>
      </c>
    </row>
    <row r="1479">
      <c r="A1479" s="157" t="s">
        <v>554</v>
      </c>
      <c r="B1479" s="158">
        <v>1.0</v>
      </c>
      <c r="C1479" s="157" t="s">
        <v>642</v>
      </c>
      <c r="D1479" s="157" t="s">
        <v>2370</v>
      </c>
      <c r="E1479" s="157" t="s">
        <v>2371</v>
      </c>
      <c r="F1479" s="157" t="s">
        <v>4573</v>
      </c>
      <c r="G1479" s="157" t="s">
        <v>4574</v>
      </c>
      <c r="H1479" s="157"/>
      <c r="I1479" s="158">
        <v>17.96672</v>
      </c>
      <c r="J1479" s="158">
        <v>58.92093</v>
      </c>
      <c r="K1479" s="157" t="s">
        <v>4575</v>
      </c>
      <c r="L1479" s="157" t="s">
        <v>648</v>
      </c>
      <c r="M1479" s="158">
        <v>2022.0</v>
      </c>
      <c r="N1479" s="157" t="s">
        <v>547</v>
      </c>
      <c r="O1479" s="157" t="s">
        <v>2371</v>
      </c>
      <c r="P1479" s="161" t="b">
        <v>1</v>
      </c>
      <c r="Q1479" s="158">
        <v>0.112</v>
      </c>
      <c r="R1479" s="158">
        <v>0.0</v>
      </c>
      <c r="S1479" s="158">
        <v>0.112</v>
      </c>
      <c r="T1479" s="157" t="s">
        <v>547</v>
      </c>
      <c r="U1479" s="46" t="s">
        <v>651</v>
      </c>
      <c r="V1479" s="46" t="b">
        <v>1</v>
      </c>
      <c r="W1479" s="46">
        <v>0.95</v>
      </c>
      <c r="X1479" s="46">
        <v>0.0</v>
      </c>
      <c r="Y1479" s="46" t="s">
        <v>640</v>
      </c>
      <c r="Z1479" s="46" t="b">
        <v>0</v>
      </c>
      <c r="AA1479" s="46" t="b">
        <v>0</v>
      </c>
    </row>
    <row r="1480">
      <c r="A1480" s="157" t="s">
        <v>563</v>
      </c>
      <c r="B1480" s="158">
        <v>1.0</v>
      </c>
      <c r="C1480" s="157" t="s">
        <v>642</v>
      </c>
      <c r="D1480" s="157" t="s">
        <v>2370</v>
      </c>
      <c r="E1480" s="157" t="s">
        <v>2371</v>
      </c>
      <c r="F1480" s="157" t="s">
        <v>4576</v>
      </c>
      <c r="G1480" s="157" t="s">
        <v>4577</v>
      </c>
      <c r="H1480" s="157"/>
      <c r="I1480" s="158">
        <v>-1.354595</v>
      </c>
      <c r="J1480" s="158">
        <v>50.830601</v>
      </c>
      <c r="K1480" s="157" t="s">
        <v>4028</v>
      </c>
      <c r="L1480" s="157" t="s">
        <v>648</v>
      </c>
      <c r="M1480" s="158">
        <v>2019.0</v>
      </c>
      <c r="N1480" s="157" t="s">
        <v>547</v>
      </c>
      <c r="O1480" s="157" t="s">
        <v>2371</v>
      </c>
      <c r="P1480" s="161" t="b">
        <v>1</v>
      </c>
      <c r="Q1480" s="158">
        <v>3.2</v>
      </c>
      <c r="R1480" s="158">
        <v>0.0</v>
      </c>
      <c r="S1480" s="158">
        <v>3.2</v>
      </c>
      <c r="T1480" s="157" t="s">
        <v>547</v>
      </c>
      <c r="U1480" s="46" t="s">
        <v>651</v>
      </c>
      <c r="V1480" s="46" t="b">
        <v>1</v>
      </c>
      <c r="W1480" s="46">
        <v>0.95</v>
      </c>
      <c r="X1480" s="46">
        <v>0.0</v>
      </c>
      <c r="Y1480" s="46" t="s">
        <v>640</v>
      </c>
      <c r="Z1480" s="46" t="b">
        <v>0</v>
      </c>
      <c r="AA1480" s="46" t="b">
        <v>0</v>
      </c>
    </row>
    <row r="1481">
      <c r="A1481" s="157" t="s">
        <v>563</v>
      </c>
      <c r="B1481" s="158">
        <v>1.0</v>
      </c>
      <c r="C1481" s="157" t="s">
        <v>642</v>
      </c>
      <c r="D1481" s="157" t="s">
        <v>2370</v>
      </c>
      <c r="E1481" s="157" t="s">
        <v>2371</v>
      </c>
      <c r="F1481" s="157" t="s">
        <v>4578</v>
      </c>
      <c r="G1481" s="157" t="s">
        <v>4579</v>
      </c>
      <c r="H1481" s="157"/>
      <c r="I1481" s="158">
        <v>-5.02788</v>
      </c>
      <c r="J1481" s="158">
        <v>51.68669</v>
      </c>
      <c r="K1481" s="157" t="s">
        <v>4580</v>
      </c>
      <c r="L1481" s="157" t="s">
        <v>648</v>
      </c>
      <c r="M1481" s="158">
        <v>2019.0</v>
      </c>
      <c r="N1481" s="157" t="s">
        <v>547</v>
      </c>
      <c r="O1481" s="157" t="s">
        <v>2371</v>
      </c>
      <c r="P1481" s="161" t="b">
        <v>1</v>
      </c>
      <c r="Q1481" s="158">
        <v>2.16</v>
      </c>
      <c r="R1481" s="158">
        <v>0.0</v>
      </c>
      <c r="S1481" s="158">
        <v>2.16</v>
      </c>
      <c r="T1481" s="157" t="s">
        <v>547</v>
      </c>
      <c r="U1481" s="46" t="s">
        <v>651</v>
      </c>
      <c r="V1481" s="46" t="b">
        <v>1</v>
      </c>
      <c r="W1481" s="46">
        <v>0.95</v>
      </c>
      <c r="X1481" s="46">
        <v>0.0</v>
      </c>
      <c r="Y1481" s="46" t="s">
        <v>640</v>
      </c>
      <c r="Z1481" s="46" t="b">
        <v>0</v>
      </c>
      <c r="AA1481" s="46" t="b">
        <v>0</v>
      </c>
    </row>
    <row r="1482">
      <c r="A1482" s="157" t="s">
        <v>563</v>
      </c>
      <c r="B1482" s="158">
        <v>1.0</v>
      </c>
      <c r="C1482" s="157" t="s">
        <v>642</v>
      </c>
      <c r="D1482" s="157" t="s">
        <v>2370</v>
      </c>
      <c r="E1482" s="157" t="s">
        <v>2371</v>
      </c>
      <c r="F1482" s="157" t="s">
        <v>4581</v>
      </c>
      <c r="G1482" s="157" t="s">
        <v>4582</v>
      </c>
      <c r="H1482" s="157"/>
      <c r="I1482" s="158">
        <v>-2.8412063</v>
      </c>
      <c r="J1482" s="158">
        <v>53.273513</v>
      </c>
      <c r="K1482" s="157" t="s">
        <v>4583</v>
      </c>
      <c r="L1482" s="157" t="s">
        <v>648</v>
      </c>
      <c r="M1482" s="158">
        <v>2019.0</v>
      </c>
      <c r="N1482" s="157" t="s">
        <v>547</v>
      </c>
      <c r="O1482" s="157" t="s">
        <v>2371</v>
      </c>
      <c r="P1482" s="161" t="b">
        <v>1</v>
      </c>
      <c r="Q1482" s="158">
        <v>2.12</v>
      </c>
      <c r="R1482" s="158">
        <v>0.0</v>
      </c>
      <c r="S1482" s="158">
        <v>2.12</v>
      </c>
      <c r="T1482" s="157" t="s">
        <v>547</v>
      </c>
      <c r="U1482" s="46" t="s">
        <v>651</v>
      </c>
      <c r="V1482" s="46" t="b">
        <v>1</v>
      </c>
      <c r="W1482" s="46">
        <v>0.95</v>
      </c>
      <c r="X1482" s="46">
        <v>0.0</v>
      </c>
      <c r="Y1482" s="46">
        <v>0.72359062715354</v>
      </c>
      <c r="Z1482" s="46" t="b">
        <v>1</v>
      </c>
      <c r="AA1482" s="46" t="b">
        <v>1</v>
      </c>
    </row>
    <row r="1483">
      <c r="A1483" s="157" t="s">
        <v>563</v>
      </c>
      <c r="B1483" s="158">
        <v>1.0</v>
      </c>
      <c r="C1483" s="157" t="s">
        <v>642</v>
      </c>
      <c r="D1483" s="157" t="s">
        <v>2370</v>
      </c>
      <c r="E1483" s="157" t="s">
        <v>2371</v>
      </c>
      <c r="F1483" s="157" t="s">
        <v>4584</v>
      </c>
      <c r="G1483" s="157" t="s">
        <v>4585</v>
      </c>
      <c r="H1483" s="157"/>
      <c r="I1483" s="158">
        <v>-3.68694</v>
      </c>
      <c r="J1483" s="158">
        <v>56.02005</v>
      </c>
      <c r="K1483" s="157" t="s">
        <v>4586</v>
      </c>
      <c r="L1483" s="157" t="s">
        <v>648</v>
      </c>
      <c r="M1483" s="158">
        <v>2019.0</v>
      </c>
      <c r="N1483" s="157" t="s">
        <v>547</v>
      </c>
      <c r="O1483" s="157" t="s">
        <v>2371</v>
      </c>
      <c r="P1483" s="161" t="b">
        <v>1</v>
      </c>
      <c r="Q1483" s="158">
        <v>1.34</v>
      </c>
      <c r="R1483" s="158">
        <v>0.0</v>
      </c>
      <c r="S1483" s="158">
        <v>1.34</v>
      </c>
      <c r="T1483" s="157" t="s">
        <v>547</v>
      </c>
      <c r="U1483" s="46" t="s">
        <v>651</v>
      </c>
      <c r="V1483" s="46" t="b">
        <v>1</v>
      </c>
      <c r="W1483" s="46">
        <v>0.95</v>
      </c>
      <c r="X1483" s="46">
        <v>0.0</v>
      </c>
      <c r="Y1483" s="46">
        <v>3.15279245013297</v>
      </c>
      <c r="Z1483" s="46" t="b">
        <v>1</v>
      </c>
      <c r="AA1483" s="46" t="b">
        <v>1</v>
      </c>
    </row>
    <row r="1484">
      <c r="A1484" s="157" t="s">
        <v>563</v>
      </c>
      <c r="B1484" s="158">
        <v>1.0</v>
      </c>
      <c r="C1484" s="157" t="s">
        <v>642</v>
      </c>
      <c r="D1484" s="157" t="s">
        <v>2370</v>
      </c>
      <c r="E1484" s="157" t="s">
        <v>2371</v>
      </c>
      <c r="F1484" s="157" t="s">
        <v>4587</v>
      </c>
      <c r="G1484" s="157" t="s">
        <v>4588</v>
      </c>
      <c r="H1484" s="157"/>
      <c r="I1484" s="158">
        <v>-3.1841082</v>
      </c>
      <c r="J1484" s="158">
        <v>54.102414</v>
      </c>
      <c r="K1484" s="157" t="s">
        <v>4589</v>
      </c>
      <c r="L1484" s="157" t="s">
        <v>648</v>
      </c>
      <c r="M1484" s="158">
        <v>2019.0</v>
      </c>
      <c r="N1484" s="157" t="s">
        <v>547</v>
      </c>
      <c r="O1484" s="157" t="s">
        <v>2371</v>
      </c>
      <c r="P1484" s="161" t="b">
        <v>1</v>
      </c>
      <c r="Q1484" s="158">
        <v>0.494</v>
      </c>
      <c r="R1484" s="158">
        <v>0.0</v>
      </c>
      <c r="S1484" s="158">
        <v>0.494</v>
      </c>
      <c r="T1484" s="157" t="s">
        <v>547</v>
      </c>
      <c r="U1484" s="46" t="s">
        <v>651</v>
      </c>
      <c r="V1484" s="46" t="b">
        <v>1</v>
      </c>
      <c r="W1484" s="46">
        <v>0.95</v>
      </c>
      <c r="X1484" s="46">
        <v>0.0</v>
      </c>
      <c r="Y1484" s="46">
        <v>77.4568681806119</v>
      </c>
      <c r="Z1484" s="46" t="b">
        <v>0</v>
      </c>
      <c r="AA1484" s="46" t="b">
        <v>1</v>
      </c>
    </row>
    <row r="1485">
      <c r="A1485" s="157" t="s">
        <v>563</v>
      </c>
      <c r="B1485" s="158">
        <v>1.0</v>
      </c>
      <c r="C1485" s="157" t="s">
        <v>642</v>
      </c>
      <c r="D1485" s="157" t="s">
        <v>2370</v>
      </c>
      <c r="E1485" s="157" t="s">
        <v>2371</v>
      </c>
      <c r="F1485" s="157" t="s">
        <v>4590</v>
      </c>
      <c r="G1485" s="157" t="s">
        <v>4591</v>
      </c>
      <c r="H1485" s="157"/>
      <c r="I1485" s="158">
        <v>-3.67143</v>
      </c>
      <c r="J1485" s="158">
        <v>56.00597</v>
      </c>
      <c r="K1485" s="157" t="s">
        <v>4586</v>
      </c>
      <c r="L1485" s="157" t="s">
        <v>648</v>
      </c>
      <c r="M1485" s="158">
        <v>2019.0</v>
      </c>
      <c r="N1485" s="157" t="s">
        <v>547</v>
      </c>
      <c r="O1485" s="157" t="s">
        <v>2371</v>
      </c>
      <c r="P1485" s="161" t="b">
        <v>1</v>
      </c>
      <c r="Q1485" s="158">
        <v>0.345</v>
      </c>
      <c r="R1485" s="158">
        <v>0.0</v>
      </c>
      <c r="S1485" s="158">
        <v>0.345</v>
      </c>
      <c r="T1485" s="157" t="s">
        <v>547</v>
      </c>
      <c r="U1485" s="46" t="s">
        <v>651</v>
      </c>
      <c r="V1485" s="46" t="b">
        <v>1</v>
      </c>
      <c r="W1485" s="46">
        <v>0.95</v>
      </c>
      <c r="X1485" s="46">
        <v>0.0</v>
      </c>
      <c r="Y1485" s="46">
        <v>2.18672236458223</v>
      </c>
      <c r="Z1485" s="46" t="b">
        <v>1</v>
      </c>
      <c r="AA1485" s="46" t="b">
        <v>1</v>
      </c>
    </row>
    <row r="1486">
      <c r="A1486" s="157" t="s">
        <v>563</v>
      </c>
      <c r="B1486" s="158">
        <v>1.0</v>
      </c>
      <c r="C1486" s="157" t="s">
        <v>642</v>
      </c>
      <c r="D1486" s="157" t="s">
        <v>2370</v>
      </c>
      <c r="E1486" s="157" t="s">
        <v>2371</v>
      </c>
      <c r="F1486" s="157" t="s">
        <v>4592</v>
      </c>
      <c r="G1486" s="157" t="s">
        <v>4593</v>
      </c>
      <c r="H1486" s="157"/>
      <c r="I1486" s="158">
        <v>-1.84334</v>
      </c>
      <c r="J1486" s="158">
        <v>57.58006</v>
      </c>
      <c r="K1486" s="157" t="s">
        <v>4594</v>
      </c>
      <c r="L1486" s="157" t="s">
        <v>648</v>
      </c>
      <c r="M1486" s="158">
        <v>2019.0</v>
      </c>
      <c r="N1486" s="157" t="s">
        <v>547</v>
      </c>
      <c r="O1486" s="157" t="s">
        <v>2371</v>
      </c>
      <c r="P1486" s="161" t="b">
        <v>1</v>
      </c>
      <c r="Q1486" s="158">
        <v>0.303</v>
      </c>
      <c r="R1486" s="158">
        <v>0.0</v>
      </c>
      <c r="S1486" s="158">
        <v>0.303</v>
      </c>
      <c r="T1486" s="157" t="s">
        <v>547</v>
      </c>
      <c r="U1486" s="46" t="s">
        <v>651</v>
      </c>
      <c r="V1486" s="46" t="b">
        <v>1</v>
      </c>
      <c r="W1486" s="46">
        <v>0.95</v>
      </c>
      <c r="X1486" s="46">
        <v>0.0</v>
      </c>
      <c r="Y1486" s="46">
        <v>5.90807414910541</v>
      </c>
      <c r="Z1486" s="46" t="b">
        <v>1</v>
      </c>
      <c r="AA1486" s="46" t="b">
        <v>1</v>
      </c>
    </row>
    <row r="1487">
      <c r="A1487" s="157" t="s">
        <v>563</v>
      </c>
      <c r="B1487" s="158">
        <v>1.0</v>
      </c>
      <c r="C1487" s="157" t="s">
        <v>642</v>
      </c>
      <c r="D1487" s="157" t="s">
        <v>2370</v>
      </c>
      <c r="E1487" s="157" t="s">
        <v>2371</v>
      </c>
      <c r="F1487" s="157" t="s">
        <v>4595</v>
      </c>
      <c r="G1487" s="157" t="s">
        <v>4596</v>
      </c>
      <c r="H1487" s="157"/>
      <c r="I1487" s="158">
        <v>-1.1729941</v>
      </c>
      <c r="J1487" s="158">
        <v>54.620021</v>
      </c>
      <c r="K1487" s="157" t="s">
        <v>4597</v>
      </c>
      <c r="L1487" s="157" t="s">
        <v>648</v>
      </c>
      <c r="M1487" s="158">
        <v>2019.0</v>
      </c>
      <c r="N1487" s="157" t="s">
        <v>547</v>
      </c>
      <c r="O1487" s="157" t="s">
        <v>2371</v>
      </c>
      <c r="P1487" s="161" t="b">
        <v>1</v>
      </c>
      <c r="Q1487" s="158">
        <v>0.297</v>
      </c>
      <c r="R1487" s="158">
        <v>0.0</v>
      </c>
      <c r="S1487" s="158">
        <v>0.297</v>
      </c>
      <c r="T1487" s="157" t="s">
        <v>547</v>
      </c>
      <c r="U1487" s="46" t="s">
        <v>651</v>
      </c>
      <c r="V1487" s="46" t="b">
        <v>1</v>
      </c>
      <c r="W1487" s="46">
        <v>0.95</v>
      </c>
      <c r="X1487" s="46">
        <v>0.0</v>
      </c>
      <c r="Y1487" s="46">
        <v>15.4882281639104</v>
      </c>
      <c r="Z1487" s="46" t="b">
        <v>1</v>
      </c>
      <c r="AA1487" s="46" t="b">
        <v>1</v>
      </c>
    </row>
    <row r="1488">
      <c r="A1488" s="157" t="s">
        <v>563</v>
      </c>
      <c r="B1488" s="158">
        <v>1.0</v>
      </c>
      <c r="C1488" s="157" t="s">
        <v>642</v>
      </c>
      <c r="D1488" s="157" t="s">
        <v>2370</v>
      </c>
      <c r="E1488" s="157" t="s">
        <v>2371</v>
      </c>
      <c r="F1488" s="157" t="s">
        <v>4598</v>
      </c>
      <c r="G1488" s="157" t="s">
        <v>4599</v>
      </c>
      <c r="H1488" s="157"/>
      <c r="I1488" s="158">
        <v>0.11369477</v>
      </c>
      <c r="J1488" s="158">
        <v>53.660152</v>
      </c>
      <c r="K1488" s="157" t="s">
        <v>4600</v>
      </c>
      <c r="L1488" s="157" t="s">
        <v>648</v>
      </c>
      <c r="M1488" s="158">
        <v>2019.0</v>
      </c>
      <c r="N1488" s="157" t="s">
        <v>547</v>
      </c>
      <c r="O1488" s="157" t="s">
        <v>2371</v>
      </c>
      <c r="P1488" s="161" t="b">
        <v>1</v>
      </c>
      <c r="Q1488" s="158">
        <v>0.127</v>
      </c>
      <c r="R1488" s="158">
        <v>0.0</v>
      </c>
      <c r="S1488" s="158">
        <v>0.127</v>
      </c>
      <c r="T1488" s="157" t="s">
        <v>547</v>
      </c>
      <c r="U1488" s="46" t="s">
        <v>651</v>
      </c>
      <c r="V1488" s="46" t="b">
        <v>1</v>
      </c>
      <c r="W1488" s="46">
        <v>0.95</v>
      </c>
      <c r="X1488" s="46">
        <v>0.0</v>
      </c>
      <c r="Y1488" s="46">
        <v>2.69076226576246</v>
      </c>
      <c r="Z1488" s="46" t="b">
        <v>1</v>
      </c>
      <c r="AA1488" s="46" t="b">
        <v>1</v>
      </c>
    </row>
    <row r="1489">
      <c r="A1489" s="157" t="s">
        <v>563</v>
      </c>
      <c r="B1489" s="158">
        <v>1.0</v>
      </c>
      <c r="C1489" s="157" t="s">
        <v>642</v>
      </c>
      <c r="D1489" s="157" t="s">
        <v>2370</v>
      </c>
      <c r="E1489" s="157" t="s">
        <v>2371</v>
      </c>
      <c r="F1489" s="157" t="s">
        <v>4601</v>
      </c>
      <c r="G1489" s="157" t="s">
        <v>4602</v>
      </c>
      <c r="H1489" s="157"/>
      <c r="I1489" s="158">
        <v>-3.12212</v>
      </c>
      <c r="J1489" s="158">
        <v>58.83599</v>
      </c>
      <c r="K1489" s="157" t="s">
        <v>4603</v>
      </c>
      <c r="L1489" s="157" t="s">
        <v>648</v>
      </c>
      <c r="M1489" s="158">
        <v>2019.0</v>
      </c>
      <c r="N1489" s="157" t="s">
        <v>547</v>
      </c>
      <c r="O1489" s="157" t="s">
        <v>2371</v>
      </c>
      <c r="P1489" s="161" t="b">
        <v>1</v>
      </c>
      <c r="Q1489" s="158">
        <v>0.112</v>
      </c>
      <c r="R1489" s="158">
        <v>0.0</v>
      </c>
      <c r="S1489" s="158">
        <v>0.112</v>
      </c>
      <c r="T1489" s="157" t="s">
        <v>547</v>
      </c>
      <c r="U1489" s="46" t="s">
        <v>651</v>
      </c>
      <c r="V1489" s="46" t="b">
        <v>1</v>
      </c>
      <c r="W1489" s="46">
        <v>0.95</v>
      </c>
      <c r="X1489" s="46">
        <v>0.0</v>
      </c>
      <c r="Y1489" s="46">
        <v>164.490813539619</v>
      </c>
      <c r="Z1489" s="46" t="b">
        <v>0</v>
      </c>
      <c r="AA1489" s="46" t="b">
        <v>0</v>
      </c>
    </row>
    <row r="1490">
      <c r="A1490" s="157" t="s">
        <v>563</v>
      </c>
      <c r="B1490" s="158">
        <v>1.0</v>
      </c>
      <c r="C1490" s="157" t="s">
        <v>642</v>
      </c>
      <c r="D1490" s="157" t="s">
        <v>2370</v>
      </c>
      <c r="E1490" s="157" t="s">
        <v>2371</v>
      </c>
      <c r="F1490" s="157" t="s">
        <v>4604</v>
      </c>
      <c r="G1490" s="157" t="s">
        <v>4605</v>
      </c>
      <c r="H1490" s="157"/>
      <c r="I1490" s="158">
        <v>1.4649647</v>
      </c>
      <c r="J1490" s="158">
        <v>52.858539</v>
      </c>
      <c r="K1490" s="157" t="s">
        <v>4606</v>
      </c>
      <c r="L1490" s="157" t="s">
        <v>648</v>
      </c>
      <c r="M1490" s="158">
        <v>2019.0</v>
      </c>
      <c r="N1490" s="157" t="s">
        <v>547</v>
      </c>
      <c r="O1490" s="157" t="s">
        <v>2371</v>
      </c>
      <c r="P1490" s="161" t="b">
        <v>1</v>
      </c>
      <c r="Q1490" s="158">
        <v>0.102</v>
      </c>
      <c r="R1490" s="158">
        <v>0.0</v>
      </c>
      <c r="S1490" s="158">
        <v>0.102</v>
      </c>
      <c r="T1490" s="157" t="s">
        <v>547</v>
      </c>
      <c r="U1490" s="46" t="s">
        <v>651</v>
      </c>
      <c r="V1490" s="46" t="b">
        <v>1</v>
      </c>
      <c r="W1490" s="46">
        <v>0.95</v>
      </c>
      <c r="X1490" s="46">
        <v>0.0</v>
      </c>
      <c r="Y1490" s="46">
        <v>68.2781758016102</v>
      </c>
      <c r="Z1490" s="46" t="b">
        <v>0</v>
      </c>
      <c r="AA1490" s="46" t="b">
        <v>1</v>
      </c>
    </row>
    <row r="1491">
      <c r="A1491" s="157" t="s">
        <v>567</v>
      </c>
      <c r="B1491" s="158">
        <v>1.0</v>
      </c>
      <c r="C1491" s="157" t="s">
        <v>642</v>
      </c>
      <c r="D1491" s="157" t="s">
        <v>2370</v>
      </c>
      <c r="E1491" s="157" t="s">
        <v>2371</v>
      </c>
      <c r="F1491" s="157" t="s">
        <v>4607</v>
      </c>
      <c r="G1491" s="157" t="s">
        <v>4608</v>
      </c>
      <c r="H1491" s="157"/>
      <c r="I1491" s="158">
        <v>5.033256</v>
      </c>
      <c r="J1491" s="158">
        <v>60.8149376</v>
      </c>
      <c r="K1491" s="157" t="s">
        <v>4609</v>
      </c>
      <c r="L1491" s="157" t="s">
        <v>648</v>
      </c>
      <c r="M1491" s="158">
        <v>2017.0</v>
      </c>
      <c r="N1491" s="157" t="s">
        <v>547</v>
      </c>
      <c r="O1491" s="157" t="s">
        <v>2371</v>
      </c>
      <c r="P1491" s="161" t="b">
        <v>1</v>
      </c>
      <c r="Q1491" s="158">
        <v>2.36</v>
      </c>
      <c r="R1491" s="158">
        <v>0.0</v>
      </c>
      <c r="S1491" s="158">
        <v>2.36</v>
      </c>
      <c r="T1491" s="157" t="s">
        <v>547</v>
      </c>
      <c r="U1491" s="46" t="s">
        <v>651</v>
      </c>
      <c r="V1491" s="46" t="b">
        <v>1</v>
      </c>
      <c r="W1491" s="46">
        <v>0.95</v>
      </c>
      <c r="X1491" s="46">
        <v>0.0</v>
      </c>
      <c r="Y1491" s="46">
        <v>32.5152067348409</v>
      </c>
      <c r="Z1491" s="46" t="b">
        <v>1</v>
      </c>
      <c r="AA1491" s="46" t="b">
        <v>1</v>
      </c>
    </row>
    <row r="1492">
      <c r="A1492" s="157" t="s">
        <v>567</v>
      </c>
      <c r="B1492" s="158">
        <v>1.0</v>
      </c>
      <c r="C1492" s="157" t="s">
        <v>642</v>
      </c>
      <c r="D1492" s="157" t="s">
        <v>2370</v>
      </c>
      <c r="E1492" s="157" t="s">
        <v>2371</v>
      </c>
      <c r="F1492" s="157" t="s">
        <v>4610</v>
      </c>
      <c r="G1492" s="157" t="s">
        <v>4611</v>
      </c>
      <c r="H1492" s="157"/>
      <c r="I1492" s="158">
        <v>5.512849</v>
      </c>
      <c r="J1492" s="158">
        <v>59.27473</v>
      </c>
      <c r="K1492" s="157" t="s">
        <v>4612</v>
      </c>
      <c r="L1492" s="157" t="s">
        <v>648</v>
      </c>
      <c r="M1492" s="158">
        <v>2017.0</v>
      </c>
      <c r="N1492" s="157" t="s">
        <v>547</v>
      </c>
      <c r="O1492" s="157" t="s">
        <v>2371</v>
      </c>
      <c r="P1492" s="161" t="b">
        <v>1</v>
      </c>
      <c r="Q1492" s="158">
        <v>1.21</v>
      </c>
      <c r="R1492" s="158">
        <v>0.0</v>
      </c>
      <c r="S1492" s="158">
        <v>1.21</v>
      </c>
      <c r="T1492" s="157" t="s">
        <v>547</v>
      </c>
      <c r="U1492" s="46" t="s">
        <v>651</v>
      </c>
      <c r="V1492" s="46" t="b">
        <v>1</v>
      </c>
      <c r="W1492" s="46">
        <v>0.95</v>
      </c>
      <c r="X1492" s="46">
        <v>0.0</v>
      </c>
      <c r="Y1492" s="46">
        <v>85.3642846620646</v>
      </c>
      <c r="Z1492" s="46" t="b">
        <v>0</v>
      </c>
      <c r="AA1492" s="46" t="b">
        <v>1</v>
      </c>
    </row>
    <row r="1493">
      <c r="A1493" s="157" t="s">
        <v>567</v>
      </c>
      <c r="B1493" s="158">
        <v>1.0</v>
      </c>
      <c r="C1493" s="157" t="s">
        <v>642</v>
      </c>
      <c r="D1493" s="157" t="s">
        <v>2370</v>
      </c>
      <c r="E1493" s="157" t="s">
        <v>2371</v>
      </c>
      <c r="F1493" s="157" t="s">
        <v>4613</v>
      </c>
      <c r="G1493" s="157" t="s">
        <v>4614</v>
      </c>
      <c r="H1493" s="157"/>
      <c r="I1493" s="158">
        <v>23.602005</v>
      </c>
      <c r="J1493" s="158">
        <v>70.69107</v>
      </c>
      <c r="K1493" s="157" t="s">
        <v>4615</v>
      </c>
      <c r="L1493" s="157" t="s">
        <v>648</v>
      </c>
      <c r="M1493" s="158">
        <v>2017.0</v>
      </c>
      <c r="N1493" s="157" t="s">
        <v>547</v>
      </c>
      <c r="O1493" s="157" t="s">
        <v>2371</v>
      </c>
      <c r="P1493" s="161" t="b">
        <v>1</v>
      </c>
      <c r="Q1493" s="158">
        <v>0.997</v>
      </c>
      <c r="R1493" s="158">
        <v>0.0</v>
      </c>
      <c r="S1493" s="158">
        <v>0.997</v>
      </c>
      <c r="T1493" s="157" t="s">
        <v>547</v>
      </c>
      <c r="U1493" s="46" t="s">
        <v>651</v>
      </c>
      <c r="V1493" s="46" t="b">
        <v>1</v>
      </c>
      <c r="W1493" s="46">
        <v>0.95</v>
      </c>
      <c r="X1493" s="46">
        <v>0.0</v>
      </c>
      <c r="Y1493" s="46" t="s">
        <v>640</v>
      </c>
      <c r="Z1493" s="46" t="b">
        <v>0</v>
      </c>
      <c r="AA1493" s="46" t="b">
        <v>0</v>
      </c>
    </row>
    <row r="1494">
      <c r="A1494" s="157" t="s">
        <v>567</v>
      </c>
      <c r="B1494" s="158">
        <v>1.0</v>
      </c>
      <c r="C1494" s="157" t="s">
        <v>642</v>
      </c>
      <c r="D1494" s="157" t="s">
        <v>2370</v>
      </c>
      <c r="E1494" s="157" t="s">
        <v>2371</v>
      </c>
      <c r="F1494" s="157" t="s">
        <v>4616</v>
      </c>
      <c r="G1494" s="157" t="s">
        <v>4617</v>
      </c>
      <c r="H1494" s="157"/>
      <c r="I1494" s="158">
        <v>10.5136118</v>
      </c>
      <c r="J1494" s="158">
        <v>59.3211441</v>
      </c>
      <c r="K1494" s="157" t="s">
        <v>4618</v>
      </c>
      <c r="L1494" s="157" t="s">
        <v>648</v>
      </c>
      <c r="M1494" s="158">
        <v>2017.0</v>
      </c>
      <c r="N1494" s="157" t="s">
        <v>547</v>
      </c>
      <c r="O1494" s="157" t="s">
        <v>2371</v>
      </c>
      <c r="P1494" s="161" t="b">
        <v>1</v>
      </c>
      <c r="Q1494" s="158">
        <v>0.33</v>
      </c>
      <c r="R1494" s="158">
        <v>0.0</v>
      </c>
      <c r="S1494" s="158">
        <v>0.33</v>
      </c>
      <c r="T1494" s="157" t="s">
        <v>547</v>
      </c>
      <c r="U1494" s="46" t="s">
        <v>651</v>
      </c>
      <c r="V1494" s="46" t="b">
        <v>1</v>
      </c>
      <c r="W1494" s="46">
        <v>0.95</v>
      </c>
      <c r="X1494" s="46">
        <v>0.0</v>
      </c>
      <c r="Y1494" s="46" t="s">
        <v>640</v>
      </c>
      <c r="Z1494" s="46" t="b">
        <v>0</v>
      </c>
      <c r="AA1494" s="46" t="b">
        <v>0</v>
      </c>
    </row>
    <row r="1495">
      <c r="A1495" s="157" t="s">
        <v>557</v>
      </c>
      <c r="B1495" s="158">
        <v>2.0</v>
      </c>
      <c r="C1495" s="157" t="s">
        <v>916</v>
      </c>
      <c r="D1495" s="157" t="s">
        <v>1203</v>
      </c>
      <c r="E1495" s="157" t="s">
        <v>1204</v>
      </c>
      <c r="F1495" s="162" t="s">
        <v>4619</v>
      </c>
      <c r="G1495" s="157" t="s">
        <v>4620</v>
      </c>
      <c r="H1495" s="157"/>
      <c r="I1495" s="158">
        <v>6.78060280078902</v>
      </c>
      <c r="J1495" s="158">
        <v>51.1518750785208</v>
      </c>
      <c r="K1495" s="157" t="s">
        <v>4621</v>
      </c>
      <c r="L1495" s="157" t="s">
        <v>648</v>
      </c>
      <c r="M1495" s="158">
        <v>2022.0</v>
      </c>
      <c r="N1495" s="157" t="s">
        <v>549</v>
      </c>
      <c r="O1495" s="157" t="s">
        <v>1208</v>
      </c>
      <c r="P1495" s="161" t="b">
        <v>1</v>
      </c>
      <c r="Q1495" s="158">
        <v>0.262</v>
      </c>
      <c r="R1495" s="158">
        <v>0.0</v>
      </c>
      <c r="S1495" s="158">
        <v>0.262</v>
      </c>
      <c r="T1495" s="157" t="s">
        <v>549</v>
      </c>
      <c r="U1495" s="46" t="s">
        <v>651</v>
      </c>
      <c r="V1495" s="46" t="b">
        <v>1</v>
      </c>
      <c r="W1495" s="46">
        <v>0.95</v>
      </c>
      <c r="X1495" s="46">
        <v>0.0</v>
      </c>
      <c r="Y1495" s="46">
        <v>0.621474857290345</v>
      </c>
      <c r="Z1495" s="46" t="b">
        <v>1</v>
      </c>
      <c r="AA1495" s="46" t="b">
        <v>1</v>
      </c>
    </row>
    <row r="1496">
      <c r="A1496" s="157" t="s">
        <v>557</v>
      </c>
      <c r="B1496" s="158">
        <v>2.0</v>
      </c>
      <c r="C1496" s="157" t="s">
        <v>916</v>
      </c>
      <c r="D1496" s="157" t="s">
        <v>1203</v>
      </c>
      <c r="E1496" s="157" t="s">
        <v>1204</v>
      </c>
      <c r="F1496" s="162" t="s">
        <v>4622</v>
      </c>
      <c r="G1496" s="157" t="s">
        <v>4623</v>
      </c>
      <c r="H1496" s="157"/>
      <c r="I1496" s="158">
        <v>10.0349698471195</v>
      </c>
      <c r="J1496" s="158">
        <v>53.5179853319104</v>
      </c>
      <c r="K1496" s="157" t="s">
        <v>903</v>
      </c>
      <c r="L1496" s="157" t="s">
        <v>648</v>
      </c>
      <c r="M1496" s="158">
        <v>2022.0</v>
      </c>
      <c r="N1496" s="157" t="s">
        <v>549</v>
      </c>
      <c r="O1496" s="157" t="s">
        <v>1208</v>
      </c>
      <c r="P1496" s="161" t="b">
        <v>1</v>
      </c>
      <c r="Q1496" s="158">
        <v>0.155</v>
      </c>
      <c r="R1496" s="158">
        <v>0.0</v>
      </c>
      <c r="S1496" s="158">
        <v>0.155</v>
      </c>
      <c r="T1496" s="157" t="s">
        <v>549</v>
      </c>
      <c r="U1496" s="46" t="s">
        <v>651</v>
      </c>
      <c r="V1496" s="46" t="b">
        <v>1</v>
      </c>
      <c r="W1496" s="46">
        <v>0.95</v>
      </c>
      <c r="X1496" s="46">
        <v>0.0</v>
      </c>
      <c r="Y1496" s="46">
        <v>4.93247018774859</v>
      </c>
      <c r="Z1496" s="46" t="b">
        <v>1</v>
      </c>
      <c r="AA1496" s="46" t="b">
        <v>1</v>
      </c>
    </row>
    <row r="1497">
      <c r="A1497" s="157" t="s">
        <v>557</v>
      </c>
      <c r="B1497" s="158">
        <v>2.0</v>
      </c>
      <c r="C1497" s="157" t="s">
        <v>916</v>
      </c>
      <c r="D1497" s="157" t="s">
        <v>1203</v>
      </c>
      <c r="E1497" s="157" t="s">
        <v>1204</v>
      </c>
      <c r="F1497" s="162" t="s">
        <v>4624</v>
      </c>
      <c r="G1497" s="157" t="s">
        <v>4623</v>
      </c>
      <c r="H1497" s="157"/>
      <c r="I1497" s="158">
        <v>7.50803445438934</v>
      </c>
      <c r="J1497" s="158">
        <v>51.6065908206215</v>
      </c>
      <c r="K1497" s="157" t="s">
        <v>1535</v>
      </c>
      <c r="L1497" s="157" t="s">
        <v>648</v>
      </c>
      <c r="M1497" s="158">
        <v>2022.0</v>
      </c>
      <c r="N1497" s="157" t="s">
        <v>549</v>
      </c>
      <c r="O1497" s="157" t="s">
        <v>1208</v>
      </c>
      <c r="P1497" s="161" t="b">
        <v>1</v>
      </c>
      <c r="Q1497" s="158">
        <v>0.154</v>
      </c>
      <c r="R1497" s="158">
        <v>0.0</v>
      </c>
      <c r="S1497" s="158">
        <v>0.154</v>
      </c>
      <c r="T1497" s="157" t="s">
        <v>549</v>
      </c>
      <c r="U1497" s="46" t="s">
        <v>651</v>
      </c>
      <c r="V1497" s="46" t="b">
        <v>1</v>
      </c>
      <c r="W1497" s="46">
        <v>0.95</v>
      </c>
      <c r="X1497" s="46">
        <v>0.0</v>
      </c>
      <c r="Y1497" s="46">
        <v>1.57569557022676</v>
      </c>
      <c r="Z1497" s="46" t="b">
        <v>1</v>
      </c>
      <c r="AA1497" s="46" t="b">
        <v>1</v>
      </c>
    </row>
    <row r="1498">
      <c r="A1498" s="157" t="s">
        <v>557</v>
      </c>
      <c r="B1498" s="158">
        <v>2.0</v>
      </c>
      <c r="C1498" s="157" t="s">
        <v>916</v>
      </c>
      <c r="D1498" s="157" t="s">
        <v>1203</v>
      </c>
      <c r="E1498" s="157" t="s">
        <v>1204</v>
      </c>
      <c r="F1498" s="162" t="s">
        <v>4625</v>
      </c>
      <c r="G1498" s="157" t="s">
        <v>4626</v>
      </c>
      <c r="H1498" s="157"/>
      <c r="I1498" s="158">
        <v>9.88720980155128</v>
      </c>
      <c r="J1498" s="158">
        <v>53.51239548</v>
      </c>
      <c r="K1498" s="157" t="s">
        <v>903</v>
      </c>
      <c r="L1498" s="157" t="s">
        <v>648</v>
      </c>
      <c r="M1498" s="158">
        <v>2022.0</v>
      </c>
      <c r="N1498" s="157" t="s">
        <v>549</v>
      </c>
      <c r="O1498" s="157" t="s">
        <v>1208</v>
      </c>
      <c r="P1498" s="161" t="b">
        <v>1</v>
      </c>
      <c r="Q1498" s="158">
        <v>0.139</v>
      </c>
      <c r="R1498" s="158">
        <v>0.0</v>
      </c>
      <c r="S1498" s="158">
        <v>0.139</v>
      </c>
      <c r="T1498" s="157" t="s">
        <v>549</v>
      </c>
      <c r="U1498" s="46" t="s">
        <v>651</v>
      </c>
      <c r="V1498" s="46" t="b">
        <v>1</v>
      </c>
      <c r="W1498" s="46">
        <v>0.95</v>
      </c>
      <c r="X1498" s="46">
        <v>0.0</v>
      </c>
      <c r="Y1498" s="46">
        <v>5.49981702328746</v>
      </c>
      <c r="Z1498" s="46" t="b">
        <v>1</v>
      </c>
      <c r="AA1498" s="46" t="b">
        <v>1</v>
      </c>
    </row>
    <row r="1499">
      <c r="A1499" s="157" t="s">
        <v>557</v>
      </c>
      <c r="B1499" s="158">
        <v>2.0</v>
      </c>
      <c r="C1499" s="157" t="s">
        <v>916</v>
      </c>
      <c r="D1499" s="157" t="s">
        <v>3294</v>
      </c>
      <c r="E1499" s="157" t="s">
        <v>3295</v>
      </c>
      <c r="F1499" s="162" t="s">
        <v>4627</v>
      </c>
      <c r="G1499" s="157" t="s">
        <v>4628</v>
      </c>
      <c r="H1499" s="157"/>
      <c r="I1499" s="158">
        <v>6.7697156550606</v>
      </c>
      <c r="J1499" s="158">
        <v>51.1504897264693</v>
      </c>
      <c r="K1499" s="157" t="s">
        <v>4621</v>
      </c>
      <c r="L1499" s="157" t="s">
        <v>648</v>
      </c>
      <c r="M1499" s="158">
        <v>2022.0</v>
      </c>
      <c r="N1499" s="157" t="s">
        <v>549</v>
      </c>
      <c r="O1499" s="157" t="s">
        <v>1208</v>
      </c>
      <c r="P1499" s="161" t="b">
        <v>1</v>
      </c>
      <c r="Q1499" s="158">
        <v>0.138</v>
      </c>
      <c r="R1499" s="158">
        <v>0.0</v>
      </c>
      <c r="S1499" s="158">
        <v>0.138</v>
      </c>
      <c r="T1499" s="157" t="s">
        <v>549</v>
      </c>
      <c r="U1499" s="46" t="s">
        <v>651</v>
      </c>
      <c r="V1499" s="46" t="b">
        <v>1</v>
      </c>
      <c r="W1499" s="46">
        <v>0.95</v>
      </c>
      <c r="X1499" s="46">
        <v>0.0</v>
      </c>
      <c r="Y1499" s="46">
        <v>0.148972063431512</v>
      </c>
      <c r="Z1499" s="46" t="b">
        <v>1</v>
      </c>
      <c r="AA1499" s="46" t="b">
        <v>1</v>
      </c>
    </row>
    <row r="1500">
      <c r="A1500" s="157" t="s">
        <v>557</v>
      </c>
      <c r="B1500" s="158">
        <v>2.0</v>
      </c>
      <c r="C1500" s="157" t="s">
        <v>916</v>
      </c>
      <c r="D1500" s="157" t="s">
        <v>1203</v>
      </c>
      <c r="E1500" s="157" t="s">
        <v>1204</v>
      </c>
      <c r="F1500" s="162" t="s">
        <v>4629</v>
      </c>
      <c r="G1500" s="157" t="s">
        <v>4630</v>
      </c>
      <c r="H1500" s="157"/>
      <c r="I1500" s="158">
        <v>6.9681697478088</v>
      </c>
      <c r="J1500" s="158">
        <v>51.4900491737932</v>
      </c>
      <c r="K1500" s="157" t="s">
        <v>888</v>
      </c>
      <c r="L1500" s="157" t="s">
        <v>648</v>
      </c>
      <c r="M1500" s="158">
        <v>2022.0</v>
      </c>
      <c r="N1500" s="157" t="s">
        <v>549</v>
      </c>
      <c r="O1500" s="157" t="s">
        <v>1208</v>
      </c>
      <c r="P1500" s="161" t="b">
        <v>1</v>
      </c>
      <c r="Q1500" s="158">
        <v>0.135</v>
      </c>
      <c r="R1500" s="158">
        <v>0.0</v>
      </c>
      <c r="S1500" s="158">
        <v>0.135</v>
      </c>
      <c r="T1500" s="157" t="s">
        <v>549</v>
      </c>
      <c r="U1500" s="46" t="s">
        <v>651</v>
      </c>
      <c r="V1500" s="46" t="b">
        <v>1</v>
      </c>
      <c r="W1500" s="46">
        <v>0.95</v>
      </c>
      <c r="X1500" s="46">
        <v>0.0</v>
      </c>
      <c r="Y1500" s="46">
        <v>8.28152613367159</v>
      </c>
      <c r="Z1500" s="46" t="b">
        <v>1</v>
      </c>
      <c r="AA1500" s="46" t="b">
        <v>1</v>
      </c>
    </row>
    <row r="1501">
      <c r="A1501" s="157" t="s">
        <v>576</v>
      </c>
      <c r="B1501" s="158">
        <v>2.0</v>
      </c>
      <c r="C1501" s="157" t="s">
        <v>916</v>
      </c>
      <c r="D1501" s="157" t="s">
        <v>1203</v>
      </c>
      <c r="E1501" s="157" t="s">
        <v>1204</v>
      </c>
      <c r="F1501" s="157" t="s">
        <v>4631</v>
      </c>
      <c r="G1501" s="157" t="s">
        <v>4632</v>
      </c>
      <c r="H1501" s="157"/>
      <c r="I1501" s="158">
        <v>24.3902516</v>
      </c>
      <c r="J1501" s="158">
        <v>44.4458066</v>
      </c>
      <c r="K1501" s="157" t="s">
        <v>4633</v>
      </c>
      <c r="L1501" s="157" t="s">
        <v>648</v>
      </c>
      <c r="M1501" s="158">
        <v>2022.0</v>
      </c>
      <c r="N1501" s="157" t="s">
        <v>549</v>
      </c>
      <c r="O1501" s="157" t="s">
        <v>1208</v>
      </c>
      <c r="P1501" s="161" t="b">
        <v>1</v>
      </c>
      <c r="Q1501" s="158">
        <v>0.166</v>
      </c>
      <c r="R1501" s="158">
        <v>0.0</v>
      </c>
      <c r="S1501" s="158">
        <v>0.166</v>
      </c>
      <c r="T1501" s="157" t="s">
        <v>549</v>
      </c>
      <c r="U1501" s="46" t="s">
        <v>651</v>
      </c>
      <c r="V1501" s="46" t="b">
        <v>1</v>
      </c>
      <c r="W1501" s="46">
        <v>0.95</v>
      </c>
      <c r="X1501" s="46">
        <v>0.0</v>
      </c>
      <c r="Y1501" s="46" t="s">
        <v>640</v>
      </c>
      <c r="Z1501" s="46" t="b">
        <v>0</v>
      </c>
      <c r="AA1501" s="46" t="b">
        <v>0</v>
      </c>
    </row>
    <row r="1502">
      <c r="A1502" s="157" t="s">
        <v>577</v>
      </c>
      <c r="B1502" s="158">
        <v>2.0</v>
      </c>
      <c r="C1502" s="157" t="s">
        <v>916</v>
      </c>
      <c r="D1502" s="157" t="s">
        <v>1203</v>
      </c>
      <c r="E1502" s="157" t="s">
        <v>1204</v>
      </c>
      <c r="F1502" s="157" t="s">
        <v>4634</v>
      </c>
      <c r="G1502" s="157" t="s">
        <v>4635</v>
      </c>
      <c r="H1502" s="157"/>
      <c r="I1502" s="158">
        <v>15.790806</v>
      </c>
      <c r="J1502" s="158">
        <v>46.393036</v>
      </c>
      <c r="K1502" s="157" t="s">
        <v>4636</v>
      </c>
      <c r="L1502" s="157" t="s">
        <v>648</v>
      </c>
      <c r="M1502" s="158">
        <v>2022.0</v>
      </c>
      <c r="N1502" s="157" t="s">
        <v>549</v>
      </c>
      <c r="O1502" s="157" t="s">
        <v>1208</v>
      </c>
      <c r="P1502" s="161" t="b">
        <v>1</v>
      </c>
      <c r="Q1502" s="158">
        <v>0.069091</v>
      </c>
      <c r="R1502" s="158">
        <v>0.0</v>
      </c>
      <c r="S1502" s="158">
        <v>0.069091</v>
      </c>
      <c r="T1502" s="157" t="s">
        <v>549</v>
      </c>
      <c r="U1502" s="46" t="s">
        <v>651</v>
      </c>
      <c r="V1502" s="46" t="b">
        <v>0</v>
      </c>
      <c r="W1502" s="46">
        <v>0.95</v>
      </c>
      <c r="X1502" s="46">
        <v>0.0</v>
      </c>
      <c r="Y1502" s="46" t="s">
        <v>640</v>
      </c>
      <c r="Z1502" s="46" t="b">
        <v>0</v>
      </c>
      <c r="AA1502" s="46" t="b">
        <v>0</v>
      </c>
    </row>
    <row r="1503">
      <c r="A1503" s="157" t="s">
        <v>554</v>
      </c>
      <c r="B1503" s="158">
        <v>2.0</v>
      </c>
      <c r="C1503" s="157" t="s">
        <v>916</v>
      </c>
      <c r="D1503" s="157" t="s">
        <v>3294</v>
      </c>
      <c r="E1503" s="157" t="s">
        <v>3295</v>
      </c>
      <c r="F1503" s="157" t="s">
        <v>4637</v>
      </c>
      <c r="G1503" s="157" t="s">
        <v>4638</v>
      </c>
      <c r="H1503" s="157"/>
      <c r="I1503" s="158">
        <v>12.3793</v>
      </c>
      <c r="J1503" s="158">
        <v>58.35859</v>
      </c>
      <c r="K1503" s="157" t="s">
        <v>4639</v>
      </c>
      <c r="L1503" s="157" t="s">
        <v>648</v>
      </c>
      <c r="M1503" s="158">
        <v>2022.0</v>
      </c>
      <c r="N1503" s="157" t="s">
        <v>549</v>
      </c>
      <c r="O1503" s="157" t="s">
        <v>1208</v>
      </c>
      <c r="P1503" s="161" t="b">
        <v>1</v>
      </c>
      <c r="Q1503" s="158">
        <v>0.197</v>
      </c>
      <c r="R1503" s="158">
        <v>0.0</v>
      </c>
      <c r="S1503" s="158">
        <v>0.197</v>
      </c>
      <c r="T1503" s="157" t="s">
        <v>549</v>
      </c>
      <c r="U1503" s="46" t="s">
        <v>651</v>
      </c>
      <c r="V1503" s="46" t="b">
        <v>1</v>
      </c>
      <c r="W1503" s="46">
        <v>0.95</v>
      </c>
      <c r="X1503" s="46">
        <v>0.0</v>
      </c>
      <c r="Y1503" s="46" t="s">
        <v>640</v>
      </c>
      <c r="Z1503" s="46" t="b">
        <v>0</v>
      </c>
      <c r="AA1503" s="46" t="b">
        <v>0</v>
      </c>
    </row>
    <row r="1504">
      <c r="A1504" s="157" t="s">
        <v>554</v>
      </c>
      <c r="B1504" s="158">
        <v>2.0</v>
      </c>
      <c r="C1504" s="157" t="s">
        <v>916</v>
      </c>
      <c r="D1504" s="157" t="s">
        <v>1203</v>
      </c>
      <c r="E1504" s="157" t="s">
        <v>1204</v>
      </c>
      <c r="F1504" s="157" t="s">
        <v>4640</v>
      </c>
      <c r="G1504" s="157" t="s">
        <v>4641</v>
      </c>
      <c r="H1504" s="157"/>
      <c r="I1504" s="158">
        <v>17.36375</v>
      </c>
      <c r="J1504" s="158">
        <v>62.37568</v>
      </c>
      <c r="K1504" s="157" t="s">
        <v>1422</v>
      </c>
      <c r="L1504" s="157" t="s">
        <v>648</v>
      </c>
      <c r="M1504" s="158">
        <v>2022.0</v>
      </c>
      <c r="N1504" s="157" t="s">
        <v>549</v>
      </c>
      <c r="O1504" s="157" t="s">
        <v>1208</v>
      </c>
      <c r="P1504" s="161" t="b">
        <v>1</v>
      </c>
      <c r="Q1504" s="158">
        <v>0.184</v>
      </c>
      <c r="R1504" s="158">
        <v>0.0</v>
      </c>
      <c r="S1504" s="158">
        <v>0.184</v>
      </c>
      <c r="T1504" s="157" t="s">
        <v>549</v>
      </c>
      <c r="U1504" s="46" t="s">
        <v>651</v>
      </c>
      <c r="V1504" s="46" t="b">
        <v>1</v>
      </c>
      <c r="W1504" s="46">
        <v>0.95</v>
      </c>
      <c r="X1504" s="46">
        <v>0.0</v>
      </c>
      <c r="Y1504" s="46" t="s">
        <v>640</v>
      </c>
      <c r="Z1504" s="46" t="b">
        <v>0</v>
      </c>
      <c r="AA1504" s="46" t="b">
        <v>0</v>
      </c>
    </row>
    <row r="1505">
      <c r="A1505" s="157" t="s">
        <v>567</v>
      </c>
      <c r="B1505" s="158">
        <v>2.0</v>
      </c>
      <c r="C1505" s="157" t="s">
        <v>916</v>
      </c>
      <c r="D1505" s="157" t="s">
        <v>1203</v>
      </c>
      <c r="E1505" s="157" t="s">
        <v>1204</v>
      </c>
      <c r="F1505" s="157" t="s">
        <v>4642</v>
      </c>
      <c r="G1505" s="157" t="s">
        <v>4643</v>
      </c>
      <c r="H1505" s="157"/>
      <c r="I1505" s="158">
        <v>8.553916</v>
      </c>
      <c r="J1505" s="158">
        <v>62.6805153</v>
      </c>
      <c r="K1505" s="157" t="s">
        <v>4644</v>
      </c>
      <c r="L1505" s="157" t="s">
        <v>648</v>
      </c>
      <c r="M1505" s="158">
        <v>2017.0</v>
      </c>
      <c r="N1505" s="157" t="s">
        <v>549</v>
      </c>
      <c r="O1505" s="157" t="s">
        <v>1208</v>
      </c>
      <c r="P1505" s="161" t="b">
        <v>1</v>
      </c>
      <c r="Q1505" s="158">
        <v>0.66</v>
      </c>
      <c r="R1505" s="158">
        <v>0.0</v>
      </c>
      <c r="S1505" s="158">
        <v>0.66</v>
      </c>
      <c r="T1505" s="157" t="s">
        <v>549</v>
      </c>
      <c r="U1505" s="46" t="s">
        <v>651</v>
      </c>
      <c r="V1505" s="46" t="b">
        <v>1</v>
      </c>
      <c r="W1505" s="46">
        <v>0.95</v>
      </c>
      <c r="X1505" s="46">
        <v>0.0</v>
      </c>
      <c r="Y1505" s="46" t="s">
        <v>640</v>
      </c>
      <c r="Z1505" s="46" t="b">
        <v>0</v>
      </c>
      <c r="AA1505" s="46" t="b">
        <v>0</v>
      </c>
    </row>
    <row r="1506">
      <c r="A1506" s="157" t="s">
        <v>567</v>
      </c>
      <c r="B1506" s="158">
        <v>2.0</v>
      </c>
      <c r="C1506" s="157" t="s">
        <v>916</v>
      </c>
      <c r="D1506" s="157" t="s">
        <v>1203</v>
      </c>
      <c r="E1506" s="157" t="s">
        <v>1204</v>
      </c>
      <c r="F1506" s="157" t="s">
        <v>4645</v>
      </c>
      <c r="G1506" s="157" t="s">
        <v>4646</v>
      </c>
      <c r="H1506" s="157"/>
      <c r="I1506" s="158">
        <v>5.312593</v>
      </c>
      <c r="J1506" s="158">
        <v>59.3149071</v>
      </c>
      <c r="K1506" s="157" t="s">
        <v>4647</v>
      </c>
      <c r="L1506" s="157" t="s">
        <v>648</v>
      </c>
      <c r="M1506" s="158">
        <v>2017.0</v>
      </c>
      <c r="N1506" s="157" t="s">
        <v>549</v>
      </c>
      <c r="O1506" s="157" t="s">
        <v>1208</v>
      </c>
      <c r="P1506" s="161" t="b">
        <v>1</v>
      </c>
      <c r="Q1506" s="158">
        <v>0.336</v>
      </c>
      <c r="R1506" s="158">
        <v>0.0</v>
      </c>
      <c r="S1506" s="158">
        <v>0.336</v>
      </c>
      <c r="T1506" s="157" t="s">
        <v>549</v>
      </c>
      <c r="U1506" s="46" t="s">
        <v>651</v>
      </c>
      <c r="V1506" s="46" t="b">
        <v>1</v>
      </c>
      <c r="W1506" s="46">
        <v>0.95</v>
      </c>
      <c r="X1506" s="46">
        <v>0.0</v>
      </c>
      <c r="Y1506" s="46">
        <v>74.0322177705959</v>
      </c>
      <c r="Z1506" s="46" t="b">
        <v>0</v>
      </c>
      <c r="AA1506" s="46" t="b">
        <v>1</v>
      </c>
    </row>
    <row r="1507">
      <c r="A1507" s="157" t="s">
        <v>567</v>
      </c>
      <c r="B1507" s="158">
        <v>2.0</v>
      </c>
      <c r="C1507" s="157" t="s">
        <v>916</v>
      </c>
      <c r="D1507" s="157" t="s">
        <v>1203</v>
      </c>
      <c r="E1507" s="157" t="s">
        <v>1204</v>
      </c>
      <c r="F1507" s="157" t="s">
        <v>4648</v>
      </c>
      <c r="G1507" s="157" t="s">
        <v>4649</v>
      </c>
      <c r="H1507" s="157"/>
      <c r="I1507" s="158">
        <v>6.360833</v>
      </c>
      <c r="J1507" s="158">
        <v>59.646965</v>
      </c>
      <c r="K1507" s="157" t="s">
        <v>4650</v>
      </c>
      <c r="L1507" s="157" t="s">
        <v>648</v>
      </c>
      <c r="M1507" s="158">
        <v>2017.0</v>
      </c>
      <c r="N1507" s="157" t="s">
        <v>549</v>
      </c>
      <c r="O1507" s="157" t="s">
        <v>1208</v>
      </c>
      <c r="P1507" s="161" t="b">
        <v>1</v>
      </c>
      <c r="Q1507" s="158">
        <v>0.32</v>
      </c>
      <c r="R1507" s="158">
        <v>0.0</v>
      </c>
      <c r="S1507" s="158">
        <v>0.32</v>
      </c>
      <c r="T1507" s="157" t="s">
        <v>549</v>
      </c>
      <c r="U1507" s="46" t="s">
        <v>651</v>
      </c>
      <c r="V1507" s="46" t="b">
        <v>1</v>
      </c>
      <c r="W1507" s="46">
        <v>0.95</v>
      </c>
      <c r="X1507" s="46">
        <v>0.0</v>
      </c>
      <c r="Y1507" s="46">
        <v>124.415687476033</v>
      </c>
      <c r="Z1507" s="46" t="b">
        <v>0</v>
      </c>
      <c r="AA1507" s="46" t="b">
        <v>0</v>
      </c>
    </row>
    <row r="1508">
      <c r="A1508" s="157" t="s">
        <v>567</v>
      </c>
      <c r="B1508" s="158">
        <v>2.0</v>
      </c>
      <c r="C1508" s="157" t="s">
        <v>916</v>
      </c>
      <c r="D1508" s="157" t="s">
        <v>1203</v>
      </c>
      <c r="E1508" s="157" t="s">
        <v>1204</v>
      </c>
      <c r="F1508" s="157" t="s">
        <v>4651</v>
      </c>
      <c r="G1508" s="157" t="s">
        <v>4652</v>
      </c>
      <c r="H1508" s="157"/>
      <c r="I1508" s="158">
        <v>7.82489</v>
      </c>
      <c r="J1508" s="158">
        <v>61.311573</v>
      </c>
      <c r="K1508" s="157" t="s">
        <v>4653</v>
      </c>
      <c r="L1508" s="157" t="s">
        <v>648</v>
      </c>
      <c r="M1508" s="158">
        <v>2017.0</v>
      </c>
      <c r="N1508" s="157" t="s">
        <v>549</v>
      </c>
      <c r="O1508" s="157" t="s">
        <v>1208</v>
      </c>
      <c r="P1508" s="161" t="b">
        <v>1</v>
      </c>
      <c r="Q1508" s="158">
        <v>0.3</v>
      </c>
      <c r="R1508" s="158">
        <v>0.0</v>
      </c>
      <c r="S1508" s="158">
        <v>0.3</v>
      </c>
      <c r="T1508" s="157" t="s">
        <v>549</v>
      </c>
      <c r="U1508" s="46" t="s">
        <v>651</v>
      </c>
      <c r="V1508" s="46" t="b">
        <v>1</v>
      </c>
      <c r="W1508" s="46">
        <v>0.95</v>
      </c>
      <c r="X1508" s="46">
        <v>0.0</v>
      </c>
      <c r="Y1508" s="46" t="s">
        <v>640</v>
      </c>
      <c r="Z1508" s="46" t="b">
        <v>0</v>
      </c>
      <c r="AA1508" s="46" t="b">
        <v>0</v>
      </c>
    </row>
    <row r="1509">
      <c r="A1509" s="157" t="s">
        <v>567</v>
      </c>
      <c r="B1509" s="158">
        <v>2.0</v>
      </c>
      <c r="C1509" s="157" t="s">
        <v>916</v>
      </c>
      <c r="D1509" s="157" t="s">
        <v>1203</v>
      </c>
      <c r="E1509" s="157" t="s">
        <v>1204</v>
      </c>
      <c r="F1509" s="157" t="s">
        <v>4654</v>
      </c>
      <c r="G1509" s="157" t="s">
        <v>4655</v>
      </c>
      <c r="H1509" s="157"/>
      <c r="I1509" s="158">
        <v>6.891349</v>
      </c>
      <c r="J1509" s="158">
        <v>58.2768364</v>
      </c>
      <c r="K1509" s="157" t="s">
        <v>4656</v>
      </c>
      <c r="L1509" s="157" t="s">
        <v>648</v>
      </c>
      <c r="M1509" s="158">
        <v>2017.0</v>
      </c>
      <c r="N1509" s="157" t="s">
        <v>549</v>
      </c>
      <c r="O1509" s="157" t="s">
        <v>1208</v>
      </c>
      <c r="P1509" s="161" t="b">
        <v>1</v>
      </c>
      <c r="Q1509" s="158">
        <v>0.228</v>
      </c>
      <c r="R1509" s="158">
        <v>0.0</v>
      </c>
      <c r="S1509" s="158">
        <v>0.228</v>
      </c>
      <c r="T1509" s="157" t="s">
        <v>549</v>
      </c>
      <c r="U1509" s="46" t="s">
        <v>651</v>
      </c>
      <c r="V1509" s="46" t="b">
        <v>1</v>
      </c>
      <c r="W1509" s="46">
        <v>0.95</v>
      </c>
      <c r="X1509" s="46">
        <v>0.0</v>
      </c>
      <c r="Y1509" s="46" t="s">
        <v>640</v>
      </c>
      <c r="Z1509" s="46" t="b">
        <v>0</v>
      </c>
      <c r="AA1509" s="46" t="b">
        <v>0</v>
      </c>
    </row>
    <row r="1510">
      <c r="A1510" s="157" t="s">
        <v>567</v>
      </c>
      <c r="B1510" s="158">
        <v>2.0</v>
      </c>
      <c r="C1510" s="157" t="s">
        <v>916</v>
      </c>
      <c r="D1510" s="157" t="s">
        <v>1203</v>
      </c>
      <c r="E1510" s="157" t="s">
        <v>1204</v>
      </c>
      <c r="F1510" s="157" t="s">
        <v>4657</v>
      </c>
      <c r="G1510" s="157" t="s">
        <v>4658</v>
      </c>
      <c r="H1510" s="157"/>
      <c r="I1510" s="158">
        <v>9.623832</v>
      </c>
      <c r="J1510" s="158">
        <v>59.1272</v>
      </c>
      <c r="K1510" s="157" t="s">
        <v>3912</v>
      </c>
      <c r="L1510" s="157" t="s">
        <v>648</v>
      </c>
      <c r="M1510" s="158">
        <v>2017.0</v>
      </c>
      <c r="N1510" s="157" t="s">
        <v>549</v>
      </c>
      <c r="O1510" s="157" t="s">
        <v>1208</v>
      </c>
      <c r="P1510" s="161" t="b">
        <v>1</v>
      </c>
      <c r="Q1510" s="158">
        <v>0.185</v>
      </c>
      <c r="R1510" s="158">
        <v>0.0</v>
      </c>
      <c r="S1510" s="158">
        <v>0.185</v>
      </c>
      <c r="T1510" s="157" t="s">
        <v>549</v>
      </c>
      <c r="U1510" s="46" t="s">
        <v>651</v>
      </c>
      <c r="V1510" s="46" t="b">
        <v>1</v>
      </c>
      <c r="W1510" s="46">
        <v>0.95</v>
      </c>
      <c r="X1510" s="46">
        <v>0.0</v>
      </c>
      <c r="Y1510" s="46" t="s">
        <v>640</v>
      </c>
      <c r="Z1510" s="46" t="b">
        <v>0</v>
      </c>
      <c r="AA1510" s="46" t="b">
        <v>0</v>
      </c>
    </row>
    <row r="1511">
      <c r="A1511" s="157" t="s">
        <v>567</v>
      </c>
      <c r="B1511" s="158">
        <v>2.0</v>
      </c>
      <c r="C1511" s="157" t="s">
        <v>916</v>
      </c>
      <c r="D1511" s="157" t="s">
        <v>1203</v>
      </c>
      <c r="E1511" s="157" t="s">
        <v>1204</v>
      </c>
      <c r="F1511" s="157" t="s">
        <v>4659</v>
      </c>
      <c r="G1511" s="157" t="s">
        <v>4660</v>
      </c>
      <c r="H1511" s="157"/>
      <c r="I1511" s="158">
        <v>6.783232</v>
      </c>
      <c r="J1511" s="158">
        <v>58.07307</v>
      </c>
      <c r="K1511" s="157" t="s">
        <v>4661</v>
      </c>
      <c r="L1511" s="157" t="s">
        <v>648</v>
      </c>
      <c r="M1511" s="158">
        <v>2017.0</v>
      </c>
      <c r="N1511" s="157" t="s">
        <v>549</v>
      </c>
      <c r="O1511" s="157" t="s">
        <v>1208</v>
      </c>
      <c r="P1511" s="161" t="b">
        <v>1</v>
      </c>
      <c r="Q1511" s="158">
        <v>0.16</v>
      </c>
      <c r="R1511" s="158">
        <v>0.0</v>
      </c>
      <c r="S1511" s="158">
        <v>0.16</v>
      </c>
      <c r="T1511" s="157" t="s">
        <v>549</v>
      </c>
      <c r="U1511" s="46" t="s">
        <v>651</v>
      </c>
      <c r="V1511" s="46" t="b">
        <v>1</v>
      </c>
      <c r="W1511" s="46">
        <v>0.95</v>
      </c>
      <c r="X1511" s="46">
        <v>0.0</v>
      </c>
      <c r="Y1511" s="46">
        <v>181.993049584507</v>
      </c>
      <c r="Z1511" s="46" t="b">
        <v>0</v>
      </c>
      <c r="AA1511" s="46" t="b">
        <v>0</v>
      </c>
    </row>
    <row r="1512">
      <c r="A1512" s="157" t="s">
        <v>567</v>
      </c>
      <c r="B1512" s="158">
        <v>2.0</v>
      </c>
      <c r="C1512" s="157" t="s">
        <v>916</v>
      </c>
      <c r="D1512" s="157" t="s">
        <v>1203</v>
      </c>
      <c r="E1512" s="157" t="s">
        <v>1204</v>
      </c>
      <c r="F1512" s="157" t="s">
        <v>4662</v>
      </c>
      <c r="G1512" s="157" t="s">
        <v>4663</v>
      </c>
      <c r="H1512" s="157"/>
      <c r="I1512" s="158">
        <v>5.768265</v>
      </c>
      <c r="J1512" s="158">
        <v>59.86813</v>
      </c>
      <c r="K1512" s="157" t="s">
        <v>4664</v>
      </c>
      <c r="L1512" s="157" t="s">
        <v>648</v>
      </c>
      <c r="M1512" s="158">
        <v>2017.0</v>
      </c>
      <c r="N1512" s="157" t="s">
        <v>549</v>
      </c>
      <c r="O1512" s="157" t="s">
        <v>1208</v>
      </c>
      <c r="P1512" s="161" t="b">
        <v>1</v>
      </c>
      <c r="Q1512" s="158">
        <v>0.142</v>
      </c>
      <c r="R1512" s="158">
        <v>0.0</v>
      </c>
      <c r="S1512" s="158">
        <v>0.142</v>
      </c>
      <c r="T1512" s="157" t="s">
        <v>549</v>
      </c>
      <c r="U1512" s="46" t="s">
        <v>651</v>
      </c>
      <c r="V1512" s="46" t="b">
        <v>1</v>
      </c>
      <c r="W1512" s="46">
        <v>0.95</v>
      </c>
      <c r="X1512" s="46">
        <v>0.0</v>
      </c>
      <c r="Y1512" s="46">
        <v>85.2328767512485</v>
      </c>
      <c r="Z1512" s="46" t="b">
        <v>0</v>
      </c>
      <c r="AA1512" s="46" t="b">
        <v>1</v>
      </c>
    </row>
    <row r="1513">
      <c r="A1513" s="157" t="s">
        <v>567</v>
      </c>
      <c r="B1513" s="158">
        <v>2.0</v>
      </c>
      <c r="C1513" s="157" t="s">
        <v>916</v>
      </c>
      <c r="D1513" s="157" t="s">
        <v>1203</v>
      </c>
      <c r="E1513" s="157" t="s">
        <v>1204</v>
      </c>
      <c r="F1513" s="157" t="s">
        <v>4665</v>
      </c>
      <c r="G1513" s="157" t="s">
        <v>4666</v>
      </c>
      <c r="H1513" s="157"/>
      <c r="I1513" s="158">
        <v>14.1634941</v>
      </c>
      <c r="J1513" s="158">
        <v>66.31256</v>
      </c>
      <c r="K1513" s="157" t="s">
        <v>2740</v>
      </c>
      <c r="L1513" s="157" t="s">
        <v>648</v>
      </c>
      <c r="M1513" s="158">
        <v>2017.0</v>
      </c>
      <c r="N1513" s="157" t="s">
        <v>549</v>
      </c>
      <c r="O1513" s="157" t="s">
        <v>1208</v>
      </c>
      <c r="P1513" s="161" t="b">
        <v>1</v>
      </c>
      <c r="Q1513" s="158">
        <v>0.137</v>
      </c>
      <c r="R1513" s="158">
        <v>0.0</v>
      </c>
      <c r="S1513" s="158">
        <v>0.137</v>
      </c>
      <c r="T1513" s="157" t="s">
        <v>549</v>
      </c>
      <c r="U1513" s="46" t="s">
        <v>651</v>
      </c>
      <c r="V1513" s="46" t="b">
        <v>1</v>
      </c>
      <c r="W1513" s="46">
        <v>0.95</v>
      </c>
      <c r="X1513" s="46">
        <v>0.0</v>
      </c>
      <c r="Y1513" s="46" t="s">
        <v>640</v>
      </c>
      <c r="Z1513" s="46" t="b">
        <v>0</v>
      </c>
      <c r="AA1513" s="46" t="b">
        <v>0</v>
      </c>
    </row>
    <row r="1514">
      <c r="A1514" s="157" t="s">
        <v>567</v>
      </c>
      <c r="B1514" s="158">
        <v>2.0</v>
      </c>
      <c r="C1514" s="157" t="s">
        <v>916</v>
      </c>
      <c r="D1514" s="157" t="s">
        <v>1203</v>
      </c>
      <c r="E1514" s="157" t="s">
        <v>1204</v>
      </c>
      <c r="F1514" s="157" t="s">
        <v>4667</v>
      </c>
      <c r="G1514" s="157" t="s">
        <v>4668</v>
      </c>
      <c r="H1514" s="157"/>
      <c r="I1514" s="158">
        <v>6.06832</v>
      </c>
      <c r="J1514" s="158">
        <v>61.21873</v>
      </c>
      <c r="K1514" s="157" t="s">
        <v>4669</v>
      </c>
      <c r="L1514" s="157" t="s">
        <v>648</v>
      </c>
      <c r="M1514" s="158">
        <v>2017.0</v>
      </c>
      <c r="N1514" s="157" t="s">
        <v>549</v>
      </c>
      <c r="O1514" s="157" t="s">
        <v>1208</v>
      </c>
      <c r="P1514" s="161" t="b">
        <v>1</v>
      </c>
      <c r="Q1514" s="158">
        <v>0.104</v>
      </c>
      <c r="R1514" s="158">
        <v>0.0</v>
      </c>
      <c r="S1514" s="158">
        <v>0.104</v>
      </c>
      <c r="T1514" s="157" t="s">
        <v>549</v>
      </c>
      <c r="U1514" s="46" t="s">
        <v>651</v>
      </c>
      <c r="V1514" s="46" t="b">
        <v>1</v>
      </c>
      <c r="W1514" s="46">
        <v>0.95</v>
      </c>
      <c r="X1514" s="46">
        <v>0.0</v>
      </c>
      <c r="Y1514" s="46">
        <v>97.4533333723812</v>
      </c>
      <c r="Z1514" s="46" t="b">
        <v>0</v>
      </c>
      <c r="AA1514" s="46" t="b">
        <v>1</v>
      </c>
    </row>
    <row r="1515">
      <c r="A1515" s="157" t="s">
        <v>568</v>
      </c>
      <c r="B1515" s="158">
        <v>5.0</v>
      </c>
      <c r="C1515" s="157" t="s">
        <v>652</v>
      </c>
      <c r="D1515" s="157" t="s">
        <v>4670</v>
      </c>
      <c r="E1515" s="157" t="s">
        <v>4671</v>
      </c>
      <c r="F1515" s="157" t="s">
        <v>4672</v>
      </c>
      <c r="G1515" s="157" t="s">
        <v>4673</v>
      </c>
      <c r="H1515" s="157"/>
      <c r="I1515" s="158">
        <v>12.1959365831697</v>
      </c>
      <c r="J1515" s="158">
        <v>55.4650782296801</v>
      </c>
      <c r="K1515" s="157" t="s">
        <v>4674</v>
      </c>
      <c r="L1515" s="157" t="s">
        <v>648</v>
      </c>
      <c r="M1515" s="158">
        <v>2022.0</v>
      </c>
      <c r="N1515" s="157" t="s">
        <v>116</v>
      </c>
      <c r="O1515" s="157" t="s">
        <v>4675</v>
      </c>
      <c r="P1515" s="161" t="b">
        <v>1</v>
      </c>
      <c r="Q1515" s="158">
        <v>1.933E-4</v>
      </c>
      <c r="R1515" s="158">
        <v>0.0</v>
      </c>
      <c r="S1515" s="158">
        <v>1.933E-4</v>
      </c>
      <c r="T1515" s="157" t="s">
        <v>116</v>
      </c>
      <c r="U1515" s="46" t="s">
        <v>651</v>
      </c>
      <c r="V1515" s="46" t="b">
        <v>0</v>
      </c>
      <c r="W1515" s="46">
        <v>0.95</v>
      </c>
      <c r="X1515" s="46">
        <v>0.0</v>
      </c>
      <c r="Y1515" s="46">
        <v>15.0481470989469</v>
      </c>
      <c r="Z1515" s="46" t="b">
        <v>1</v>
      </c>
      <c r="AA1515" s="46" t="b">
        <v>1</v>
      </c>
    </row>
    <row r="1516">
      <c r="A1516" s="157" t="s">
        <v>557</v>
      </c>
      <c r="B1516" s="158">
        <v>5.0</v>
      </c>
      <c r="C1516" s="157" t="s">
        <v>652</v>
      </c>
      <c r="D1516" s="157" t="s">
        <v>4670</v>
      </c>
      <c r="E1516" s="157" t="s">
        <v>4671</v>
      </c>
      <c r="F1516" s="162" t="s">
        <v>4676</v>
      </c>
      <c r="G1516" s="157" t="s">
        <v>4677</v>
      </c>
      <c r="H1516" s="157"/>
      <c r="I1516" s="158">
        <v>9.48333036898341</v>
      </c>
      <c r="J1516" s="158">
        <v>51.2792839383848</v>
      </c>
      <c r="K1516" s="157" t="s">
        <v>4678</v>
      </c>
      <c r="L1516" s="157" t="s">
        <v>648</v>
      </c>
      <c r="M1516" s="158">
        <v>2022.0</v>
      </c>
      <c r="N1516" s="157" t="s">
        <v>116</v>
      </c>
      <c r="O1516" s="157" t="s">
        <v>4675</v>
      </c>
      <c r="P1516" s="161" t="b">
        <v>1</v>
      </c>
      <c r="Q1516" s="158">
        <v>0.184</v>
      </c>
      <c r="R1516" s="158">
        <v>0.0</v>
      </c>
      <c r="S1516" s="158">
        <v>0.184</v>
      </c>
      <c r="T1516" s="157" t="s">
        <v>116</v>
      </c>
      <c r="U1516" s="46" t="s">
        <v>651</v>
      </c>
      <c r="V1516" s="46" t="b">
        <v>1</v>
      </c>
      <c r="W1516" s="46">
        <v>0.95</v>
      </c>
      <c r="X1516" s="46">
        <v>0.0</v>
      </c>
      <c r="Y1516" s="46">
        <v>75.0942977808903</v>
      </c>
      <c r="Z1516" s="46" t="b">
        <v>0</v>
      </c>
      <c r="AA1516" s="46" t="b">
        <v>1</v>
      </c>
    </row>
    <row r="1517">
      <c r="A1517" s="157" t="s">
        <v>559</v>
      </c>
      <c r="B1517" s="158">
        <v>5.0</v>
      </c>
      <c r="C1517" s="157" t="s">
        <v>652</v>
      </c>
      <c r="D1517" s="157" t="s">
        <v>4670</v>
      </c>
      <c r="E1517" s="157" t="s">
        <v>4671</v>
      </c>
      <c r="F1517" s="157" t="s">
        <v>4679</v>
      </c>
      <c r="G1517" s="157" t="s">
        <v>4680</v>
      </c>
      <c r="H1517" s="157"/>
      <c r="I1517" s="158">
        <v>9.9469</v>
      </c>
      <c r="J1517" s="158">
        <v>45.1494</v>
      </c>
      <c r="K1517" s="157" t="s">
        <v>4681</v>
      </c>
      <c r="L1517" s="157" t="s">
        <v>648</v>
      </c>
      <c r="M1517" s="158">
        <v>2022.0</v>
      </c>
      <c r="N1517" s="157" t="s">
        <v>116</v>
      </c>
      <c r="O1517" s="157" t="s">
        <v>4675</v>
      </c>
      <c r="P1517" s="161" t="b">
        <v>1</v>
      </c>
      <c r="Q1517" s="158">
        <v>0.36855471</v>
      </c>
      <c r="R1517" s="158">
        <v>0.0</v>
      </c>
      <c r="S1517" s="158">
        <v>0.36855471</v>
      </c>
      <c r="T1517" s="157" t="s">
        <v>116</v>
      </c>
      <c r="U1517" s="46" t="s">
        <v>651</v>
      </c>
      <c r="V1517" s="46" t="b">
        <v>1</v>
      </c>
      <c r="W1517" s="46">
        <v>0.95</v>
      </c>
      <c r="X1517" s="46">
        <v>0.0</v>
      </c>
      <c r="Y1517" s="46">
        <v>3.1058920013357</v>
      </c>
      <c r="Z1517" s="46" t="b">
        <v>1</v>
      </c>
      <c r="AA1517" s="46" t="b">
        <v>1</v>
      </c>
    </row>
    <row r="1518">
      <c r="A1518" s="157" t="s">
        <v>559</v>
      </c>
      <c r="B1518" s="158">
        <v>5.0</v>
      </c>
      <c r="C1518" s="157" t="s">
        <v>652</v>
      </c>
      <c r="D1518" s="157" t="s">
        <v>4670</v>
      </c>
      <c r="E1518" s="157" t="s">
        <v>4671</v>
      </c>
      <c r="F1518" s="157" t="s">
        <v>4682</v>
      </c>
      <c r="G1518" s="157" t="s">
        <v>4683</v>
      </c>
      <c r="H1518" s="157"/>
      <c r="I1518" s="158">
        <v>10.3557</v>
      </c>
      <c r="J1518" s="158">
        <v>44.8382</v>
      </c>
      <c r="K1518" s="157" t="s">
        <v>4684</v>
      </c>
      <c r="L1518" s="157" t="s">
        <v>648</v>
      </c>
      <c r="M1518" s="158">
        <v>2022.0</v>
      </c>
      <c r="N1518" s="157" t="s">
        <v>116</v>
      </c>
      <c r="O1518" s="157" t="s">
        <v>4675</v>
      </c>
      <c r="P1518" s="161" t="b">
        <v>1</v>
      </c>
      <c r="Q1518" s="158">
        <v>0.169962208</v>
      </c>
      <c r="R1518" s="158">
        <v>0.0</v>
      </c>
      <c r="S1518" s="158">
        <v>0.169962208</v>
      </c>
      <c r="T1518" s="157" t="s">
        <v>116</v>
      </c>
      <c r="U1518" s="46" t="s">
        <v>651</v>
      </c>
      <c r="V1518" s="46" t="b">
        <v>1</v>
      </c>
      <c r="W1518" s="46">
        <v>0.95</v>
      </c>
      <c r="X1518" s="46">
        <v>0.0</v>
      </c>
      <c r="Y1518" s="46">
        <v>43.7301669348548</v>
      </c>
      <c r="Z1518" s="46" t="b">
        <v>1</v>
      </c>
      <c r="AA1518" s="46" t="b">
        <v>1</v>
      </c>
    </row>
    <row r="1519">
      <c r="A1519" s="157" t="s">
        <v>570</v>
      </c>
      <c r="B1519" s="158">
        <v>5.0</v>
      </c>
      <c r="C1519" s="157" t="s">
        <v>652</v>
      </c>
      <c r="D1519" s="157" t="s">
        <v>4670</v>
      </c>
      <c r="E1519" s="157" t="s">
        <v>4671</v>
      </c>
      <c r="F1519" s="157" t="s">
        <v>4685</v>
      </c>
      <c r="G1519" s="157" t="s">
        <v>4686</v>
      </c>
      <c r="H1519" s="157"/>
      <c r="I1519" s="158">
        <v>6.00036</v>
      </c>
      <c r="J1519" s="158">
        <v>51.97054</v>
      </c>
      <c r="K1519" s="157" t="s">
        <v>4687</v>
      </c>
      <c r="L1519" s="157" t="s">
        <v>648</v>
      </c>
      <c r="M1519" s="158">
        <v>2022.0</v>
      </c>
      <c r="N1519" s="157" t="s">
        <v>116</v>
      </c>
      <c r="O1519" s="157" t="s">
        <v>4675</v>
      </c>
      <c r="P1519" s="161" t="b">
        <v>1</v>
      </c>
      <c r="Q1519" s="158">
        <v>0.512</v>
      </c>
      <c r="R1519" s="158">
        <v>0.0</v>
      </c>
      <c r="S1519" s="158">
        <v>0.512</v>
      </c>
      <c r="T1519" s="157" t="s">
        <v>116</v>
      </c>
      <c r="U1519" s="46" t="s">
        <v>651</v>
      </c>
      <c r="V1519" s="46" t="b">
        <v>1</v>
      </c>
      <c r="W1519" s="46">
        <v>0.95</v>
      </c>
      <c r="X1519" s="46">
        <v>0.0</v>
      </c>
      <c r="Y1519" s="46">
        <v>58.6486419310899</v>
      </c>
      <c r="Z1519" s="46" t="b">
        <v>0</v>
      </c>
      <c r="AA1519" s="46" t="b">
        <v>1</v>
      </c>
    </row>
    <row r="1520">
      <c r="A1520" s="157" t="s">
        <v>570</v>
      </c>
      <c r="B1520" s="158">
        <v>5.0</v>
      </c>
      <c r="C1520" s="157" t="s">
        <v>652</v>
      </c>
      <c r="D1520" s="157" t="s">
        <v>4670</v>
      </c>
      <c r="E1520" s="157" t="s">
        <v>4671</v>
      </c>
      <c r="F1520" s="157" t="s">
        <v>4688</v>
      </c>
      <c r="G1520" s="157" t="s">
        <v>4689</v>
      </c>
      <c r="H1520" s="157"/>
      <c r="I1520" s="158">
        <v>6.98393</v>
      </c>
      <c r="J1520" s="158">
        <v>53.31022</v>
      </c>
      <c r="K1520" s="157" t="s">
        <v>4690</v>
      </c>
      <c r="L1520" s="157" t="s">
        <v>648</v>
      </c>
      <c r="M1520" s="158">
        <v>2022.0</v>
      </c>
      <c r="N1520" s="157" t="s">
        <v>116</v>
      </c>
      <c r="O1520" s="157" t="s">
        <v>4675</v>
      </c>
      <c r="P1520" s="161" t="b">
        <v>1</v>
      </c>
      <c r="Q1520" s="158">
        <v>0.398</v>
      </c>
      <c r="R1520" s="158">
        <v>0.0</v>
      </c>
      <c r="S1520" s="158">
        <v>0.398</v>
      </c>
      <c r="T1520" s="157" t="s">
        <v>116</v>
      </c>
      <c r="U1520" s="46" t="s">
        <v>651</v>
      </c>
      <c r="V1520" s="46" t="b">
        <v>1</v>
      </c>
      <c r="W1520" s="46">
        <v>0.95</v>
      </c>
      <c r="X1520" s="46">
        <v>0.0</v>
      </c>
      <c r="Y1520" s="46">
        <v>13.3255957751282</v>
      </c>
      <c r="Z1520" s="46" t="b">
        <v>1</v>
      </c>
      <c r="AA1520" s="46" t="b">
        <v>1</v>
      </c>
    </row>
    <row r="1521">
      <c r="A1521" s="157" t="s">
        <v>570</v>
      </c>
      <c r="B1521" s="158">
        <v>5.0</v>
      </c>
      <c r="C1521" s="157" t="s">
        <v>652</v>
      </c>
      <c r="D1521" s="157" t="s">
        <v>4670</v>
      </c>
      <c r="E1521" s="157" t="s">
        <v>4671</v>
      </c>
      <c r="F1521" s="157" t="s">
        <v>4691</v>
      </c>
      <c r="G1521" s="157" t="s">
        <v>4692</v>
      </c>
      <c r="H1521" s="157"/>
      <c r="I1521" s="158">
        <v>4.58016</v>
      </c>
      <c r="J1521" s="158">
        <v>51.68962</v>
      </c>
      <c r="K1521" s="157" t="s">
        <v>4025</v>
      </c>
      <c r="L1521" s="157" t="s">
        <v>648</v>
      </c>
      <c r="M1521" s="158">
        <v>2022.0</v>
      </c>
      <c r="N1521" s="157" t="s">
        <v>116</v>
      </c>
      <c r="O1521" s="157" t="s">
        <v>4675</v>
      </c>
      <c r="P1521" s="161" t="b">
        <v>1</v>
      </c>
      <c r="Q1521" s="158">
        <v>0.145</v>
      </c>
      <c r="R1521" s="158">
        <v>0.0</v>
      </c>
      <c r="S1521" s="158">
        <v>0.145</v>
      </c>
      <c r="T1521" s="157" t="s">
        <v>116</v>
      </c>
      <c r="U1521" s="46" t="s">
        <v>651</v>
      </c>
      <c r="V1521" s="46" t="b">
        <v>1</v>
      </c>
      <c r="W1521" s="46">
        <v>0.95</v>
      </c>
      <c r="X1521" s="46">
        <v>0.0</v>
      </c>
      <c r="Y1521" s="46">
        <v>2.68984530142174</v>
      </c>
      <c r="Z1521" s="46" t="b">
        <v>1</v>
      </c>
      <c r="AA1521" s="46" t="b">
        <v>1</v>
      </c>
    </row>
    <row r="1522">
      <c r="A1522" s="157" t="s">
        <v>561</v>
      </c>
      <c r="B1522" s="158">
        <v>5.0</v>
      </c>
      <c r="C1522" s="157" t="s">
        <v>652</v>
      </c>
      <c r="D1522" s="157" t="s">
        <v>4670</v>
      </c>
      <c r="E1522" s="157" t="s">
        <v>4671</v>
      </c>
      <c r="F1522" s="157" t="s">
        <v>4693</v>
      </c>
      <c r="G1522" s="157" t="s">
        <v>4694</v>
      </c>
      <c r="H1522" s="157"/>
      <c r="I1522" s="158">
        <v>-3.3176</v>
      </c>
      <c r="J1522" s="158">
        <v>39.6337</v>
      </c>
      <c r="K1522" s="157" t="s">
        <v>4695</v>
      </c>
      <c r="L1522" s="157" t="s">
        <v>648</v>
      </c>
      <c r="M1522" s="158">
        <v>2022.0</v>
      </c>
      <c r="N1522" s="157" t="s">
        <v>116</v>
      </c>
      <c r="O1522" s="157" t="s">
        <v>4675</v>
      </c>
      <c r="P1522" s="161" t="b">
        <v>1</v>
      </c>
      <c r="Q1522" s="158">
        <v>0.137</v>
      </c>
      <c r="R1522" s="158">
        <v>0.0</v>
      </c>
      <c r="S1522" s="158">
        <v>0.137</v>
      </c>
      <c r="T1522" s="157" t="s">
        <v>116</v>
      </c>
      <c r="U1522" s="46" t="s">
        <v>651</v>
      </c>
      <c r="V1522" s="46" t="b">
        <v>1</v>
      </c>
      <c r="W1522" s="46">
        <v>0.95</v>
      </c>
      <c r="X1522" s="46">
        <v>0.0</v>
      </c>
      <c r="Y1522" s="46" t="s">
        <v>640</v>
      </c>
      <c r="Z1522" s="46" t="b">
        <v>0</v>
      </c>
      <c r="AA1522" s="46" t="b">
        <v>0</v>
      </c>
    </row>
    <row r="1523">
      <c r="A1523" s="157" t="s">
        <v>563</v>
      </c>
      <c r="B1523" s="158">
        <v>5.0</v>
      </c>
      <c r="C1523" s="157" t="s">
        <v>652</v>
      </c>
      <c r="D1523" s="157" t="s">
        <v>4670</v>
      </c>
      <c r="E1523" s="157" t="s">
        <v>4671</v>
      </c>
      <c r="F1523" s="157" t="s">
        <v>4696</v>
      </c>
      <c r="G1523" s="157" t="s">
        <v>4697</v>
      </c>
      <c r="H1523" s="157"/>
      <c r="I1523" s="158">
        <v>0.49650163</v>
      </c>
      <c r="J1523" s="158">
        <v>51.293685</v>
      </c>
      <c r="K1523" s="157" t="s">
        <v>4698</v>
      </c>
      <c r="L1523" s="157" t="s">
        <v>648</v>
      </c>
      <c r="M1523" s="158">
        <v>2019.0</v>
      </c>
      <c r="N1523" s="157" t="s">
        <v>116</v>
      </c>
      <c r="O1523" s="157" t="s">
        <v>4675</v>
      </c>
      <c r="P1523" s="161" t="b">
        <v>1</v>
      </c>
      <c r="Q1523" s="158">
        <v>0.395</v>
      </c>
      <c r="R1523" s="158">
        <v>0.0</v>
      </c>
      <c r="S1523" s="158">
        <v>0.395</v>
      </c>
      <c r="T1523" s="157" t="s">
        <v>116</v>
      </c>
      <c r="U1523" s="46" t="s">
        <v>651</v>
      </c>
      <c r="V1523" s="46" t="b">
        <v>1</v>
      </c>
      <c r="W1523" s="46">
        <v>0.95</v>
      </c>
      <c r="X1523" s="46">
        <v>0.0</v>
      </c>
      <c r="Y1523" s="46">
        <v>95.8504376561824</v>
      </c>
      <c r="Z1523" s="46" t="b">
        <v>0</v>
      </c>
      <c r="AA1523" s="46" t="b">
        <v>1</v>
      </c>
    </row>
    <row r="1524">
      <c r="A1524" s="157" t="s">
        <v>572</v>
      </c>
      <c r="B1524" s="158">
        <v>3.0</v>
      </c>
      <c r="C1524" s="157" t="s">
        <v>1215</v>
      </c>
      <c r="D1524" s="157" t="s">
        <v>4699</v>
      </c>
      <c r="E1524" s="157" t="s">
        <v>4700</v>
      </c>
      <c r="F1524" s="157" t="s">
        <v>4701</v>
      </c>
      <c r="G1524" s="157" t="s">
        <v>4702</v>
      </c>
      <c r="H1524" s="157"/>
      <c r="I1524" s="158">
        <v>23.44638</v>
      </c>
      <c r="J1524" s="158">
        <v>40.28608</v>
      </c>
      <c r="K1524" s="157" t="s">
        <v>4703</v>
      </c>
      <c r="L1524" s="157" t="s">
        <v>648</v>
      </c>
      <c r="M1524" s="158">
        <v>2017.0</v>
      </c>
      <c r="N1524" s="157" t="s">
        <v>548</v>
      </c>
      <c r="O1524" s="157" t="s">
        <v>4700</v>
      </c>
      <c r="P1524" s="161" t="b">
        <v>1</v>
      </c>
      <c r="Q1524" s="158">
        <v>0.204</v>
      </c>
      <c r="R1524" s="158">
        <v>0.0</v>
      </c>
      <c r="S1524" s="158">
        <v>0.204</v>
      </c>
      <c r="T1524" s="157" t="s">
        <v>548</v>
      </c>
      <c r="U1524" s="46" t="s">
        <v>651</v>
      </c>
      <c r="V1524" s="46" t="b">
        <v>1</v>
      </c>
      <c r="W1524" s="46">
        <v>0.95</v>
      </c>
      <c r="X1524" s="46">
        <v>0.0</v>
      </c>
      <c r="Y1524" s="46" t="s">
        <v>640</v>
      </c>
      <c r="Z1524" s="46" t="b">
        <v>0</v>
      </c>
      <c r="AA1524" s="46" t="b">
        <v>0</v>
      </c>
    </row>
    <row r="1525">
      <c r="A1525" s="157" t="s">
        <v>566</v>
      </c>
      <c r="B1525" s="158">
        <v>3.0</v>
      </c>
      <c r="C1525" s="157" t="s">
        <v>1215</v>
      </c>
      <c r="D1525" s="157" t="s">
        <v>4699</v>
      </c>
      <c r="E1525" s="157" t="s">
        <v>4700</v>
      </c>
      <c r="F1525" s="157" t="s">
        <v>4704</v>
      </c>
      <c r="G1525" s="157" t="s">
        <v>4705</v>
      </c>
      <c r="H1525" s="157"/>
      <c r="I1525" s="158">
        <v>21.67650414</v>
      </c>
      <c r="J1525" s="158">
        <v>50.93042755</v>
      </c>
      <c r="K1525" s="157" t="s">
        <v>4706</v>
      </c>
      <c r="L1525" s="157" t="s">
        <v>648</v>
      </c>
      <c r="M1525" s="158">
        <v>2022.0</v>
      </c>
      <c r="N1525" s="157" t="s">
        <v>548</v>
      </c>
      <c r="O1525" s="157" t="s">
        <v>4700</v>
      </c>
      <c r="P1525" s="161" t="b">
        <v>1</v>
      </c>
      <c r="Q1525" s="158">
        <v>2.2</v>
      </c>
      <c r="R1525" s="158">
        <v>0.0</v>
      </c>
      <c r="S1525" s="158">
        <v>2.2</v>
      </c>
      <c r="T1525" s="157" t="s">
        <v>548</v>
      </c>
      <c r="U1525" s="46" t="s">
        <v>651</v>
      </c>
      <c r="V1525" s="46" t="b">
        <v>1</v>
      </c>
      <c r="W1525" s="46">
        <v>0.95</v>
      </c>
      <c r="X1525" s="46">
        <v>0.0</v>
      </c>
      <c r="Y1525" s="46" t="s">
        <v>640</v>
      </c>
      <c r="Z1525" s="46" t="b">
        <v>0</v>
      </c>
      <c r="AA1525" s="46" t="b">
        <v>0</v>
      </c>
    </row>
    <row r="1526">
      <c r="A1526" s="157" t="s">
        <v>566</v>
      </c>
      <c r="B1526" s="158">
        <v>3.0</v>
      </c>
      <c r="C1526" s="157" t="s">
        <v>1215</v>
      </c>
      <c r="D1526" s="157" t="s">
        <v>4699</v>
      </c>
      <c r="E1526" s="157" t="s">
        <v>4700</v>
      </c>
      <c r="F1526" s="157" t="s">
        <v>4707</v>
      </c>
      <c r="G1526" s="157" t="s">
        <v>4708</v>
      </c>
      <c r="H1526" s="157"/>
      <c r="I1526" s="158">
        <v>17.98957253</v>
      </c>
      <c r="J1526" s="158">
        <v>52.83681488</v>
      </c>
      <c r="K1526" s="157" t="s">
        <v>4709</v>
      </c>
      <c r="L1526" s="157" t="s">
        <v>648</v>
      </c>
      <c r="M1526" s="158">
        <v>2022.0</v>
      </c>
      <c r="N1526" s="157" t="s">
        <v>548</v>
      </c>
      <c r="O1526" s="157" t="s">
        <v>4700</v>
      </c>
      <c r="P1526" s="161" t="b">
        <v>1</v>
      </c>
      <c r="Q1526" s="158">
        <v>1.4</v>
      </c>
      <c r="R1526" s="158">
        <v>0.0</v>
      </c>
      <c r="S1526" s="158">
        <v>1.4</v>
      </c>
      <c r="T1526" s="157" t="s">
        <v>548</v>
      </c>
      <c r="U1526" s="46" t="s">
        <v>651</v>
      </c>
      <c r="V1526" s="46" t="b">
        <v>1</v>
      </c>
      <c r="W1526" s="46">
        <v>0.95</v>
      </c>
      <c r="X1526" s="46">
        <v>0.0</v>
      </c>
      <c r="Y1526" s="46">
        <v>4.31113979141211</v>
      </c>
      <c r="Z1526" s="46" t="b">
        <v>1</v>
      </c>
      <c r="AA1526" s="46" t="b">
        <v>1</v>
      </c>
    </row>
    <row r="1527">
      <c r="A1527" s="157" t="s">
        <v>566</v>
      </c>
      <c r="B1527" s="158">
        <v>3.0</v>
      </c>
      <c r="C1527" s="157" t="s">
        <v>1215</v>
      </c>
      <c r="D1527" s="157" t="s">
        <v>4699</v>
      </c>
      <c r="E1527" s="157" t="s">
        <v>4700</v>
      </c>
      <c r="F1527" s="157" t="s">
        <v>4710</v>
      </c>
      <c r="G1527" s="157" t="s">
        <v>4711</v>
      </c>
      <c r="H1527" s="157"/>
      <c r="I1527" s="158">
        <v>20.27270317</v>
      </c>
      <c r="J1527" s="158">
        <v>50.82863998</v>
      </c>
      <c r="K1527" s="157" t="s">
        <v>4712</v>
      </c>
      <c r="L1527" s="157" t="s">
        <v>648</v>
      </c>
      <c r="M1527" s="158">
        <v>2022.0</v>
      </c>
      <c r="N1527" s="157" t="s">
        <v>548</v>
      </c>
      <c r="O1527" s="157" t="s">
        <v>4700</v>
      </c>
      <c r="P1527" s="161" t="b">
        <v>1</v>
      </c>
      <c r="Q1527" s="158">
        <v>0.976</v>
      </c>
      <c r="R1527" s="158">
        <v>0.0</v>
      </c>
      <c r="S1527" s="158">
        <v>0.976</v>
      </c>
      <c r="T1527" s="157" t="s">
        <v>548</v>
      </c>
      <c r="U1527" s="46" t="s">
        <v>651</v>
      </c>
      <c r="V1527" s="46" t="b">
        <v>1</v>
      </c>
      <c r="W1527" s="46">
        <v>0.95</v>
      </c>
      <c r="X1527" s="46">
        <v>0.0</v>
      </c>
      <c r="Y1527" s="46" t="s">
        <v>640</v>
      </c>
      <c r="Z1527" s="46" t="b">
        <v>0</v>
      </c>
      <c r="AA1527" s="46" t="b">
        <v>0</v>
      </c>
    </row>
    <row r="1528">
      <c r="A1528" s="157" t="s">
        <v>566</v>
      </c>
      <c r="B1528" s="158">
        <v>3.0</v>
      </c>
      <c r="C1528" s="157" t="s">
        <v>1215</v>
      </c>
      <c r="D1528" s="157" t="s">
        <v>4699</v>
      </c>
      <c r="E1528" s="157" t="s">
        <v>4700</v>
      </c>
      <c r="F1528" s="157" t="s">
        <v>4713</v>
      </c>
      <c r="G1528" s="157" t="s">
        <v>4714</v>
      </c>
      <c r="H1528" s="157"/>
      <c r="I1528" s="158">
        <v>17.91391563</v>
      </c>
      <c r="J1528" s="158">
        <v>50.68064117</v>
      </c>
      <c r="K1528" s="157" t="s">
        <v>778</v>
      </c>
      <c r="L1528" s="157" t="s">
        <v>648</v>
      </c>
      <c r="M1528" s="158">
        <v>2022.0</v>
      </c>
      <c r="N1528" s="157" t="s">
        <v>548</v>
      </c>
      <c r="O1528" s="157" t="s">
        <v>4700</v>
      </c>
      <c r="P1528" s="161" t="b">
        <v>1</v>
      </c>
      <c r="Q1528" s="158">
        <v>0.28</v>
      </c>
      <c r="R1528" s="158">
        <v>0.0</v>
      </c>
      <c r="S1528" s="158">
        <v>0.28</v>
      </c>
      <c r="T1528" s="157" t="s">
        <v>548</v>
      </c>
      <c r="U1528" s="46" t="s">
        <v>651</v>
      </c>
      <c r="V1528" s="46" t="b">
        <v>1</v>
      </c>
      <c r="W1528" s="46">
        <v>0.95</v>
      </c>
      <c r="X1528" s="46">
        <v>0.0</v>
      </c>
      <c r="Y1528" s="46" t="s">
        <v>640</v>
      </c>
      <c r="Z1528" s="46" t="b">
        <v>0</v>
      </c>
      <c r="AA1528" s="46" t="b">
        <v>0</v>
      </c>
    </row>
    <row r="1529">
      <c r="A1529" s="157" t="s">
        <v>566</v>
      </c>
      <c r="B1529" s="158">
        <v>3.0</v>
      </c>
      <c r="C1529" s="157" t="s">
        <v>1215</v>
      </c>
      <c r="D1529" s="157" t="s">
        <v>4699</v>
      </c>
      <c r="E1529" s="157" t="s">
        <v>4700</v>
      </c>
      <c r="F1529" s="157" t="s">
        <v>4715</v>
      </c>
      <c r="G1529" s="157" t="s">
        <v>4716</v>
      </c>
      <c r="H1529" s="157"/>
      <c r="I1529" s="158">
        <v>18.07917595</v>
      </c>
      <c r="J1529" s="158">
        <v>50.56461716</v>
      </c>
      <c r="K1529" s="157" t="s">
        <v>4717</v>
      </c>
      <c r="L1529" s="157" t="s">
        <v>648</v>
      </c>
      <c r="M1529" s="158">
        <v>2022.0</v>
      </c>
      <c r="N1529" s="157" t="s">
        <v>548</v>
      </c>
      <c r="O1529" s="157" t="s">
        <v>4700</v>
      </c>
      <c r="P1529" s="161" t="b">
        <v>1</v>
      </c>
      <c r="Q1529" s="158">
        <v>0.195</v>
      </c>
      <c r="R1529" s="158">
        <v>0.0</v>
      </c>
      <c r="S1529" s="158">
        <v>0.195</v>
      </c>
      <c r="T1529" s="157" t="s">
        <v>548</v>
      </c>
      <c r="U1529" s="46" t="s">
        <v>651</v>
      </c>
      <c r="V1529" s="46" t="b">
        <v>1</v>
      </c>
      <c r="W1529" s="46">
        <v>0.95</v>
      </c>
      <c r="X1529" s="46">
        <v>0.0</v>
      </c>
      <c r="Y1529" s="46" t="s">
        <v>640</v>
      </c>
      <c r="Z1529" s="46" t="b">
        <v>0</v>
      </c>
      <c r="AA1529" s="46" t="b">
        <v>0</v>
      </c>
    </row>
    <row r="1530">
      <c r="A1530" s="157" t="s">
        <v>562</v>
      </c>
      <c r="B1530" s="158">
        <v>4.0</v>
      </c>
      <c r="C1530" s="157" t="s">
        <v>1092</v>
      </c>
      <c r="D1530" s="157" t="s">
        <v>4718</v>
      </c>
      <c r="E1530" s="157" t="s">
        <v>4719</v>
      </c>
      <c r="F1530" s="162" t="s">
        <v>4720</v>
      </c>
      <c r="G1530" s="157" t="s">
        <v>4721</v>
      </c>
      <c r="H1530" s="157"/>
      <c r="I1530" s="158">
        <v>5.0958</v>
      </c>
      <c r="J1530" s="158">
        <v>51.05785</v>
      </c>
      <c r="K1530" s="157" t="s">
        <v>2100</v>
      </c>
      <c r="L1530" s="157" t="s">
        <v>648</v>
      </c>
      <c r="M1530" s="158">
        <v>2022.0</v>
      </c>
      <c r="N1530" s="157" t="s">
        <v>201</v>
      </c>
      <c r="O1530" s="157" t="s">
        <v>4722</v>
      </c>
      <c r="P1530" s="161" t="b">
        <v>1</v>
      </c>
      <c r="Q1530" s="158">
        <v>0.134</v>
      </c>
      <c r="R1530" s="158">
        <v>0.0</v>
      </c>
      <c r="S1530" s="158">
        <v>0.134</v>
      </c>
      <c r="T1530" s="157" t="s">
        <v>201</v>
      </c>
      <c r="U1530" s="46" t="s">
        <v>651</v>
      </c>
      <c r="V1530" s="46" t="b">
        <v>1</v>
      </c>
      <c r="W1530" s="46">
        <v>0.95</v>
      </c>
      <c r="X1530" s="46">
        <v>0.0</v>
      </c>
      <c r="Y1530" s="46">
        <v>4.82528219572138</v>
      </c>
      <c r="Z1530" s="46" t="b">
        <v>1</v>
      </c>
      <c r="AA1530" s="46" t="b">
        <v>1</v>
      </c>
    </row>
    <row r="1531">
      <c r="A1531" s="157" t="s">
        <v>565</v>
      </c>
      <c r="B1531" s="158">
        <v>4.0</v>
      </c>
      <c r="C1531" s="157" t="s">
        <v>1092</v>
      </c>
      <c r="D1531" s="157" t="s">
        <v>4723</v>
      </c>
      <c r="E1531" s="157" t="s">
        <v>4724</v>
      </c>
      <c r="F1531" s="157" t="s">
        <v>4725</v>
      </c>
      <c r="G1531" s="157" t="s">
        <v>4726</v>
      </c>
      <c r="H1531" s="157"/>
      <c r="I1531" s="158">
        <v>18.23310059</v>
      </c>
      <c r="J1531" s="158">
        <v>49.83498533</v>
      </c>
      <c r="K1531" s="157" t="s">
        <v>4727</v>
      </c>
      <c r="L1531" s="157" t="s">
        <v>648</v>
      </c>
      <c r="M1531" s="158">
        <v>2020.0</v>
      </c>
      <c r="N1531" s="157" t="s">
        <v>201</v>
      </c>
      <c r="O1531" s="157" t="s">
        <v>4722</v>
      </c>
      <c r="P1531" s="161" t="b">
        <v>1</v>
      </c>
      <c r="Q1531" s="158">
        <v>0.12645</v>
      </c>
      <c r="R1531" s="158">
        <v>0.0</v>
      </c>
      <c r="S1531" s="158">
        <v>0.12645</v>
      </c>
      <c r="T1531" s="157" t="s">
        <v>201</v>
      </c>
      <c r="U1531" s="46" t="s">
        <v>651</v>
      </c>
      <c r="V1531" s="46" t="b">
        <v>1</v>
      </c>
      <c r="W1531" s="46">
        <v>0.95</v>
      </c>
      <c r="X1531" s="46">
        <v>0.0</v>
      </c>
      <c r="Y1531" s="46" t="s">
        <v>640</v>
      </c>
      <c r="Z1531" s="46" t="b">
        <v>0</v>
      </c>
      <c r="AA1531" s="46" t="b">
        <v>0</v>
      </c>
    </row>
    <row r="1532">
      <c r="A1532" s="157" t="s">
        <v>556</v>
      </c>
      <c r="B1532" s="158">
        <v>4.0</v>
      </c>
      <c r="C1532" s="157" t="s">
        <v>1092</v>
      </c>
      <c r="D1532" s="157" t="s">
        <v>4718</v>
      </c>
      <c r="E1532" s="157" t="s">
        <v>4719</v>
      </c>
      <c r="F1532" s="157" t="s">
        <v>4728</v>
      </c>
      <c r="G1532" s="157" t="s">
        <v>4729</v>
      </c>
      <c r="H1532" s="157"/>
      <c r="I1532" s="158">
        <v>5.41395</v>
      </c>
      <c r="J1532" s="158">
        <v>47.05139</v>
      </c>
      <c r="K1532" s="157" t="s">
        <v>4730</v>
      </c>
      <c r="L1532" s="157" t="s">
        <v>648</v>
      </c>
      <c r="M1532" s="158">
        <v>2022.0</v>
      </c>
      <c r="N1532" s="157" t="s">
        <v>201</v>
      </c>
      <c r="O1532" s="157" t="s">
        <v>4722</v>
      </c>
      <c r="P1532" s="161" t="b">
        <v>1</v>
      </c>
      <c r="Q1532" s="158">
        <v>0.333</v>
      </c>
      <c r="R1532" s="158">
        <v>0.0</v>
      </c>
      <c r="S1532" s="158">
        <v>0.333</v>
      </c>
      <c r="T1532" s="157" t="s">
        <v>201</v>
      </c>
      <c r="U1532" s="46" t="s">
        <v>651</v>
      </c>
      <c r="V1532" s="46" t="b">
        <v>1</v>
      </c>
      <c r="W1532" s="46">
        <v>0.95</v>
      </c>
      <c r="X1532" s="46">
        <v>0.0</v>
      </c>
      <c r="Y1532" s="46">
        <v>105.443742905124</v>
      </c>
      <c r="Z1532" s="46" t="b">
        <v>0</v>
      </c>
      <c r="AA1532" s="46" t="b">
        <v>0</v>
      </c>
    </row>
    <row r="1533">
      <c r="A1533" s="157" t="s">
        <v>556</v>
      </c>
      <c r="B1533" s="158">
        <v>4.0</v>
      </c>
      <c r="C1533" s="157" t="s">
        <v>1092</v>
      </c>
      <c r="D1533" s="157" t="s">
        <v>4723</v>
      </c>
      <c r="E1533" s="157" t="s">
        <v>4724</v>
      </c>
      <c r="F1533" s="157" t="s">
        <v>4731</v>
      </c>
      <c r="G1533" s="157" t="s">
        <v>4732</v>
      </c>
      <c r="H1533" s="157"/>
      <c r="I1533" s="158">
        <v>7.53896</v>
      </c>
      <c r="J1533" s="158">
        <v>47.8204</v>
      </c>
      <c r="K1533" s="157" t="s">
        <v>4048</v>
      </c>
      <c r="L1533" s="157" t="s">
        <v>648</v>
      </c>
      <c r="M1533" s="158">
        <v>2022.0</v>
      </c>
      <c r="N1533" s="157" t="s">
        <v>201</v>
      </c>
      <c r="O1533" s="157" t="s">
        <v>4722</v>
      </c>
      <c r="P1533" s="161" t="b">
        <v>1</v>
      </c>
      <c r="Q1533" s="158">
        <v>0.182</v>
      </c>
      <c r="R1533" s="158">
        <v>0.0</v>
      </c>
      <c r="S1533" s="158">
        <v>0.182</v>
      </c>
      <c r="T1533" s="157" t="s">
        <v>201</v>
      </c>
      <c r="U1533" s="46" t="s">
        <v>651</v>
      </c>
      <c r="V1533" s="46" t="b">
        <v>1</v>
      </c>
      <c r="W1533" s="46">
        <v>0.95</v>
      </c>
      <c r="X1533" s="46">
        <v>0.0</v>
      </c>
      <c r="Y1533" s="46">
        <v>37.3454813768974</v>
      </c>
      <c r="Z1533" s="46" t="b">
        <v>1</v>
      </c>
      <c r="AA1533" s="46" t="b">
        <v>1</v>
      </c>
    </row>
    <row r="1534">
      <c r="A1534" s="157" t="s">
        <v>556</v>
      </c>
      <c r="B1534" s="158">
        <v>4.0</v>
      </c>
      <c r="C1534" s="157" t="s">
        <v>1092</v>
      </c>
      <c r="D1534" s="157" t="s">
        <v>4733</v>
      </c>
      <c r="E1534" s="157" t="s">
        <v>4734</v>
      </c>
      <c r="F1534" s="157" t="s">
        <v>4735</v>
      </c>
      <c r="G1534" s="157" t="s">
        <v>4736</v>
      </c>
      <c r="H1534" s="157"/>
      <c r="I1534" s="158">
        <v>4.7973</v>
      </c>
      <c r="J1534" s="158">
        <v>45.38515</v>
      </c>
      <c r="K1534" s="157" t="s">
        <v>4737</v>
      </c>
      <c r="L1534" s="157" t="s">
        <v>648</v>
      </c>
      <c r="M1534" s="158">
        <v>2022.0</v>
      </c>
      <c r="N1534" s="157" t="s">
        <v>201</v>
      </c>
      <c r="O1534" s="157" t="s">
        <v>4722</v>
      </c>
      <c r="P1534" s="161" t="b">
        <v>1</v>
      </c>
      <c r="Q1534" s="158">
        <v>0.167</v>
      </c>
      <c r="R1534" s="158">
        <v>0.0</v>
      </c>
      <c r="S1534" s="158">
        <v>0.167</v>
      </c>
      <c r="T1534" s="157" t="s">
        <v>201</v>
      </c>
      <c r="U1534" s="46" t="s">
        <v>651</v>
      </c>
      <c r="V1534" s="46" t="b">
        <v>1</v>
      </c>
      <c r="W1534" s="46">
        <v>0.95</v>
      </c>
      <c r="X1534" s="46">
        <v>0.0</v>
      </c>
      <c r="Y1534" s="46">
        <v>0.518813162521945</v>
      </c>
      <c r="Z1534" s="46" t="b">
        <v>1</v>
      </c>
      <c r="AA1534" s="46" t="b">
        <v>1</v>
      </c>
    </row>
    <row r="1535">
      <c r="A1535" s="157" t="s">
        <v>556</v>
      </c>
      <c r="B1535" s="158">
        <v>4.0</v>
      </c>
      <c r="C1535" s="157" t="s">
        <v>1092</v>
      </c>
      <c r="D1535" s="157" t="s">
        <v>4718</v>
      </c>
      <c r="E1535" s="157" t="s">
        <v>4719</v>
      </c>
      <c r="F1535" s="157" t="s">
        <v>4738</v>
      </c>
      <c r="G1535" s="157" t="s">
        <v>4739</v>
      </c>
      <c r="H1535" s="157"/>
      <c r="I1535" s="158">
        <v>4.83242</v>
      </c>
      <c r="J1535" s="158">
        <v>43.43611</v>
      </c>
      <c r="K1535" s="157" t="s">
        <v>1000</v>
      </c>
      <c r="L1535" s="157" t="s">
        <v>648</v>
      </c>
      <c r="M1535" s="158">
        <v>2022.0</v>
      </c>
      <c r="N1535" s="157" t="s">
        <v>201</v>
      </c>
      <c r="O1535" s="157" t="s">
        <v>4722</v>
      </c>
      <c r="P1535" s="161" t="b">
        <v>1</v>
      </c>
      <c r="Q1535" s="158">
        <v>0.155</v>
      </c>
      <c r="R1535" s="158">
        <v>0.0</v>
      </c>
      <c r="S1535" s="158">
        <v>0.155</v>
      </c>
      <c r="T1535" s="157" t="s">
        <v>201</v>
      </c>
      <c r="U1535" s="46" t="s">
        <v>651</v>
      </c>
      <c r="V1535" s="46" t="b">
        <v>1</v>
      </c>
      <c r="W1535" s="46">
        <v>0.95</v>
      </c>
      <c r="X1535" s="46">
        <v>0.0</v>
      </c>
      <c r="Y1535" s="46">
        <v>13.2008423297885</v>
      </c>
      <c r="Z1535" s="46" t="b">
        <v>1</v>
      </c>
      <c r="AA1535" s="46" t="b">
        <v>1</v>
      </c>
    </row>
    <row r="1536">
      <c r="A1536" s="157" t="s">
        <v>556</v>
      </c>
      <c r="B1536" s="158">
        <v>4.0</v>
      </c>
      <c r="C1536" s="157" t="s">
        <v>1092</v>
      </c>
      <c r="D1536" s="157" t="s">
        <v>4740</v>
      </c>
      <c r="E1536" s="157" t="s">
        <v>4741</v>
      </c>
      <c r="F1536" s="157" t="s">
        <v>4742</v>
      </c>
      <c r="G1536" s="157" t="s">
        <v>4743</v>
      </c>
      <c r="H1536" s="157"/>
      <c r="I1536" s="158">
        <v>-0.52135</v>
      </c>
      <c r="J1536" s="158">
        <v>44.9125</v>
      </c>
      <c r="K1536" s="157" t="s">
        <v>4744</v>
      </c>
      <c r="L1536" s="157" t="s">
        <v>648</v>
      </c>
      <c r="M1536" s="158">
        <v>2022.0</v>
      </c>
      <c r="N1536" s="157" t="s">
        <v>201</v>
      </c>
      <c r="O1536" s="157" t="s">
        <v>4722</v>
      </c>
      <c r="P1536" s="161" t="b">
        <v>1</v>
      </c>
      <c r="Q1536" s="158">
        <v>0.116</v>
      </c>
      <c r="R1536" s="158">
        <v>0.0</v>
      </c>
      <c r="S1536" s="158">
        <v>0.116</v>
      </c>
      <c r="T1536" s="157" t="s">
        <v>201</v>
      </c>
      <c r="U1536" s="46" t="s">
        <v>651</v>
      </c>
      <c r="V1536" s="46" t="b">
        <v>1</v>
      </c>
      <c r="W1536" s="46">
        <v>0.95</v>
      </c>
      <c r="X1536" s="46">
        <v>0.0</v>
      </c>
      <c r="Y1536" s="46">
        <v>1.58160338095572</v>
      </c>
      <c r="Z1536" s="46" t="b">
        <v>1</v>
      </c>
      <c r="AA1536" s="46" t="b">
        <v>1</v>
      </c>
    </row>
    <row r="1537">
      <c r="A1537" s="157" t="s">
        <v>556</v>
      </c>
      <c r="B1537" s="158">
        <v>4.0</v>
      </c>
      <c r="C1537" s="157" t="s">
        <v>1092</v>
      </c>
      <c r="D1537" s="157" t="s">
        <v>4723</v>
      </c>
      <c r="E1537" s="157" t="s">
        <v>4724</v>
      </c>
      <c r="F1537" s="157" t="s">
        <v>4745</v>
      </c>
      <c r="G1537" s="157" t="s">
        <v>4746</v>
      </c>
      <c r="H1537" s="157"/>
      <c r="I1537" s="158">
        <v>5.49868</v>
      </c>
      <c r="J1537" s="158">
        <v>43.2833</v>
      </c>
      <c r="K1537" s="157" t="s">
        <v>4747</v>
      </c>
      <c r="L1537" s="157" t="s">
        <v>648</v>
      </c>
      <c r="M1537" s="158">
        <v>2022.0</v>
      </c>
      <c r="N1537" s="157" t="s">
        <v>201</v>
      </c>
      <c r="O1537" s="157" t="s">
        <v>4722</v>
      </c>
      <c r="P1537" s="161" t="b">
        <v>1</v>
      </c>
      <c r="Q1537" s="158">
        <v>0.113</v>
      </c>
      <c r="R1537" s="158">
        <v>0.0</v>
      </c>
      <c r="S1537" s="158">
        <v>0.113</v>
      </c>
      <c r="T1537" s="157" t="s">
        <v>201</v>
      </c>
      <c r="U1537" s="46" t="s">
        <v>651</v>
      </c>
      <c r="V1537" s="46" t="b">
        <v>1</v>
      </c>
      <c r="W1537" s="46">
        <v>0.95</v>
      </c>
      <c r="X1537" s="46">
        <v>0.0</v>
      </c>
      <c r="Y1537" s="46">
        <v>68.0254587421051</v>
      </c>
      <c r="Z1537" s="46" t="b">
        <v>0</v>
      </c>
      <c r="AA1537" s="46" t="b">
        <v>1</v>
      </c>
    </row>
    <row r="1538">
      <c r="A1538" s="157" t="s">
        <v>557</v>
      </c>
      <c r="B1538" s="158">
        <v>4.0</v>
      </c>
      <c r="C1538" s="157" t="s">
        <v>1092</v>
      </c>
      <c r="D1538" s="157" t="s">
        <v>4723</v>
      </c>
      <c r="E1538" s="157" t="s">
        <v>4724</v>
      </c>
      <c r="F1538" s="162" t="s">
        <v>4748</v>
      </c>
      <c r="G1538" s="157" t="s">
        <v>4749</v>
      </c>
      <c r="H1538" s="157"/>
      <c r="I1538" s="158">
        <v>8.364111816196</v>
      </c>
      <c r="J1538" s="158">
        <v>49.6554021282047</v>
      </c>
      <c r="K1538" s="157" t="s">
        <v>4105</v>
      </c>
      <c r="L1538" s="157" t="s">
        <v>648</v>
      </c>
      <c r="M1538" s="158">
        <v>2022.0</v>
      </c>
      <c r="N1538" s="157" t="s">
        <v>201</v>
      </c>
      <c r="O1538" s="157" t="s">
        <v>4722</v>
      </c>
      <c r="P1538" s="161" t="b">
        <v>1</v>
      </c>
      <c r="Q1538" s="158">
        <v>0.222</v>
      </c>
      <c r="R1538" s="158">
        <v>0.0</v>
      </c>
      <c r="S1538" s="158">
        <v>0.222</v>
      </c>
      <c r="T1538" s="157" t="s">
        <v>201</v>
      </c>
      <c r="U1538" s="46" t="s">
        <v>651</v>
      </c>
      <c r="V1538" s="46" t="b">
        <v>1</v>
      </c>
      <c r="W1538" s="46">
        <v>0.95</v>
      </c>
      <c r="X1538" s="46">
        <v>0.0</v>
      </c>
      <c r="Y1538" s="46">
        <v>4.71703562375535</v>
      </c>
      <c r="Z1538" s="46" t="b">
        <v>1</v>
      </c>
      <c r="AA1538" s="46" t="b">
        <v>1</v>
      </c>
    </row>
    <row r="1539">
      <c r="A1539" s="157" t="s">
        <v>557</v>
      </c>
      <c r="B1539" s="158">
        <v>4.0</v>
      </c>
      <c r="C1539" s="157" t="s">
        <v>1092</v>
      </c>
      <c r="D1539" s="157" t="s">
        <v>4718</v>
      </c>
      <c r="E1539" s="157" t="s">
        <v>4719</v>
      </c>
      <c r="F1539" s="162" t="s">
        <v>4750</v>
      </c>
      <c r="G1539" s="157" t="s">
        <v>4751</v>
      </c>
      <c r="H1539" s="157"/>
      <c r="I1539" s="158">
        <v>11.9551840450538</v>
      </c>
      <c r="J1539" s="158">
        <v>51.3952918322698</v>
      </c>
      <c r="K1539" s="157" t="s">
        <v>4752</v>
      </c>
      <c r="L1539" s="157" t="s">
        <v>648</v>
      </c>
      <c r="M1539" s="158">
        <v>2022.0</v>
      </c>
      <c r="N1539" s="157" t="s">
        <v>201</v>
      </c>
      <c r="O1539" s="157" t="s">
        <v>4722</v>
      </c>
      <c r="P1539" s="161" t="b">
        <v>1</v>
      </c>
      <c r="Q1539" s="158">
        <v>0.139</v>
      </c>
      <c r="R1539" s="158">
        <v>0.0</v>
      </c>
      <c r="S1539" s="158">
        <v>0.139</v>
      </c>
      <c r="T1539" s="157" t="s">
        <v>201</v>
      </c>
      <c r="U1539" s="46" t="s">
        <v>651</v>
      </c>
      <c r="V1539" s="46" t="b">
        <v>1</v>
      </c>
      <c r="W1539" s="46">
        <v>0.95</v>
      </c>
      <c r="X1539" s="46">
        <v>0.0</v>
      </c>
      <c r="Y1539" s="46">
        <v>0.0645729827816187</v>
      </c>
      <c r="Z1539" s="46" t="b">
        <v>1</v>
      </c>
      <c r="AA1539" s="46" t="b">
        <v>1</v>
      </c>
    </row>
    <row r="1540">
      <c r="A1540" s="157" t="s">
        <v>561</v>
      </c>
      <c r="B1540" s="158">
        <v>4.0</v>
      </c>
      <c r="C1540" s="157" t="s">
        <v>1092</v>
      </c>
      <c r="D1540" s="157" t="s">
        <v>4723</v>
      </c>
      <c r="E1540" s="157" t="s">
        <v>4724</v>
      </c>
      <c r="F1540" s="157" t="s">
        <v>4753</v>
      </c>
      <c r="G1540" s="157" t="s">
        <v>4754</v>
      </c>
      <c r="H1540" s="157"/>
      <c r="I1540" s="158">
        <v>-0.005726</v>
      </c>
      <c r="J1540" s="158">
        <v>39.952916</v>
      </c>
      <c r="K1540" s="157" t="s">
        <v>2325</v>
      </c>
      <c r="L1540" s="157" t="s">
        <v>648</v>
      </c>
      <c r="M1540" s="158">
        <v>2022.0</v>
      </c>
      <c r="N1540" s="157" t="s">
        <v>201</v>
      </c>
      <c r="O1540" s="157" t="s">
        <v>4722</v>
      </c>
      <c r="P1540" s="161" t="b">
        <v>1</v>
      </c>
      <c r="Q1540" s="158">
        <v>0.109</v>
      </c>
      <c r="R1540" s="158">
        <v>0.0</v>
      </c>
      <c r="S1540" s="158">
        <v>0.109</v>
      </c>
      <c r="T1540" s="157" t="s">
        <v>201</v>
      </c>
      <c r="U1540" s="46" t="s">
        <v>651</v>
      </c>
      <c r="V1540" s="46" t="b">
        <v>1</v>
      </c>
      <c r="W1540" s="46">
        <v>0.95</v>
      </c>
      <c r="X1540" s="46">
        <v>0.0</v>
      </c>
      <c r="Y1540" s="46" t="s">
        <v>640</v>
      </c>
      <c r="Z1540" s="46" t="b">
        <v>0</v>
      </c>
      <c r="AA1540" s="46" t="b">
        <v>0</v>
      </c>
    </row>
    <row r="1541">
      <c r="A1541" s="157" t="s">
        <v>564</v>
      </c>
      <c r="B1541" s="158">
        <v>4.0</v>
      </c>
      <c r="C1541" s="157" t="s">
        <v>1092</v>
      </c>
      <c r="D1541" s="157" t="s">
        <v>4755</v>
      </c>
      <c r="E1541" s="157" t="s">
        <v>4756</v>
      </c>
      <c r="F1541" s="157" t="s">
        <v>4757</v>
      </c>
      <c r="G1541" s="157" t="s">
        <v>4758</v>
      </c>
      <c r="H1541" s="157"/>
      <c r="I1541" s="158">
        <v>7.6631</v>
      </c>
      <c r="J1541" s="158">
        <v>47.5337</v>
      </c>
      <c r="K1541" s="157" t="s">
        <v>4759</v>
      </c>
      <c r="L1541" s="157" t="s">
        <v>648</v>
      </c>
      <c r="M1541" s="158">
        <v>2021.0</v>
      </c>
      <c r="N1541" s="157" t="s">
        <v>201</v>
      </c>
      <c r="O1541" s="157" t="s">
        <v>4722</v>
      </c>
      <c r="P1541" s="161" t="b">
        <v>1</v>
      </c>
      <c r="Q1541" s="158">
        <v>4.57E-4</v>
      </c>
      <c r="R1541" s="158">
        <v>0.0</v>
      </c>
      <c r="S1541" s="158">
        <v>4.57E-4</v>
      </c>
      <c r="T1541" s="157" t="s">
        <v>201</v>
      </c>
      <c r="U1541" s="46" t="s">
        <v>651</v>
      </c>
      <c r="V1541" s="46" t="b">
        <v>0</v>
      </c>
      <c r="W1541" s="46">
        <v>0.95</v>
      </c>
      <c r="X1541" s="46">
        <v>0.0</v>
      </c>
      <c r="Y1541" s="46">
        <v>29.1198265388795</v>
      </c>
      <c r="Z1541" s="46" t="b">
        <v>1</v>
      </c>
      <c r="AA1541" s="46" t="b">
        <v>1</v>
      </c>
    </row>
    <row r="1542">
      <c r="A1542" s="157" t="s">
        <v>562</v>
      </c>
      <c r="B1542" s="158">
        <v>4.0</v>
      </c>
      <c r="C1542" s="157" t="s">
        <v>1092</v>
      </c>
      <c r="D1542" s="157" t="s">
        <v>4760</v>
      </c>
      <c r="E1542" s="157" t="s">
        <v>4761</v>
      </c>
      <c r="F1542" s="162" t="s">
        <v>4762</v>
      </c>
      <c r="G1542" s="157" t="s">
        <v>4763</v>
      </c>
      <c r="H1542" s="157"/>
      <c r="I1542" s="158">
        <v>4.27224</v>
      </c>
      <c r="J1542" s="158">
        <v>51.36175</v>
      </c>
      <c r="K1542" s="157" t="s">
        <v>2148</v>
      </c>
      <c r="L1542" s="157" t="s">
        <v>648</v>
      </c>
      <c r="M1542" s="158">
        <v>2022.0</v>
      </c>
      <c r="N1542" s="157" t="s">
        <v>201</v>
      </c>
      <c r="O1542" s="157" t="s">
        <v>4764</v>
      </c>
      <c r="P1542" s="161" t="b">
        <v>1</v>
      </c>
      <c r="Q1542" s="158">
        <v>2.69</v>
      </c>
      <c r="R1542" s="158">
        <v>0.0</v>
      </c>
      <c r="S1542" s="158">
        <v>2.69</v>
      </c>
      <c r="T1542" s="157" t="s">
        <v>201</v>
      </c>
      <c r="U1542" s="46" t="s">
        <v>651</v>
      </c>
      <c r="V1542" s="46" t="b">
        <v>1</v>
      </c>
      <c r="W1542" s="46">
        <v>0.95</v>
      </c>
      <c r="X1542" s="46">
        <v>0.0</v>
      </c>
      <c r="Y1542" s="46">
        <v>6.28035471161067</v>
      </c>
      <c r="Z1542" s="46" t="b">
        <v>1</v>
      </c>
      <c r="AA1542" s="46" t="b">
        <v>1</v>
      </c>
    </row>
    <row r="1543">
      <c r="A1543" s="157" t="s">
        <v>562</v>
      </c>
      <c r="B1543" s="158">
        <v>4.0</v>
      </c>
      <c r="C1543" s="157" t="s">
        <v>1092</v>
      </c>
      <c r="D1543" s="157" t="s">
        <v>4760</v>
      </c>
      <c r="E1543" s="157" t="s">
        <v>4761</v>
      </c>
      <c r="F1543" s="157" t="s">
        <v>4765</v>
      </c>
      <c r="G1543" s="157" t="s">
        <v>4766</v>
      </c>
      <c r="H1543" s="157"/>
      <c r="I1543" s="158">
        <v>5.2071075</v>
      </c>
      <c r="J1543" s="158">
        <v>50.530754</v>
      </c>
      <c r="K1543" s="157" t="s">
        <v>4767</v>
      </c>
      <c r="L1543" s="157" t="s">
        <v>648</v>
      </c>
      <c r="M1543" s="158">
        <v>2022.0</v>
      </c>
      <c r="N1543" s="157" t="s">
        <v>201</v>
      </c>
      <c r="O1543" s="157" t="s">
        <v>4764</v>
      </c>
      <c r="P1543" s="161" t="b">
        <v>1</v>
      </c>
      <c r="Q1543" s="158">
        <v>0.563</v>
      </c>
      <c r="R1543" s="158">
        <v>0.0</v>
      </c>
      <c r="S1543" s="158">
        <v>0.563</v>
      </c>
      <c r="T1543" s="157" t="s">
        <v>201</v>
      </c>
      <c r="U1543" s="46" t="s">
        <v>651</v>
      </c>
      <c r="V1543" s="46" t="b">
        <v>1</v>
      </c>
      <c r="W1543" s="46">
        <v>0.95</v>
      </c>
      <c r="X1543" s="46">
        <v>0.0</v>
      </c>
      <c r="Y1543" s="46">
        <v>1.81625599917628</v>
      </c>
      <c r="Z1543" s="46" t="b">
        <v>1</v>
      </c>
      <c r="AA1543" s="46" t="b">
        <v>1</v>
      </c>
    </row>
    <row r="1544">
      <c r="A1544" s="157" t="s">
        <v>562</v>
      </c>
      <c r="B1544" s="158">
        <v>4.0</v>
      </c>
      <c r="C1544" s="157" t="s">
        <v>1092</v>
      </c>
      <c r="D1544" s="157" t="s">
        <v>4760</v>
      </c>
      <c r="E1544" s="157" t="s">
        <v>4761</v>
      </c>
      <c r="F1544" s="162" t="s">
        <v>4768</v>
      </c>
      <c r="G1544" s="157" t="s">
        <v>4769</v>
      </c>
      <c r="H1544" s="157"/>
      <c r="I1544" s="158">
        <v>4.30723</v>
      </c>
      <c r="J1544" s="158">
        <v>51.30411</v>
      </c>
      <c r="K1544" s="157" t="s">
        <v>2148</v>
      </c>
      <c r="L1544" s="157" t="s">
        <v>648</v>
      </c>
      <c r="M1544" s="158">
        <v>2022.0</v>
      </c>
      <c r="N1544" s="157" t="s">
        <v>201</v>
      </c>
      <c r="O1544" s="157" t="s">
        <v>4764</v>
      </c>
      <c r="P1544" s="161" t="b">
        <v>1</v>
      </c>
      <c r="Q1544" s="158">
        <v>0.47</v>
      </c>
      <c r="R1544" s="158">
        <v>0.0</v>
      </c>
      <c r="S1544" s="158">
        <v>0.47</v>
      </c>
      <c r="T1544" s="157" t="s">
        <v>201</v>
      </c>
      <c r="U1544" s="46" t="s">
        <v>651</v>
      </c>
      <c r="V1544" s="46" t="b">
        <v>1</v>
      </c>
      <c r="W1544" s="46">
        <v>0.95</v>
      </c>
      <c r="X1544" s="46">
        <v>0.0</v>
      </c>
      <c r="Y1544" s="46">
        <v>0.395812695697812</v>
      </c>
      <c r="Z1544" s="46" t="b">
        <v>1</v>
      </c>
      <c r="AA1544" s="46" t="b">
        <v>1</v>
      </c>
    </row>
    <row r="1545">
      <c r="A1545" s="157" t="s">
        <v>562</v>
      </c>
      <c r="B1545" s="158">
        <v>4.0</v>
      </c>
      <c r="C1545" s="157" t="s">
        <v>1092</v>
      </c>
      <c r="D1545" s="157" t="s">
        <v>4760</v>
      </c>
      <c r="E1545" s="157" t="s">
        <v>4761</v>
      </c>
      <c r="F1545" s="162" t="s">
        <v>4770</v>
      </c>
      <c r="G1545" s="157" t="s">
        <v>4771</v>
      </c>
      <c r="H1545" s="157"/>
      <c r="I1545" s="158">
        <v>4.3192</v>
      </c>
      <c r="J1545" s="158">
        <v>51.23458</v>
      </c>
      <c r="K1545" s="157" t="s">
        <v>2404</v>
      </c>
      <c r="L1545" s="157" t="s">
        <v>648</v>
      </c>
      <c r="M1545" s="158">
        <v>2022.0</v>
      </c>
      <c r="N1545" s="157" t="s">
        <v>201</v>
      </c>
      <c r="O1545" s="157" t="s">
        <v>4764</v>
      </c>
      <c r="P1545" s="161" t="b">
        <v>1</v>
      </c>
      <c r="Q1545" s="158">
        <v>0.211</v>
      </c>
      <c r="R1545" s="158">
        <v>0.0</v>
      </c>
      <c r="S1545" s="158">
        <v>0.211</v>
      </c>
      <c r="T1545" s="157" t="s">
        <v>201</v>
      </c>
      <c r="U1545" s="46" t="s">
        <v>651</v>
      </c>
      <c r="V1545" s="46" t="b">
        <v>1</v>
      </c>
      <c r="W1545" s="46">
        <v>0.95</v>
      </c>
      <c r="X1545" s="46">
        <v>0.0</v>
      </c>
      <c r="Y1545" s="46">
        <v>6.10463296577408</v>
      </c>
      <c r="Z1545" s="46" t="b">
        <v>1</v>
      </c>
      <c r="AA1545" s="46" t="b">
        <v>1</v>
      </c>
    </row>
    <row r="1546">
      <c r="A1546" s="157" t="s">
        <v>562</v>
      </c>
      <c r="B1546" s="158">
        <v>4.0</v>
      </c>
      <c r="C1546" s="157" t="s">
        <v>1092</v>
      </c>
      <c r="D1546" s="157" t="s">
        <v>4760</v>
      </c>
      <c r="E1546" s="157" t="s">
        <v>4761</v>
      </c>
      <c r="F1546" s="162" t="s">
        <v>4772</v>
      </c>
      <c r="G1546" s="157" t="s">
        <v>4773</v>
      </c>
      <c r="H1546" s="157"/>
      <c r="I1546" s="158">
        <v>3.79426</v>
      </c>
      <c r="J1546" s="158">
        <v>51.14163</v>
      </c>
      <c r="K1546" s="157" t="s">
        <v>855</v>
      </c>
      <c r="L1546" s="157" t="s">
        <v>648</v>
      </c>
      <c r="M1546" s="158">
        <v>2022.0</v>
      </c>
      <c r="N1546" s="157" t="s">
        <v>201</v>
      </c>
      <c r="O1546" s="157" t="s">
        <v>4764</v>
      </c>
      <c r="P1546" s="161" t="b">
        <v>1</v>
      </c>
      <c r="Q1546" s="158">
        <v>0.172</v>
      </c>
      <c r="R1546" s="158">
        <v>0.0</v>
      </c>
      <c r="S1546" s="158">
        <v>0.172</v>
      </c>
      <c r="T1546" s="157" t="s">
        <v>201</v>
      </c>
      <c r="U1546" s="46" t="s">
        <v>651</v>
      </c>
      <c r="V1546" s="46" t="b">
        <v>1</v>
      </c>
      <c r="W1546" s="46">
        <v>0.95</v>
      </c>
      <c r="X1546" s="46">
        <v>0.0</v>
      </c>
      <c r="Y1546" s="46">
        <v>4.83359595329004</v>
      </c>
      <c r="Z1546" s="46" t="b">
        <v>1</v>
      </c>
      <c r="AA1546" s="46" t="b">
        <v>1</v>
      </c>
    </row>
    <row r="1547">
      <c r="A1547" s="157" t="s">
        <v>562</v>
      </c>
      <c r="B1547" s="158">
        <v>4.0</v>
      </c>
      <c r="C1547" s="157" t="s">
        <v>1092</v>
      </c>
      <c r="D1547" s="157" t="s">
        <v>4760</v>
      </c>
      <c r="E1547" s="157" t="s">
        <v>4761</v>
      </c>
      <c r="F1547" s="162" t="s">
        <v>4774</v>
      </c>
      <c r="G1547" s="157" t="s">
        <v>4775</v>
      </c>
      <c r="H1547" s="157"/>
      <c r="I1547" s="158">
        <v>4.27366</v>
      </c>
      <c r="J1547" s="158">
        <v>51.29118</v>
      </c>
      <c r="K1547" s="157" t="s">
        <v>3639</v>
      </c>
      <c r="L1547" s="157" t="s">
        <v>648</v>
      </c>
      <c r="M1547" s="158">
        <v>2022.0</v>
      </c>
      <c r="N1547" s="157" t="s">
        <v>201</v>
      </c>
      <c r="O1547" s="157" t="s">
        <v>4764</v>
      </c>
      <c r="P1547" s="161" t="b">
        <v>1</v>
      </c>
      <c r="Q1547" s="158">
        <v>0.128</v>
      </c>
      <c r="R1547" s="158">
        <v>0.0</v>
      </c>
      <c r="S1547" s="158">
        <v>0.128</v>
      </c>
      <c r="T1547" s="157" t="s">
        <v>201</v>
      </c>
      <c r="U1547" s="46" t="s">
        <v>651</v>
      </c>
      <c r="V1547" s="46" t="b">
        <v>1</v>
      </c>
      <c r="W1547" s="46">
        <v>0.95</v>
      </c>
      <c r="X1547" s="46">
        <v>0.0</v>
      </c>
      <c r="Y1547" s="46">
        <v>0.275880172776408</v>
      </c>
      <c r="Z1547" s="46" t="b">
        <v>1</v>
      </c>
      <c r="AA1547" s="46" t="b">
        <v>1</v>
      </c>
    </row>
    <row r="1548">
      <c r="A1548" s="157" t="s">
        <v>565</v>
      </c>
      <c r="B1548" s="158">
        <v>4.0</v>
      </c>
      <c r="C1548" s="157" t="s">
        <v>1092</v>
      </c>
      <c r="D1548" s="157" t="s">
        <v>4760</v>
      </c>
      <c r="E1548" s="157" t="s">
        <v>4761</v>
      </c>
      <c r="F1548" s="157" t="s">
        <v>4776</v>
      </c>
      <c r="G1548" s="157" t="s">
        <v>4777</v>
      </c>
      <c r="H1548" s="157"/>
      <c r="I1548" s="158">
        <v>12.66782347</v>
      </c>
      <c r="J1548" s="158">
        <v>50.18125435</v>
      </c>
      <c r="K1548" s="157" t="s">
        <v>4778</v>
      </c>
      <c r="L1548" s="157" t="s">
        <v>648</v>
      </c>
      <c r="M1548" s="158">
        <v>2020.0</v>
      </c>
      <c r="N1548" s="157" t="s">
        <v>201</v>
      </c>
      <c r="O1548" s="157" t="s">
        <v>4764</v>
      </c>
      <c r="P1548" s="161" t="b">
        <v>1</v>
      </c>
      <c r="Q1548" s="158">
        <v>0.123149</v>
      </c>
      <c r="R1548" s="158">
        <v>0.0</v>
      </c>
      <c r="S1548" s="158">
        <v>0.123149</v>
      </c>
      <c r="T1548" s="157" t="s">
        <v>201</v>
      </c>
      <c r="U1548" s="46" t="s">
        <v>651</v>
      </c>
      <c r="V1548" s="46" t="b">
        <v>1</v>
      </c>
      <c r="W1548" s="46">
        <v>0.95</v>
      </c>
      <c r="X1548" s="46">
        <v>0.0</v>
      </c>
      <c r="Y1548" s="46">
        <v>43.9389260722297</v>
      </c>
      <c r="Z1548" s="46" t="b">
        <v>1</v>
      </c>
      <c r="AA1548" s="46" t="b">
        <v>1</v>
      </c>
    </row>
    <row r="1549">
      <c r="A1549" s="157" t="s">
        <v>556</v>
      </c>
      <c r="B1549" s="158">
        <v>4.0</v>
      </c>
      <c r="C1549" s="157" t="s">
        <v>1092</v>
      </c>
      <c r="D1549" s="157" t="s">
        <v>4760</v>
      </c>
      <c r="E1549" s="157" t="s">
        <v>4761</v>
      </c>
      <c r="F1549" s="157" t="s">
        <v>4779</v>
      </c>
      <c r="G1549" s="157" t="s">
        <v>4780</v>
      </c>
      <c r="H1549" s="157"/>
      <c r="I1549" s="158">
        <v>7.54591</v>
      </c>
      <c r="J1549" s="158">
        <v>47.8265</v>
      </c>
      <c r="K1549" s="157" t="s">
        <v>4048</v>
      </c>
      <c r="L1549" s="157" t="s">
        <v>648</v>
      </c>
      <c r="M1549" s="158">
        <v>2022.0</v>
      </c>
      <c r="N1549" s="157" t="s">
        <v>201</v>
      </c>
      <c r="O1549" s="157" t="s">
        <v>4764</v>
      </c>
      <c r="P1549" s="161" t="b">
        <v>1</v>
      </c>
      <c r="Q1549" s="158">
        <v>0.296</v>
      </c>
      <c r="R1549" s="158">
        <v>0.0</v>
      </c>
      <c r="S1549" s="158">
        <v>0.296</v>
      </c>
      <c r="T1549" s="157" t="s">
        <v>201</v>
      </c>
      <c r="U1549" s="46" t="s">
        <v>651</v>
      </c>
      <c r="V1549" s="46" t="b">
        <v>1</v>
      </c>
      <c r="W1549" s="46">
        <v>0.95</v>
      </c>
      <c r="X1549" s="46">
        <v>0.0</v>
      </c>
      <c r="Y1549" s="46">
        <v>36.8018242697384</v>
      </c>
      <c r="Z1549" s="46" t="b">
        <v>1</v>
      </c>
      <c r="AA1549" s="46" t="b">
        <v>1</v>
      </c>
    </row>
    <row r="1550">
      <c r="A1550" s="157" t="s">
        <v>556</v>
      </c>
      <c r="B1550" s="158">
        <v>4.0</v>
      </c>
      <c r="C1550" s="157" t="s">
        <v>1092</v>
      </c>
      <c r="D1550" s="157" t="s">
        <v>4760</v>
      </c>
      <c r="E1550" s="157" t="s">
        <v>4761</v>
      </c>
      <c r="F1550" s="157" t="s">
        <v>4781</v>
      </c>
      <c r="G1550" s="157" t="s">
        <v>4782</v>
      </c>
      <c r="H1550" s="157"/>
      <c r="I1550" s="158">
        <v>4.86021</v>
      </c>
      <c r="J1550" s="158">
        <v>43.4201</v>
      </c>
      <c r="K1550" s="157" t="s">
        <v>1000</v>
      </c>
      <c r="L1550" s="157" t="s">
        <v>648</v>
      </c>
      <c r="M1550" s="158">
        <v>2022.0</v>
      </c>
      <c r="N1550" s="157" t="s">
        <v>201</v>
      </c>
      <c r="O1550" s="157" t="s">
        <v>4764</v>
      </c>
      <c r="P1550" s="161" t="b">
        <v>1</v>
      </c>
      <c r="Q1550" s="158">
        <v>0.205</v>
      </c>
      <c r="R1550" s="158">
        <v>0.0</v>
      </c>
      <c r="S1550" s="158">
        <v>0.205</v>
      </c>
      <c r="T1550" s="157" t="s">
        <v>201</v>
      </c>
      <c r="U1550" s="46" t="s">
        <v>651</v>
      </c>
      <c r="V1550" s="46" t="b">
        <v>1</v>
      </c>
      <c r="W1550" s="46">
        <v>0.95</v>
      </c>
      <c r="X1550" s="46">
        <v>0.0</v>
      </c>
      <c r="Y1550" s="46">
        <v>16.0147410904209</v>
      </c>
      <c r="Z1550" s="46" t="b">
        <v>1</v>
      </c>
      <c r="AA1550" s="46" t="b">
        <v>1</v>
      </c>
    </row>
    <row r="1551">
      <c r="A1551" s="157" t="s">
        <v>556</v>
      </c>
      <c r="B1551" s="158">
        <v>4.0</v>
      </c>
      <c r="C1551" s="157" t="s">
        <v>1092</v>
      </c>
      <c r="D1551" s="157" t="s">
        <v>4760</v>
      </c>
      <c r="E1551" s="157" t="s">
        <v>4761</v>
      </c>
      <c r="F1551" s="157" t="s">
        <v>4783</v>
      </c>
      <c r="G1551" s="157" t="s">
        <v>4784</v>
      </c>
      <c r="H1551" s="157"/>
      <c r="I1551" s="158">
        <v>0.52521</v>
      </c>
      <c r="J1551" s="158">
        <v>49.4891</v>
      </c>
      <c r="K1551" s="157" t="s">
        <v>2985</v>
      </c>
      <c r="L1551" s="157" t="s">
        <v>648</v>
      </c>
      <c r="M1551" s="158">
        <v>2022.0</v>
      </c>
      <c r="N1551" s="157" t="s">
        <v>201</v>
      </c>
      <c r="O1551" s="157" t="s">
        <v>4764</v>
      </c>
      <c r="P1551" s="161" t="b">
        <v>1</v>
      </c>
      <c r="Q1551" s="158">
        <v>0.189</v>
      </c>
      <c r="R1551" s="158">
        <v>0.0</v>
      </c>
      <c r="S1551" s="158">
        <v>0.189</v>
      </c>
      <c r="T1551" s="157" t="s">
        <v>201</v>
      </c>
      <c r="U1551" s="46" t="s">
        <v>651</v>
      </c>
      <c r="V1551" s="46" t="b">
        <v>1</v>
      </c>
      <c r="W1551" s="46">
        <v>0.95</v>
      </c>
      <c r="X1551" s="46">
        <v>0.0</v>
      </c>
      <c r="Y1551" s="46">
        <v>1.62046830543453</v>
      </c>
      <c r="Z1551" s="46" t="b">
        <v>1</v>
      </c>
      <c r="AA1551" s="46" t="b">
        <v>1</v>
      </c>
    </row>
    <row r="1552">
      <c r="A1552" s="157" t="s">
        <v>556</v>
      </c>
      <c r="B1552" s="158">
        <v>4.0</v>
      </c>
      <c r="C1552" s="157" t="s">
        <v>1092</v>
      </c>
      <c r="D1552" s="157" t="s">
        <v>4760</v>
      </c>
      <c r="E1552" s="157" t="s">
        <v>4761</v>
      </c>
      <c r="F1552" s="157" t="s">
        <v>4785</v>
      </c>
      <c r="G1552" s="157" t="s">
        <v>4786</v>
      </c>
      <c r="H1552" s="157"/>
      <c r="I1552" s="158">
        <v>-1.29873</v>
      </c>
      <c r="J1552" s="158">
        <v>43.947</v>
      </c>
      <c r="K1552" s="157" t="s">
        <v>4787</v>
      </c>
      <c r="L1552" s="157" t="s">
        <v>648</v>
      </c>
      <c r="M1552" s="158">
        <v>2022.0</v>
      </c>
      <c r="N1552" s="157" t="s">
        <v>201</v>
      </c>
      <c r="O1552" s="157" t="s">
        <v>4764</v>
      </c>
      <c r="P1552" s="161" t="b">
        <v>1</v>
      </c>
      <c r="Q1552" s="158">
        <v>0.163</v>
      </c>
      <c r="R1552" s="158">
        <v>0.0</v>
      </c>
      <c r="S1552" s="158">
        <v>0.163</v>
      </c>
      <c r="T1552" s="157" t="s">
        <v>201</v>
      </c>
      <c r="U1552" s="46" t="s">
        <v>651</v>
      </c>
      <c r="V1552" s="46" t="b">
        <v>1</v>
      </c>
      <c r="W1552" s="46">
        <v>0.95</v>
      </c>
      <c r="X1552" s="46">
        <v>0.0</v>
      </c>
      <c r="Y1552" s="46">
        <v>26.7150246387828</v>
      </c>
      <c r="Z1552" s="46" t="b">
        <v>1</v>
      </c>
      <c r="AA1552" s="46" t="b">
        <v>1</v>
      </c>
    </row>
    <row r="1553">
      <c r="A1553" s="157" t="s">
        <v>556</v>
      </c>
      <c r="B1553" s="158">
        <v>4.0</v>
      </c>
      <c r="C1553" s="157" t="s">
        <v>1092</v>
      </c>
      <c r="D1553" s="157" t="s">
        <v>4760</v>
      </c>
      <c r="E1553" s="157" t="s">
        <v>4761</v>
      </c>
      <c r="F1553" s="157" t="s">
        <v>4788</v>
      </c>
      <c r="G1553" s="157" t="s">
        <v>4789</v>
      </c>
      <c r="H1553" s="157"/>
      <c r="I1553" s="158">
        <v>6.70733</v>
      </c>
      <c r="J1553" s="158">
        <v>49.1401</v>
      </c>
      <c r="K1553" s="157" t="s">
        <v>1331</v>
      </c>
      <c r="L1553" s="157" t="s">
        <v>648</v>
      </c>
      <c r="M1553" s="158">
        <v>2022.0</v>
      </c>
      <c r="N1553" s="157" t="s">
        <v>201</v>
      </c>
      <c r="O1553" s="157" t="s">
        <v>4764</v>
      </c>
      <c r="P1553" s="161" t="b">
        <v>1</v>
      </c>
      <c r="Q1553" s="158">
        <v>0.143</v>
      </c>
      <c r="R1553" s="158">
        <v>0.0</v>
      </c>
      <c r="S1553" s="158">
        <v>0.143</v>
      </c>
      <c r="T1553" s="157" t="s">
        <v>201</v>
      </c>
      <c r="U1553" s="46" t="s">
        <v>651</v>
      </c>
      <c r="V1553" s="46" t="b">
        <v>1</v>
      </c>
      <c r="W1553" s="46">
        <v>0.95</v>
      </c>
      <c r="X1553" s="46">
        <v>0.0</v>
      </c>
      <c r="Y1553" s="46">
        <v>8.39331530170958</v>
      </c>
      <c r="Z1553" s="46" t="b">
        <v>1</v>
      </c>
      <c r="AA1553" s="46" t="b">
        <v>1</v>
      </c>
    </row>
    <row r="1554">
      <c r="A1554" s="157" t="s">
        <v>557</v>
      </c>
      <c r="B1554" s="158">
        <v>4.0</v>
      </c>
      <c r="C1554" s="157" t="s">
        <v>1092</v>
      </c>
      <c r="D1554" s="157" t="s">
        <v>4760</v>
      </c>
      <c r="E1554" s="157" t="s">
        <v>4761</v>
      </c>
      <c r="F1554" s="162" t="s">
        <v>4790</v>
      </c>
      <c r="G1554" s="157" t="s">
        <v>4791</v>
      </c>
      <c r="H1554" s="157"/>
      <c r="I1554" s="158">
        <v>8.42344564701332</v>
      </c>
      <c r="J1554" s="158">
        <v>49.5173911862855</v>
      </c>
      <c r="K1554" s="157" t="s">
        <v>4792</v>
      </c>
      <c r="L1554" s="157" t="s">
        <v>648</v>
      </c>
      <c r="M1554" s="158">
        <v>2022.0</v>
      </c>
      <c r="N1554" s="157" t="s">
        <v>201</v>
      </c>
      <c r="O1554" s="157" t="s">
        <v>4764</v>
      </c>
      <c r="P1554" s="161" t="b">
        <v>1</v>
      </c>
      <c r="Q1554" s="158">
        <v>6.05</v>
      </c>
      <c r="R1554" s="158">
        <v>0.0</v>
      </c>
      <c r="S1554" s="158">
        <v>6.05</v>
      </c>
      <c r="T1554" s="157" t="s">
        <v>201</v>
      </c>
      <c r="U1554" s="46" t="s">
        <v>651</v>
      </c>
      <c r="V1554" s="46" t="b">
        <v>1</v>
      </c>
      <c r="W1554" s="46">
        <v>0.95</v>
      </c>
      <c r="X1554" s="46">
        <v>0.0</v>
      </c>
      <c r="Y1554" s="46">
        <v>5.02084125598915</v>
      </c>
      <c r="Z1554" s="46" t="b">
        <v>1</v>
      </c>
      <c r="AA1554" s="46" t="b">
        <v>1</v>
      </c>
    </row>
    <row r="1555">
      <c r="A1555" s="157" t="s">
        <v>557</v>
      </c>
      <c r="B1555" s="158">
        <v>4.0</v>
      </c>
      <c r="C1555" s="157" t="s">
        <v>1092</v>
      </c>
      <c r="D1555" s="157" t="s">
        <v>4760</v>
      </c>
      <c r="E1555" s="157" t="s">
        <v>4761</v>
      </c>
      <c r="F1555" s="162" t="s">
        <v>4793</v>
      </c>
      <c r="G1555" s="157" t="s">
        <v>4794</v>
      </c>
      <c r="H1555" s="157"/>
      <c r="I1555" s="158">
        <v>13.8869788480767</v>
      </c>
      <c r="J1555" s="158">
        <v>51.4803390727399</v>
      </c>
      <c r="K1555" s="157" t="s">
        <v>4795</v>
      </c>
      <c r="L1555" s="157" t="s">
        <v>648</v>
      </c>
      <c r="M1555" s="158">
        <v>2022.0</v>
      </c>
      <c r="N1555" s="157" t="s">
        <v>201</v>
      </c>
      <c r="O1555" s="157" t="s">
        <v>4764</v>
      </c>
      <c r="P1555" s="161" t="b">
        <v>1</v>
      </c>
      <c r="Q1555" s="158">
        <v>0.339</v>
      </c>
      <c r="R1555" s="158">
        <v>0.0</v>
      </c>
      <c r="S1555" s="158">
        <v>0.339</v>
      </c>
      <c r="T1555" s="157" t="s">
        <v>201</v>
      </c>
      <c r="U1555" s="46" t="s">
        <v>651</v>
      </c>
      <c r="V1555" s="46" t="b">
        <v>1</v>
      </c>
      <c r="W1555" s="46">
        <v>0.95</v>
      </c>
      <c r="X1555" s="46">
        <v>0.0</v>
      </c>
      <c r="Y1555" s="46">
        <v>10.3202416954407</v>
      </c>
      <c r="Z1555" s="46" t="b">
        <v>1</v>
      </c>
      <c r="AA1555" s="46" t="b">
        <v>1</v>
      </c>
    </row>
    <row r="1556">
      <c r="A1556" s="157" t="s">
        <v>557</v>
      </c>
      <c r="B1556" s="158">
        <v>4.0</v>
      </c>
      <c r="C1556" s="157" t="s">
        <v>1092</v>
      </c>
      <c r="D1556" s="157" t="s">
        <v>4760</v>
      </c>
      <c r="E1556" s="157" t="s">
        <v>4761</v>
      </c>
      <c r="F1556" s="162" t="s">
        <v>4796</v>
      </c>
      <c r="G1556" s="157" t="s">
        <v>4797</v>
      </c>
      <c r="H1556" s="157"/>
      <c r="I1556" s="158">
        <v>9.1579628979056</v>
      </c>
      <c r="J1556" s="158">
        <v>53.9128775</v>
      </c>
      <c r="K1556" s="157" t="s">
        <v>4062</v>
      </c>
      <c r="L1556" s="157" t="s">
        <v>648</v>
      </c>
      <c r="M1556" s="158">
        <v>2022.0</v>
      </c>
      <c r="N1556" s="157" t="s">
        <v>201</v>
      </c>
      <c r="O1556" s="157" t="s">
        <v>4764</v>
      </c>
      <c r="P1556" s="161" t="b">
        <v>1</v>
      </c>
      <c r="Q1556" s="158">
        <v>0.203</v>
      </c>
      <c r="R1556" s="158">
        <v>0.0</v>
      </c>
      <c r="S1556" s="158">
        <v>0.203</v>
      </c>
      <c r="T1556" s="157" t="s">
        <v>201</v>
      </c>
      <c r="U1556" s="46" t="s">
        <v>651</v>
      </c>
      <c r="V1556" s="46" t="b">
        <v>1</v>
      </c>
      <c r="W1556" s="46">
        <v>0.95</v>
      </c>
      <c r="X1556" s="46">
        <v>0.0</v>
      </c>
      <c r="Y1556" s="46">
        <v>30.2336419881646</v>
      </c>
      <c r="Z1556" s="46" t="b">
        <v>1</v>
      </c>
      <c r="AA1556" s="46" t="b">
        <v>1</v>
      </c>
    </row>
    <row r="1557">
      <c r="A1557" s="157" t="s">
        <v>557</v>
      </c>
      <c r="B1557" s="158">
        <v>4.0</v>
      </c>
      <c r="C1557" s="157" t="s">
        <v>1092</v>
      </c>
      <c r="D1557" s="157" t="s">
        <v>4760</v>
      </c>
      <c r="E1557" s="157" t="s">
        <v>4761</v>
      </c>
      <c r="F1557" s="162" t="s">
        <v>4798</v>
      </c>
      <c r="G1557" s="157" t="s">
        <v>4799</v>
      </c>
      <c r="H1557" s="157"/>
      <c r="I1557" s="158">
        <v>9.95292127256902</v>
      </c>
      <c r="J1557" s="158">
        <v>53.5186944326293</v>
      </c>
      <c r="K1557" s="157" t="s">
        <v>903</v>
      </c>
      <c r="L1557" s="157" t="s">
        <v>648</v>
      </c>
      <c r="M1557" s="158">
        <v>2022.0</v>
      </c>
      <c r="N1557" s="157" t="s">
        <v>201</v>
      </c>
      <c r="O1557" s="157" t="s">
        <v>4764</v>
      </c>
      <c r="P1557" s="161" t="b">
        <v>1</v>
      </c>
      <c r="Q1557" s="158">
        <v>0.201</v>
      </c>
      <c r="R1557" s="158">
        <v>0.0</v>
      </c>
      <c r="S1557" s="158">
        <v>0.201</v>
      </c>
      <c r="T1557" s="157" t="s">
        <v>201</v>
      </c>
      <c r="U1557" s="46" t="s">
        <v>651</v>
      </c>
      <c r="V1557" s="46" t="b">
        <v>1</v>
      </c>
      <c r="W1557" s="46">
        <v>0.95</v>
      </c>
      <c r="X1557" s="46">
        <v>0.0</v>
      </c>
      <c r="Y1557" s="46">
        <v>5.66608854041787</v>
      </c>
      <c r="Z1557" s="46" t="b">
        <v>1</v>
      </c>
      <c r="AA1557" s="46" t="b">
        <v>1</v>
      </c>
    </row>
    <row r="1558">
      <c r="A1558" s="157" t="s">
        <v>569</v>
      </c>
      <c r="B1558" s="158">
        <v>4.0</v>
      </c>
      <c r="C1558" s="157" t="s">
        <v>1092</v>
      </c>
      <c r="D1558" s="157" t="s">
        <v>4760</v>
      </c>
      <c r="E1558" s="157" t="s">
        <v>4761</v>
      </c>
      <c r="F1558" s="157" t="s">
        <v>4800</v>
      </c>
      <c r="G1558" s="157" t="s">
        <v>4801</v>
      </c>
      <c r="H1558" s="157"/>
      <c r="I1558" s="158">
        <v>18.912516</v>
      </c>
      <c r="J1558" s="158">
        <v>46.83268</v>
      </c>
      <c r="K1558" s="157" t="s">
        <v>4802</v>
      </c>
      <c r="L1558" s="157" t="s">
        <v>648</v>
      </c>
      <c r="M1558" s="158">
        <v>2022.0</v>
      </c>
      <c r="N1558" s="157" t="s">
        <v>201</v>
      </c>
      <c r="O1558" s="157" t="s">
        <v>4764</v>
      </c>
      <c r="P1558" s="161" t="b">
        <v>1</v>
      </c>
      <c r="Q1558" s="158">
        <v>0.110904</v>
      </c>
      <c r="R1558" s="158">
        <v>0.0</v>
      </c>
      <c r="S1558" s="158">
        <v>0.110904</v>
      </c>
      <c r="T1558" s="157" t="s">
        <v>201</v>
      </c>
      <c r="U1558" s="46" t="s">
        <v>651</v>
      </c>
      <c r="V1558" s="46" t="b">
        <v>1</v>
      </c>
      <c r="W1558" s="46">
        <v>0.95</v>
      </c>
      <c r="X1558" s="46">
        <v>0.0</v>
      </c>
      <c r="Y1558" s="46">
        <v>126.612954516449</v>
      </c>
      <c r="Z1558" s="46" t="b">
        <v>0</v>
      </c>
      <c r="AA1558" s="46" t="b">
        <v>0</v>
      </c>
    </row>
    <row r="1559">
      <c r="A1559" s="157" t="s">
        <v>558</v>
      </c>
      <c r="B1559" s="158">
        <v>4.0</v>
      </c>
      <c r="C1559" s="157" t="s">
        <v>1092</v>
      </c>
      <c r="D1559" s="157" t="s">
        <v>4760</v>
      </c>
      <c r="E1559" s="157" t="s">
        <v>4761</v>
      </c>
      <c r="F1559" s="157" t="s">
        <v>4803</v>
      </c>
      <c r="G1559" s="157" t="s">
        <v>4804</v>
      </c>
      <c r="H1559" s="157"/>
      <c r="I1559" s="158">
        <v>-8.82023</v>
      </c>
      <c r="J1559" s="158">
        <v>37.9804</v>
      </c>
      <c r="K1559" s="157" t="s">
        <v>3131</v>
      </c>
      <c r="L1559" s="157" t="s">
        <v>648</v>
      </c>
      <c r="M1559" s="158">
        <v>2022.0</v>
      </c>
      <c r="N1559" s="157" t="s">
        <v>201</v>
      </c>
      <c r="O1559" s="157" t="s">
        <v>4764</v>
      </c>
      <c r="P1559" s="161" t="b">
        <v>1</v>
      </c>
      <c r="Q1559" s="158">
        <v>0.227</v>
      </c>
      <c r="R1559" s="158">
        <v>0.0</v>
      </c>
      <c r="S1559" s="158">
        <v>0.227</v>
      </c>
      <c r="T1559" s="157" t="s">
        <v>201</v>
      </c>
      <c r="U1559" s="46" t="s">
        <v>651</v>
      </c>
      <c r="V1559" s="46" t="b">
        <v>1</v>
      </c>
      <c r="W1559" s="46">
        <v>0.95</v>
      </c>
      <c r="X1559" s="46">
        <v>0.0</v>
      </c>
      <c r="Y1559" s="46" t="s">
        <v>640</v>
      </c>
      <c r="Z1559" s="46" t="b">
        <v>0</v>
      </c>
      <c r="AA1559" s="46" t="b">
        <v>0</v>
      </c>
    </row>
    <row r="1560">
      <c r="A1560" s="157" t="s">
        <v>561</v>
      </c>
      <c r="B1560" s="158">
        <v>4.0</v>
      </c>
      <c r="C1560" s="157" t="s">
        <v>1092</v>
      </c>
      <c r="D1560" s="157" t="s">
        <v>4760</v>
      </c>
      <c r="E1560" s="157" t="s">
        <v>4761</v>
      </c>
      <c r="F1560" s="157" t="s">
        <v>4805</v>
      </c>
      <c r="G1560" s="157" t="s">
        <v>4806</v>
      </c>
      <c r="H1560" s="157"/>
      <c r="I1560" s="158">
        <v>-5.436111</v>
      </c>
      <c r="J1560" s="158">
        <v>40.969722</v>
      </c>
      <c r="K1560" s="157" t="s">
        <v>4807</v>
      </c>
      <c r="L1560" s="157" t="s">
        <v>648</v>
      </c>
      <c r="M1560" s="158">
        <v>2022.0</v>
      </c>
      <c r="N1560" s="157" t="s">
        <v>201</v>
      </c>
      <c r="O1560" s="157" t="s">
        <v>4764</v>
      </c>
      <c r="P1560" s="161" t="b">
        <v>1</v>
      </c>
      <c r="Q1560" s="158">
        <v>0.163</v>
      </c>
      <c r="R1560" s="158">
        <v>0.0</v>
      </c>
      <c r="S1560" s="158">
        <v>0.163</v>
      </c>
      <c r="T1560" s="157" t="s">
        <v>201</v>
      </c>
      <c r="U1560" s="46" t="s">
        <v>651</v>
      </c>
      <c r="V1560" s="46" t="b">
        <v>1</v>
      </c>
      <c r="W1560" s="46">
        <v>0.95</v>
      </c>
      <c r="X1560" s="46">
        <v>0.0</v>
      </c>
      <c r="Y1560" s="46" t="s">
        <v>640</v>
      </c>
      <c r="Z1560" s="46" t="b">
        <v>0</v>
      </c>
      <c r="AA1560" s="46" t="b">
        <v>0</v>
      </c>
    </row>
    <row r="1561">
      <c r="A1561" s="157" t="s">
        <v>561</v>
      </c>
      <c r="B1561" s="158">
        <v>4.0</v>
      </c>
      <c r="C1561" s="157" t="s">
        <v>1092</v>
      </c>
      <c r="D1561" s="157" t="s">
        <v>4760</v>
      </c>
      <c r="E1561" s="157" t="s">
        <v>4761</v>
      </c>
      <c r="F1561" s="157" t="s">
        <v>4808</v>
      </c>
      <c r="G1561" s="157" t="s">
        <v>4809</v>
      </c>
      <c r="H1561" s="157"/>
      <c r="I1561" s="158">
        <v>-8.022836</v>
      </c>
      <c r="J1561" s="158">
        <v>43.157278</v>
      </c>
      <c r="K1561" s="157" t="s">
        <v>4810</v>
      </c>
      <c r="L1561" s="157" t="s">
        <v>648</v>
      </c>
      <c r="M1561" s="158">
        <v>2022.0</v>
      </c>
      <c r="N1561" s="157" t="s">
        <v>201</v>
      </c>
      <c r="O1561" s="157" t="s">
        <v>4764</v>
      </c>
      <c r="P1561" s="161" t="b">
        <v>1</v>
      </c>
      <c r="Q1561" s="158">
        <v>0.128</v>
      </c>
      <c r="R1561" s="158">
        <v>0.0</v>
      </c>
      <c r="S1561" s="158">
        <v>0.128</v>
      </c>
      <c r="T1561" s="157" t="s">
        <v>201</v>
      </c>
      <c r="U1561" s="46" t="s">
        <v>651</v>
      </c>
      <c r="V1561" s="46" t="b">
        <v>1</v>
      </c>
      <c r="W1561" s="46">
        <v>0.95</v>
      </c>
      <c r="X1561" s="46">
        <v>0.0</v>
      </c>
      <c r="Y1561" s="46" t="s">
        <v>640</v>
      </c>
      <c r="Z1561" s="46" t="b">
        <v>0</v>
      </c>
      <c r="AA1561" s="46" t="b">
        <v>0</v>
      </c>
    </row>
    <row r="1562">
      <c r="A1562" s="157" t="s">
        <v>561</v>
      </c>
      <c r="B1562" s="158">
        <v>4.0</v>
      </c>
      <c r="C1562" s="157" t="s">
        <v>1092</v>
      </c>
      <c r="D1562" s="157" t="s">
        <v>4760</v>
      </c>
      <c r="E1562" s="157" t="s">
        <v>4761</v>
      </c>
      <c r="F1562" s="157" t="s">
        <v>4811</v>
      </c>
      <c r="G1562" s="157" t="s">
        <v>4812</v>
      </c>
      <c r="H1562" s="157"/>
      <c r="I1562" s="158">
        <v>-8.234449</v>
      </c>
      <c r="J1562" s="158">
        <v>43.45918</v>
      </c>
      <c r="K1562" s="157" t="s">
        <v>4813</v>
      </c>
      <c r="L1562" s="157" t="s">
        <v>648</v>
      </c>
      <c r="M1562" s="158">
        <v>2022.0</v>
      </c>
      <c r="N1562" s="157" t="s">
        <v>201</v>
      </c>
      <c r="O1562" s="157" t="s">
        <v>4764</v>
      </c>
      <c r="P1562" s="161" t="b">
        <v>1</v>
      </c>
      <c r="Q1562" s="158">
        <v>0.108</v>
      </c>
      <c r="R1562" s="158">
        <v>0.0</v>
      </c>
      <c r="S1562" s="158">
        <v>0.108</v>
      </c>
      <c r="T1562" s="157" t="s">
        <v>201</v>
      </c>
      <c r="U1562" s="46" t="s">
        <v>651</v>
      </c>
      <c r="V1562" s="46" t="b">
        <v>1</v>
      </c>
      <c r="W1562" s="46">
        <v>0.95</v>
      </c>
      <c r="X1562" s="46">
        <v>0.0</v>
      </c>
      <c r="Y1562" s="46" t="s">
        <v>640</v>
      </c>
      <c r="Z1562" s="46" t="b">
        <v>0</v>
      </c>
      <c r="AA1562" s="46" t="b">
        <v>0</v>
      </c>
    </row>
    <row r="1563">
      <c r="A1563" s="157" t="s">
        <v>562</v>
      </c>
      <c r="B1563" s="158">
        <v>4.0</v>
      </c>
      <c r="C1563" s="157" t="s">
        <v>1092</v>
      </c>
      <c r="D1563" s="157" t="s">
        <v>4814</v>
      </c>
      <c r="E1563" s="157" t="s">
        <v>4815</v>
      </c>
      <c r="F1563" s="162" t="s">
        <v>4816</v>
      </c>
      <c r="G1563" s="157" t="s">
        <v>4817</v>
      </c>
      <c r="H1563" s="157"/>
      <c r="I1563" s="158">
        <v>4.33203</v>
      </c>
      <c r="J1563" s="158">
        <v>51.2549</v>
      </c>
      <c r="K1563" s="157" t="s">
        <v>2148</v>
      </c>
      <c r="L1563" s="157" t="s">
        <v>648</v>
      </c>
      <c r="M1563" s="158">
        <v>2022.0</v>
      </c>
      <c r="N1563" s="157" t="s">
        <v>201</v>
      </c>
      <c r="O1563" s="157" t="s">
        <v>4818</v>
      </c>
      <c r="P1563" s="161" t="b">
        <v>1</v>
      </c>
      <c r="Q1563" s="158">
        <v>0.622</v>
      </c>
      <c r="R1563" s="158">
        <v>0.0</v>
      </c>
      <c r="S1563" s="158">
        <v>0.622</v>
      </c>
      <c r="T1563" s="157" t="s">
        <v>201</v>
      </c>
      <c r="U1563" s="46" t="s">
        <v>651</v>
      </c>
      <c r="V1563" s="46" t="b">
        <v>1</v>
      </c>
      <c r="W1563" s="46">
        <v>0.95</v>
      </c>
      <c r="X1563" s="46">
        <v>0.0</v>
      </c>
      <c r="Y1563" s="46">
        <v>5.20144005024548</v>
      </c>
      <c r="Z1563" s="46" t="b">
        <v>1</v>
      </c>
      <c r="AA1563" s="46" t="b">
        <v>1</v>
      </c>
    </row>
    <row r="1564">
      <c r="A1564" s="157" t="s">
        <v>562</v>
      </c>
      <c r="B1564" s="158">
        <v>4.0</v>
      </c>
      <c r="C1564" s="157" t="s">
        <v>1092</v>
      </c>
      <c r="D1564" s="157" t="s">
        <v>4814</v>
      </c>
      <c r="E1564" s="157" t="s">
        <v>4815</v>
      </c>
      <c r="F1564" s="162" t="s">
        <v>4819</v>
      </c>
      <c r="G1564" s="157" t="s">
        <v>4820</v>
      </c>
      <c r="H1564" s="157"/>
      <c r="I1564" s="158">
        <v>5.00127</v>
      </c>
      <c r="J1564" s="158">
        <v>51.11506</v>
      </c>
      <c r="K1564" s="157" t="s">
        <v>4821</v>
      </c>
      <c r="L1564" s="157" t="s">
        <v>648</v>
      </c>
      <c r="M1564" s="158">
        <v>2022.0</v>
      </c>
      <c r="N1564" s="157" t="s">
        <v>201</v>
      </c>
      <c r="O1564" s="157" t="s">
        <v>4818</v>
      </c>
      <c r="P1564" s="161" t="b">
        <v>1</v>
      </c>
      <c r="Q1564" s="158">
        <v>0.24</v>
      </c>
      <c r="R1564" s="158">
        <v>0.0</v>
      </c>
      <c r="S1564" s="158">
        <v>0.24</v>
      </c>
      <c r="T1564" s="157" t="s">
        <v>201</v>
      </c>
      <c r="U1564" s="46" t="s">
        <v>651</v>
      </c>
      <c r="V1564" s="46" t="b">
        <v>1</v>
      </c>
      <c r="W1564" s="46">
        <v>0.95</v>
      </c>
      <c r="X1564" s="46">
        <v>0.0</v>
      </c>
      <c r="Y1564" s="46">
        <v>7.20727802632832</v>
      </c>
      <c r="Z1564" s="46" t="b">
        <v>1</v>
      </c>
      <c r="AA1564" s="46" t="b">
        <v>1</v>
      </c>
    </row>
    <row r="1565">
      <c r="A1565" s="157" t="s">
        <v>562</v>
      </c>
      <c r="B1565" s="158">
        <v>4.0</v>
      </c>
      <c r="C1565" s="157" t="s">
        <v>1092</v>
      </c>
      <c r="D1565" s="157" t="s">
        <v>4814</v>
      </c>
      <c r="E1565" s="157" t="s">
        <v>4815</v>
      </c>
      <c r="F1565" s="157" t="s">
        <v>4822</v>
      </c>
      <c r="G1565" s="157" t="s">
        <v>4823</v>
      </c>
      <c r="H1565" s="157"/>
      <c r="I1565" s="158">
        <v>4.216302</v>
      </c>
      <c r="J1565" s="158">
        <v>50.56053</v>
      </c>
      <c r="K1565" s="157" t="s">
        <v>3642</v>
      </c>
      <c r="L1565" s="157" t="s">
        <v>648</v>
      </c>
      <c r="M1565" s="158">
        <v>2022.0</v>
      </c>
      <c r="N1565" s="157" t="s">
        <v>201</v>
      </c>
      <c r="O1565" s="157" t="s">
        <v>4818</v>
      </c>
      <c r="P1565" s="161" t="b">
        <v>1</v>
      </c>
      <c r="Q1565" s="158">
        <v>0.117</v>
      </c>
      <c r="R1565" s="158">
        <v>0.0</v>
      </c>
      <c r="S1565" s="158">
        <v>0.117</v>
      </c>
      <c r="T1565" s="157" t="s">
        <v>201</v>
      </c>
      <c r="U1565" s="46" t="s">
        <v>651</v>
      </c>
      <c r="V1565" s="46" t="b">
        <v>1</v>
      </c>
      <c r="W1565" s="46">
        <v>0.95</v>
      </c>
      <c r="X1565" s="46">
        <v>0.0</v>
      </c>
      <c r="Y1565" s="46">
        <v>3.76440243745189</v>
      </c>
      <c r="Z1565" s="46" t="b">
        <v>1</v>
      </c>
      <c r="AA1565" s="46" t="b">
        <v>1</v>
      </c>
    </row>
    <row r="1566">
      <c r="A1566" s="157" t="s">
        <v>562</v>
      </c>
      <c r="B1566" s="158">
        <v>4.0</v>
      </c>
      <c r="C1566" s="157" t="s">
        <v>1092</v>
      </c>
      <c r="D1566" s="157" t="s">
        <v>4814</v>
      </c>
      <c r="E1566" s="157" t="s">
        <v>4815</v>
      </c>
      <c r="F1566" s="162" t="s">
        <v>4824</v>
      </c>
      <c r="G1566" s="157" t="s">
        <v>4825</v>
      </c>
      <c r="H1566" s="157"/>
      <c r="I1566" s="158">
        <v>4.26567</v>
      </c>
      <c r="J1566" s="158">
        <v>51.36231</v>
      </c>
      <c r="K1566" s="157" t="s">
        <v>2148</v>
      </c>
      <c r="L1566" s="157" t="s">
        <v>648</v>
      </c>
      <c r="M1566" s="158">
        <v>2022.0</v>
      </c>
      <c r="N1566" s="157" t="s">
        <v>201</v>
      </c>
      <c r="O1566" s="157" t="s">
        <v>4818</v>
      </c>
      <c r="P1566" s="161" t="b">
        <v>1</v>
      </c>
      <c r="Q1566" s="158">
        <v>0.113</v>
      </c>
      <c r="R1566" s="158">
        <v>0.0</v>
      </c>
      <c r="S1566" s="158">
        <v>0.113</v>
      </c>
      <c r="T1566" s="157" t="s">
        <v>201</v>
      </c>
      <c r="U1566" s="46" t="s">
        <v>651</v>
      </c>
      <c r="V1566" s="46" t="b">
        <v>1</v>
      </c>
      <c r="W1566" s="46">
        <v>0.95</v>
      </c>
      <c r="X1566" s="46">
        <v>0.0</v>
      </c>
      <c r="Y1566" s="46">
        <v>6.5883013063991</v>
      </c>
      <c r="Z1566" s="46" t="b">
        <v>1</v>
      </c>
      <c r="AA1566" s="46" t="b">
        <v>1</v>
      </c>
    </row>
    <row r="1567">
      <c r="A1567" s="157" t="s">
        <v>565</v>
      </c>
      <c r="B1567" s="158">
        <v>4.0</v>
      </c>
      <c r="C1567" s="157" t="s">
        <v>1092</v>
      </c>
      <c r="D1567" s="157" t="s">
        <v>4814</v>
      </c>
      <c r="E1567" s="157" t="s">
        <v>4815</v>
      </c>
      <c r="F1567" s="157" t="s">
        <v>4826</v>
      </c>
      <c r="G1567" s="157" t="s">
        <v>4827</v>
      </c>
      <c r="H1567" s="157"/>
      <c r="I1567" s="158">
        <v>13.61185648</v>
      </c>
      <c r="J1567" s="158">
        <v>50.56136055</v>
      </c>
      <c r="K1567" s="157" t="s">
        <v>4828</v>
      </c>
      <c r="L1567" s="157" t="s">
        <v>648</v>
      </c>
      <c r="M1567" s="158">
        <v>2020.0</v>
      </c>
      <c r="N1567" s="157" t="s">
        <v>201</v>
      </c>
      <c r="O1567" s="157" t="s">
        <v>4818</v>
      </c>
      <c r="P1567" s="161" t="b">
        <v>1</v>
      </c>
      <c r="Q1567" s="158">
        <v>0.324402918</v>
      </c>
      <c r="R1567" s="158">
        <v>0.0</v>
      </c>
      <c r="S1567" s="158">
        <v>0.324402918</v>
      </c>
      <c r="T1567" s="157" t="s">
        <v>201</v>
      </c>
      <c r="U1567" s="46" t="s">
        <v>651</v>
      </c>
      <c r="V1567" s="46" t="b">
        <v>1</v>
      </c>
      <c r="W1567" s="46">
        <v>0.95</v>
      </c>
      <c r="X1567" s="46">
        <v>0.0</v>
      </c>
      <c r="Y1567" s="46">
        <v>21.4596669750087</v>
      </c>
      <c r="Z1567" s="46" t="b">
        <v>1</v>
      </c>
      <c r="AA1567" s="46" t="b">
        <v>1</v>
      </c>
    </row>
    <row r="1568">
      <c r="A1568" s="157" t="s">
        <v>565</v>
      </c>
      <c r="B1568" s="158">
        <v>4.0</v>
      </c>
      <c r="C1568" s="157" t="s">
        <v>1092</v>
      </c>
      <c r="D1568" s="157" t="s">
        <v>4814</v>
      </c>
      <c r="E1568" s="157" t="s">
        <v>4815</v>
      </c>
      <c r="F1568" s="157" t="s">
        <v>4829</v>
      </c>
      <c r="G1568" s="157" t="s">
        <v>4830</v>
      </c>
      <c r="H1568" s="157"/>
      <c r="I1568" s="158">
        <v>17.95504475</v>
      </c>
      <c r="J1568" s="158">
        <v>49.49471568</v>
      </c>
      <c r="K1568" s="157" t="s">
        <v>4076</v>
      </c>
      <c r="L1568" s="157" t="s">
        <v>648</v>
      </c>
      <c r="M1568" s="158">
        <v>2020.0</v>
      </c>
      <c r="N1568" s="157" t="s">
        <v>201</v>
      </c>
      <c r="O1568" s="157" t="s">
        <v>4818</v>
      </c>
      <c r="P1568" s="161" t="b">
        <v>1</v>
      </c>
      <c r="Q1568" s="158">
        <v>0.306711708</v>
      </c>
      <c r="R1568" s="158">
        <v>0.0</v>
      </c>
      <c r="S1568" s="158">
        <v>0.306711708</v>
      </c>
      <c r="T1568" s="157" t="s">
        <v>201</v>
      </c>
      <c r="U1568" s="46" t="s">
        <v>651</v>
      </c>
      <c r="V1568" s="46" t="b">
        <v>1</v>
      </c>
      <c r="W1568" s="46">
        <v>0.95</v>
      </c>
      <c r="X1568" s="46">
        <v>0.0</v>
      </c>
      <c r="Y1568" s="46" t="s">
        <v>640</v>
      </c>
      <c r="Z1568" s="46" t="b">
        <v>0</v>
      </c>
      <c r="AA1568" s="46" t="b">
        <v>0</v>
      </c>
    </row>
    <row r="1569">
      <c r="A1569" s="157" t="s">
        <v>555</v>
      </c>
      <c r="B1569" s="158">
        <v>4.0</v>
      </c>
      <c r="C1569" s="157" t="s">
        <v>1092</v>
      </c>
      <c r="D1569" s="157" t="s">
        <v>4814</v>
      </c>
      <c r="E1569" s="157" t="s">
        <v>4815</v>
      </c>
      <c r="F1569" s="162" t="s">
        <v>4831</v>
      </c>
      <c r="G1569" s="157" t="s">
        <v>4832</v>
      </c>
      <c r="H1569" s="157"/>
      <c r="I1569" s="158">
        <v>25.5211</v>
      </c>
      <c r="J1569" s="158">
        <v>60.30049</v>
      </c>
      <c r="K1569" s="157" t="s">
        <v>1113</v>
      </c>
      <c r="L1569" s="157" t="s">
        <v>648</v>
      </c>
      <c r="M1569" s="158">
        <v>2022.0</v>
      </c>
      <c r="N1569" s="157" t="s">
        <v>201</v>
      </c>
      <c r="O1569" s="157" t="s">
        <v>4818</v>
      </c>
      <c r="P1569" s="161" t="b">
        <v>1</v>
      </c>
      <c r="Q1569" s="158">
        <v>0.568</v>
      </c>
      <c r="R1569" s="158">
        <v>0.0</v>
      </c>
      <c r="S1569" s="158">
        <v>0.568</v>
      </c>
      <c r="T1569" s="157" t="s">
        <v>201</v>
      </c>
      <c r="U1569" s="46" t="s">
        <v>651</v>
      </c>
      <c r="V1569" s="46" t="b">
        <v>1</v>
      </c>
      <c r="W1569" s="46">
        <v>0.95</v>
      </c>
      <c r="X1569" s="46">
        <v>0.0</v>
      </c>
      <c r="Y1569" s="46" t="s">
        <v>640</v>
      </c>
      <c r="Z1569" s="46" t="b">
        <v>0</v>
      </c>
      <c r="AA1569" s="46" t="b">
        <v>0</v>
      </c>
    </row>
    <row r="1570">
      <c r="A1570" s="157" t="s">
        <v>556</v>
      </c>
      <c r="B1570" s="158">
        <v>4.0</v>
      </c>
      <c r="C1570" s="157" t="s">
        <v>1092</v>
      </c>
      <c r="D1570" s="157" t="s">
        <v>4814</v>
      </c>
      <c r="E1570" s="157" t="s">
        <v>4815</v>
      </c>
      <c r="F1570" s="157" t="s">
        <v>4833</v>
      </c>
      <c r="G1570" s="157" t="s">
        <v>4834</v>
      </c>
      <c r="H1570" s="157"/>
      <c r="I1570" s="158">
        <v>5.0173</v>
      </c>
      <c r="J1570" s="158">
        <v>43.3844</v>
      </c>
      <c r="K1570" s="157" t="s">
        <v>1476</v>
      </c>
      <c r="L1570" s="157" t="s">
        <v>648</v>
      </c>
      <c r="M1570" s="158">
        <v>2022.0</v>
      </c>
      <c r="N1570" s="157" t="s">
        <v>201</v>
      </c>
      <c r="O1570" s="157" t="s">
        <v>4818</v>
      </c>
      <c r="P1570" s="161" t="b">
        <v>1</v>
      </c>
      <c r="Q1570" s="158">
        <v>1.431000064</v>
      </c>
      <c r="R1570" s="158">
        <v>0.0</v>
      </c>
      <c r="S1570" s="158">
        <v>1.431000064</v>
      </c>
      <c r="T1570" s="157" t="s">
        <v>201</v>
      </c>
      <c r="U1570" s="46" t="s">
        <v>651</v>
      </c>
      <c r="V1570" s="46" t="b">
        <v>1</v>
      </c>
      <c r="W1570" s="46">
        <v>0.95</v>
      </c>
      <c r="X1570" s="46">
        <v>0.0</v>
      </c>
      <c r="Y1570" s="46">
        <v>28.2721832777668</v>
      </c>
      <c r="Z1570" s="46" t="b">
        <v>1</v>
      </c>
      <c r="AA1570" s="46" t="b">
        <v>1</v>
      </c>
    </row>
    <row r="1571">
      <c r="A1571" s="157" t="s">
        <v>556</v>
      </c>
      <c r="B1571" s="158">
        <v>4.0</v>
      </c>
      <c r="C1571" s="157" t="s">
        <v>1092</v>
      </c>
      <c r="D1571" s="157" t="s">
        <v>4814</v>
      </c>
      <c r="E1571" s="157" t="s">
        <v>4815</v>
      </c>
      <c r="F1571" s="157" t="s">
        <v>4835</v>
      </c>
      <c r="G1571" s="157" t="s">
        <v>4836</v>
      </c>
      <c r="H1571" s="157"/>
      <c r="I1571" s="158">
        <v>0.56521</v>
      </c>
      <c r="J1571" s="158">
        <v>49.4884</v>
      </c>
      <c r="K1571" s="157" t="s">
        <v>3384</v>
      </c>
      <c r="L1571" s="157" t="s">
        <v>648</v>
      </c>
      <c r="M1571" s="158">
        <v>2022.0</v>
      </c>
      <c r="N1571" s="157" t="s">
        <v>201</v>
      </c>
      <c r="O1571" s="157" t="s">
        <v>4818</v>
      </c>
      <c r="P1571" s="161" t="b">
        <v>1</v>
      </c>
      <c r="Q1571" s="158">
        <v>0.968</v>
      </c>
      <c r="R1571" s="158">
        <v>0.0</v>
      </c>
      <c r="S1571" s="158">
        <v>0.968</v>
      </c>
      <c r="T1571" s="157" t="s">
        <v>201</v>
      </c>
      <c r="U1571" s="46" t="s">
        <v>651</v>
      </c>
      <c r="V1571" s="46" t="b">
        <v>1</v>
      </c>
      <c r="W1571" s="46">
        <v>0.95</v>
      </c>
      <c r="X1571" s="46">
        <v>0.0</v>
      </c>
      <c r="Y1571" s="46">
        <v>1.75314640334535</v>
      </c>
      <c r="Z1571" s="46" t="b">
        <v>1</v>
      </c>
      <c r="AA1571" s="46" t="b">
        <v>1</v>
      </c>
    </row>
    <row r="1572">
      <c r="A1572" s="157" t="s">
        <v>556</v>
      </c>
      <c r="B1572" s="158">
        <v>4.0</v>
      </c>
      <c r="C1572" s="157" t="s">
        <v>1092</v>
      </c>
      <c r="D1572" s="157" t="s">
        <v>4814</v>
      </c>
      <c r="E1572" s="157" t="s">
        <v>4815</v>
      </c>
      <c r="F1572" s="157" t="s">
        <v>4837</v>
      </c>
      <c r="G1572" s="157" t="s">
        <v>3369</v>
      </c>
      <c r="H1572" s="157"/>
      <c r="I1572" s="158">
        <v>0.2231</v>
      </c>
      <c r="J1572" s="158">
        <v>49.4727</v>
      </c>
      <c r="K1572" s="157" t="s">
        <v>4838</v>
      </c>
      <c r="L1572" s="157" t="s">
        <v>648</v>
      </c>
      <c r="M1572" s="158">
        <v>2022.0</v>
      </c>
      <c r="N1572" s="157" t="s">
        <v>201</v>
      </c>
      <c r="O1572" s="157" t="s">
        <v>4818</v>
      </c>
      <c r="P1572" s="161" t="b">
        <v>1</v>
      </c>
      <c r="Q1572" s="158">
        <v>0.877</v>
      </c>
      <c r="R1572" s="158">
        <v>0.0</v>
      </c>
      <c r="S1572" s="158">
        <v>0.877</v>
      </c>
      <c r="T1572" s="157" t="s">
        <v>201</v>
      </c>
      <c r="U1572" s="46" t="s">
        <v>651</v>
      </c>
      <c r="V1572" s="46" t="b">
        <v>1</v>
      </c>
      <c r="W1572" s="46">
        <v>0.95</v>
      </c>
      <c r="X1572" s="46">
        <v>0.0</v>
      </c>
      <c r="Y1572" s="46">
        <v>1.7384468585995</v>
      </c>
      <c r="Z1572" s="46" t="b">
        <v>1</v>
      </c>
      <c r="AA1572" s="46" t="b">
        <v>1</v>
      </c>
    </row>
    <row r="1573">
      <c r="A1573" s="157" t="s">
        <v>556</v>
      </c>
      <c r="B1573" s="158">
        <v>4.0</v>
      </c>
      <c r="C1573" s="157" t="s">
        <v>1092</v>
      </c>
      <c r="D1573" s="157" t="s">
        <v>4814</v>
      </c>
      <c r="E1573" s="157" t="s">
        <v>4815</v>
      </c>
      <c r="F1573" s="157" t="s">
        <v>4839</v>
      </c>
      <c r="G1573" s="157" t="s">
        <v>4840</v>
      </c>
      <c r="H1573" s="157"/>
      <c r="I1573" s="158">
        <v>2.2455</v>
      </c>
      <c r="J1573" s="158">
        <v>51.03032</v>
      </c>
      <c r="K1573" s="157" t="s">
        <v>912</v>
      </c>
      <c r="L1573" s="157" t="s">
        <v>648</v>
      </c>
      <c r="M1573" s="158">
        <v>2022.0</v>
      </c>
      <c r="N1573" s="157" t="s">
        <v>201</v>
      </c>
      <c r="O1573" s="157" t="s">
        <v>4818</v>
      </c>
      <c r="P1573" s="161" t="b">
        <v>1</v>
      </c>
      <c r="Q1573" s="158">
        <v>0.468</v>
      </c>
      <c r="R1573" s="158">
        <v>0.0</v>
      </c>
      <c r="S1573" s="158">
        <v>0.468</v>
      </c>
      <c r="T1573" s="157" t="s">
        <v>201</v>
      </c>
      <c r="U1573" s="46" t="s">
        <v>651</v>
      </c>
      <c r="V1573" s="46" t="b">
        <v>1</v>
      </c>
      <c r="W1573" s="46">
        <v>0.95</v>
      </c>
      <c r="X1573" s="46">
        <v>0.0</v>
      </c>
      <c r="Y1573" s="46">
        <v>3.85239825164245</v>
      </c>
      <c r="Z1573" s="46" t="b">
        <v>1</v>
      </c>
      <c r="AA1573" s="46" t="b">
        <v>1</v>
      </c>
    </row>
    <row r="1574">
      <c r="A1574" s="157" t="s">
        <v>557</v>
      </c>
      <c r="B1574" s="158">
        <v>4.0</v>
      </c>
      <c r="C1574" s="157" t="s">
        <v>1092</v>
      </c>
      <c r="D1574" s="157" t="s">
        <v>4814</v>
      </c>
      <c r="E1574" s="157" t="s">
        <v>4815</v>
      </c>
      <c r="F1574" s="162" t="s">
        <v>4841</v>
      </c>
      <c r="G1574" s="157" t="s">
        <v>4842</v>
      </c>
      <c r="H1574" s="157"/>
      <c r="I1574" s="158">
        <v>12.3560994005554</v>
      </c>
      <c r="J1574" s="158">
        <v>51.1914252047493</v>
      </c>
      <c r="K1574" s="157" t="s">
        <v>4843</v>
      </c>
      <c r="L1574" s="157" t="s">
        <v>648</v>
      </c>
      <c r="M1574" s="158">
        <v>2022.0</v>
      </c>
      <c r="N1574" s="157" t="s">
        <v>201</v>
      </c>
      <c r="O1574" s="157" t="s">
        <v>4818</v>
      </c>
      <c r="P1574" s="161" t="b">
        <v>1</v>
      </c>
      <c r="Q1574" s="158">
        <v>1.01</v>
      </c>
      <c r="R1574" s="158">
        <v>0.0</v>
      </c>
      <c r="S1574" s="158">
        <v>1.01</v>
      </c>
      <c r="T1574" s="157" t="s">
        <v>201</v>
      </c>
      <c r="U1574" s="46" t="s">
        <v>651</v>
      </c>
      <c r="V1574" s="46" t="b">
        <v>1</v>
      </c>
      <c r="W1574" s="46">
        <v>0.95</v>
      </c>
      <c r="X1574" s="46">
        <v>0.0</v>
      </c>
      <c r="Y1574" s="164">
        <v>2.19078840665814E-7</v>
      </c>
      <c r="Z1574" s="46" t="b">
        <v>1</v>
      </c>
      <c r="AA1574" s="46" t="b">
        <v>1</v>
      </c>
    </row>
    <row r="1575">
      <c r="A1575" s="157" t="s">
        <v>558</v>
      </c>
      <c r="B1575" s="158">
        <v>4.0</v>
      </c>
      <c r="C1575" s="157" t="s">
        <v>1092</v>
      </c>
      <c r="D1575" s="157" t="s">
        <v>4814</v>
      </c>
      <c r="E1575" s="157" t="s">
        <v>4815</v>
      </c>
      <c r="F1575" s="157" t="s">
        <v>4844</v>
      </c>
      <c r="G1575" s="157" t="s">
        <v>4845</v>
      </c>
      <c r="H1575" s="157"/>
      <c r="I1575" s="158">
        <v>-8.83258</v>
      </c>
      <c r="J1575" s="158">
        <v>37.984145</v>
      </c>
      <c r="K1575" s="157" t="s">
        <v>3131</v>
      </c>
      <c r="L1575" s="157" t="s">
        <v>648</v>
      </c>
      <c r="M1575" s="158">
        <v>2022.0</v>
      </c>
      <c r="N1575" s="157" t="s">
        <v>201</v>
      </c>
      <c r="O1575" s="157" t="s">
        <v>4818</v>
      </c>
      <c r="P1575" s="161" t="b">
        <v>1</v>
      </c>
      <c r="Q1575" s="158">
        <v>0.591</v>
      </c>
      <c r="R1575" s="158">
        <v>0.0</v>
      </c>
      <c r="S1575" s="158">
        <v>0.591</v>
      </c>
      <c r="T1575" s="157" t="s">
        <v>201</v>
      </c>
      <c r="U1575" s="46" t="s">
        <v>651</v>
      </c>
      <c r="V1575" s="46" t="b">
        <v>1</v>
      </c>
      <c r="W1575" s="46">
        <v>0.95</v>
      </c>
      <c r="X1575" s="46">
        <v>0.0</v>
      </c>
      <c r="Y1575" s="46" t="s">
        <v>640</v>
      </c>
      <c r="Z1575" s="46" t="b">
        <v>0</v>
      </c>
      <c r="AA1575" s="46" t="b">
        <v>0</v>
      </c>
    </row>
    <row r="1576">
      <c r="A1576" s="157" t="s">
        <v>561</v>
      </c>
      <c r="B1576" s="158">
        <v>4.0</v>
      </c>
      <c r="C1576" s="157" t="s">
        <v>1092</v>
      </c>
      <c r="D1576" s="157" t="s">
        <v>4814</v>
      </c>
      <c r="E1576" s="157" t="s">
        <v>4815</v>
      </c>
      <c r="F1576" s="157" t="s">
        <v>4846</v>
      </c>
      <c r="G1576" s="157" t="s">
        <v>4847</v>
      </c>
      <c r="H1576" s="157"/>
      <c r="I1576" s="158">
        <v>1.226122</v>
      </c>
      <c r="J1576" s="158">
        <v>41.194305</v>
      </c>
      <c r="K1576" s="157" t="s">
        <v>3658</v>
      </c>
      <c r="L1576" s="157" t="s">
        <v>648</v>
      </c>
      <c r="M1576" s="158">
        <v>2022.0</v>
      </c>
      <c r="N1576" s="157" t="s">
        <v>201</v>
      </c>
      <c r="O1576" s="157" t="s">
        <v>4818</v>
      </c>
      <c r="P1576" s="161" t="b">
        <v>1</v>
      </c>
      <c r="Q1576" s="158">
        <v>0.851</v>
      </c>
      <c r="R1576" s="158">
        <v>0.0</v>
      </c>
      <c r="S1576" s="158">
        <v>0.851</v>
      </c>
      <c r="T1576" s="157" t="s">
        <v>201</v>
      </c>
      <c r="U1576" s="46" t="s">
        <v>651</v>
      </c>
      <c r="V1576" s="46" t="b">
        <v>1</v>
      </c>
      <c r="W1576" s="46">
        <v>0.95</v>
      </c>
      <c r="X1576" s="46">
        <v>0.0</v>
      </c>
      <c r="Y1576" s="46" t="s">
        <v>640</v>
      </c>
      <c r="Z1576" s="46" t="b">
        <v>0</v>
      </c>
      <c r="AA1576" s="46" t="b">
        <v>0</v>
      </c>
    </row>
    <row r="1577">
      <c r="A1577" s="157" t="s">
        <v>561</v>
      </c>
      <c r="B1577" s="158">
        <v>4.0</v>
      </c>
      <c r="C1577" s="157" t="s">
        <v>1092</v>
      </c>
      <c r="D1577" s="157" t="s">
        <v>4814</v>
      </c>
      <c r="E1577" s="157" t="s">
        <v>4815</v>
      </c>
      <c r="F1577" s="157" t="s">
        <v>4848</v>
      </c>
      <c r="G1577" s="157" t="s">
        <v>4849</v>
      </c>
      <c r="H1577" s="157"/>
      <c r="I1577" s="158">
        <v>-5.395147</v>
      </c>
      <c r="J1577" s="158">
        <v>36.189644</v>
      </c>
      <c r="K1577" s="157" t="s">
        <v>2931</v>
      </c>
      <c r="L1577" s="157" t="s">
        <v>648</v>
      </c>
      <c r="M1577" s="158">
        <v>2022.0</v>
      </c>
      <c r="N1577" s="157" t="s">
        <v>201</v>
      </c>
      <c r="O1577" s="157" t="s">
        <v>4818</v>
      </c>
      <c r="P1577" s="161" t="b">
        <v>1</v>
      </c>
      <c r="Q1577" s="158">
        <v>0.281</v>
      </c>
      <c r="R1577" s="158">
        <v>0.0</v>
      </c>
      <c r="S1577" s="158">
        <v>0.281</v>
      </c>
      <c r="T1577" s="157" t="s">
        <v>201</v>
      </c>
      <c r="U1577" s="46" t="s">
        <v>651</v>
      </c>
      <c r="V1577" s="46" t="b">
        <v>1</v>
      </c>
      <c r="W1577" s="46">
        <v>0.95</v>
      </c>
      <c r="X1577" s="46">
        <v>0.0</v>
      </c>
      <c r="Y1577" s="46" t="s">
        <v>640</v>
      </c>
      <c r="Z1577" s="46" t="b">
        <v>0</v>
      </c>
      <c r="AA1577" s="46" t="b">
        <v>0</v>
      </c>
    </row>
    <row r="1578">
      <c r="A1578" s="157" t="s">
        <v>561</v>
      </c>
      <c r="B1578" s="158">
        <v>4.0</v>
      </c>
      <c r="C1578" s="157" t="s">
        <v>1092</v>
      </c>
      <c r="D1578" s="157" t="s">
        <v>4814</v>
      </c>
      <c r="E1578" s="157" t="s">
        <v>4815</v>
      </c>
      <c r="F1578" s="157" t="s">
        <v>4850</v>
      </c>
      <c r="G1578" s="157" t="s">
        <v>4851</v>
      </c>
      <c r="H1578" s="157"/>
      <c r="I1578" s="158">
        <v>-6.889568</v>
      </c>
      <c r="J1578" s="158">
        <v>37.18396</v>
      </c>
      <c r="K1578" s="157" t="s">
        <v>2549</v>
      </c>
      <c r="L1578" s="157" t="s">
        <v>648</v>
      </c>
      <c r="M1578" s="158">
        <v>2022.0</v>
      </c>
      <c r="N1578" s="157" t="s">
        <v>201</v>
      </c>
      <c r="O1578" s="157" t="s">
        <v>4818</v>
      </c>
      <c r="P1578" s="161" t="b">
        <v>1</v>
      </c>
      <c r="Q1578" s="158">
        <v>0.161</v>
      </c>
      <c r="R1578" s="158">
        <v>0.0</v>
      </c>
      <c r="S1578" s="158">
        <v>0.161</v>
      </c>
      <c r="T1578" s="157" t="s">
        <v>201</v>
      </c>
      <c r="U1578" s="46" t="s">
        <v>651</v>
      </c>
      <c r="V1578" s="46" t="b">
        <v>1</v>
      </c>
      <c r="W1578" s="46">
        <v>0.95</v>
      </c>
      <c r="X1578" s="46">
        <v>0.0</v>
      </c>
      <c r="Y1578" s="46" t="s">
        <v>640</v>
      </c>
      <c r="Z1578" s="46" t="b">
        <v>0</v>
      </c>
      <c r="AA1578" s="46" t="b">
        <v>0</v>
      </c>
    </row>
    <row r="1579">
      <c r="A1579" s="157" t="s">
        <v>561</v>
      </c>
      <c r="B1579" s="158">
        <v>4.0</v>
      </c>
      <c r="C1579" s="157" t="s">
        <v>1092</v>
      </c>
      <c r="D1579" s="157" t="s">
        <v>4814</v>
      </c>
      <c r="E1579" s="157" t="s">
        <v>4815</v>
      </c>
      <c r="F1579" s="157" t="s">
        <v>4852</v>
      </c>
      <c r="G1579" s="157" t="s">
        <v>4853</v>
      </c>
      <c r="H1579" s="157"/>
      <c r="I1579" s="158">
        <v>-0.924361</v>
      </c>
      <c r="J1579" s="158">
        <v>37.65789</v>
      </c>
      <c r="K1579" s="157" t="s">
        <v>3113</v>
      </c>
      <c r="L1579" s="157" t="s">
        <v>648</v>
      </c>
      <c r="M1579" s="158">
        <v>2022.0</v>
      </c>
      <c r="N1579" s="157" t="s">
        <v>201</v>
      </c>
      <c r="O1579" s="157" t="s">
        <v>4818</v>
      </c>
      <c r="P1579" s="161" t="b">
        <v>1</v>
      </c>
      <c r="Q1579" s="158">
        <v>0.137</v>
      </c>
      <c r="R1579" s="158">
        <v>0.0</v>
      </c>
      <c r="S1579" s="158">
        <v>0.137</v>
      </c>
      <c r="T1579" s="157" t="s">
        <v>201</v>
      </c>
      <c r="U1579" s="46" t="s">
        <v>651</v>
      </c>
      <c r="V1579" s="46" t="b">
        <v>1</v>
      </c>
      <c r="W1579" s="46">
        <v>0.95</v>
      </c>
      <c r="X1579" s="46">
        <v>0.0</v>
      </c>
      <c r="Y1579" s="46" t="s">
        <v>640</v>
      </c>
      <c r="Z1579" s="46" t="b">
        <v>0</v>
      </c>
      <c r="AA1579" s="46" t="b">
        <v>0</v>
      </c>
    </row>
    <row r="1580">
      <c r="A1580" s="157" t="s">
        <v>554</v>
      </c>
      <c r="B1580" s="158">
        <v>4.0</v>
      </c>
      <c r="C1580" s="157" t="s">
        <v>1092</v>
      </c>
      <c r="D1580" s="157" t="s">
        <v>4814</v>
      </c>
      <c r="E1580" s="157" t="s">
        <v>4815</v>
      </c>
      <c r="F1580" s="157" t="s">
        <v>4854</v>
      </c>
      <c r="G1580" s="157" t="s">
        <v>4855</v>
      </c>
      <c r="H1580" s="157"/>
      <c r="I1580" s="158">
        <v>11.82554</v>
      </c>
      <c r="J1580" s="158">
        <v>58.08325</v>
      </c>
      <c r="K1580" s="157" t="s">
        <v>4856</v>
      </c>
      <c r="L1580" s="157" t="s">
        <v>648</v>
      </c>
      <c r="M1580" s="158">
        <v>2022.0</v>
      </c>
      <c r="N1580" s="157" t="s">
        <v>201</v>
      </c>
      <c r="O1580" s="157" t="s">
        <v>4818</v>
      </c>
      <c r="P1580" s="161" t="b">
        <v>1</v>
      </c>
      <c r="Q1580" s="158">
        <v>0.488</v>
      </c>
      <c r="R1580" s="158">
        <v>0.0</v>
      </c>
      <c r="S1580" s="158">
        <v>0.488</v>
      </c>
      <c r="T1580" s="157" t="s">
        <v>201</v>
      </c>
      <c r="U1580" s="46" t="s">
        <v>651</v>
      </c>
      <c r="V1580" s="46" t="b">
        <v>1</v>
      </c>
      <c r="W1580" s="46">
        <v>0.95</v>
      </c>
      <c r="X1580" s="46">
        <v>0.0</v>
      </c>
      <c r="Y1580" s="46">
        <v>155.028606630115</v>
      </c>
      <c r="Z1580" s="46" t="b">
        <v>0</v>
      </c>
      <c r="AA1580" s="46" t="b">
        <v>0</v>
      </c>
    </row>
    <row r="1581">
      <c r="A1581" s="157" t="s">
        <v>564</v>
      </c>
      <c r="B1581" s="158">
        <v>4.0</v>
      </c>
      <c r="C1581" s="157" t="s">
        <v>1092</v>
      </c>
      <c r="D1581" s="157" t="s">
        <v>4814</v>
      </c>
      <c r="E1581" s="157" t="s">
        <v>4815</v>
      </c>
      <c r="F1581" s="157" t="s">
        <v>4857</v>
      </c>
      <c r="G1581" s="157" t="s">
        <v>4858</v>
      </c>
      <c r="H1581" s="157"/>
      <c r="I1581" s="158">
        <v>7.8914</v>
      </c>
      <c r="J1581" s="158">
        <v>46.299</v>
      </c>
      <c r="K1581" s="157" t="s">
        <v>4859</v>
      </c>
      <c r="L1581" s="157" t="s">
        <v>648</v>
      </c>
      <c r="M1581" s="158">
        <v>2021.0</v>
      </c>
      <c r="N1581" s="157" t="s">
        <v>201</v>
      </c>
      <c r="O1581" s="157" t="s">
        <v>4818</v>
      </c>
      <c r="P1581" s="161" t="b">
        <v>1</v>
      </c>
      <c r="Q1581" s="158">
        <v>0.17</v>
      </c>
      <c r="R1581" s="158">
        <v>0.0</v>
      </c>
      <c r="S1581" s="158">
        <v>0.17</v>
      </c>
      <c r="T1581" s="157" t="s">
        <v>201</v>
      </c>
      <c r="U1581" s="46" t="s">
        <v>651</v>
      </c>
      <c r="V1581" s="46" t="b">
        <v>1</v>
      </c>
      <c r="W1581" s="46">
        <v>0.95</v>
      </c>
      <c r="X1581" s="46">
        <v>0.0</v>
      </c>
      <c r="Y1581" s="46">
        <v>94.4913123451572</v>
      </c>
      <c r="Z1581" s="46" t="b">
        <v>0</v>
      </c>
      <c r="AA1581" s="46" t="b">
        <v>1</v>
      </c>
    </row>
    <row r="1582">
      <c r="A1582" s="157" t="s">
        <v>564</v>
      </c>
      <c r="B1582" s="158">
        <v>4.0</v>
      </c>
      <c r="C1582" s="157" t="s">
        <v>1092</v>
      </c>
      <c r="D1582" s="157" t="s">
        <v>4814</v>
      </c>
      <c r="E1582" s="157" t="s">
        <v>4815</v>
      </c>
      <c r="F1582" s="157" t="s">
        <v>4860</v>
      </c>
      <c r="G1582" s="157" t="s">
        <v>4861</v>
      </c>
      <c r="H1582" s="157"/>
      <c r="I1582" s="158">
        <v>7.8819</v>
      </c>
      <c r="J1582" s="158">
        <v>46.3023</v>
      </c>
      <c r="K1582" s="157" t="s">
        <v>4859</v>
      </c>
      <c r="L1582" s="157" t="s">
        <v>648</v>
      </c>
      <c r="M1582" s="158">
        <v>2021.0</v>
      </c>
      <c r="N1582" s="157" t="s">
        <v>201</v>
      </c>
      <c r="O1582" s="157" t="s">
        <v>4818</v>
      </c>
      <c r="P1582" s="161" t="b">
        <v>1</v>
      </c>
      <c r="Q1582" s="158">
        <v>0.0312</v>
      </c>
      <c r="R1582" s="158">
        <v>0.0</v>
      </c>
      <c r="S1582" s="158">
        <v>0.0312</v>
      </c>
      <c r="T1582" s="157" t="s">
        <v>201</v>
      </c>
      <c r="U1582" s="46" t="s">
        <v>651</v>
      </c>
      <c r="V1582" s="46" t="b">
        <v>0</v>
      </c>
      <c r="W1582" s="46">
        <v>0.95</v>
      </c>
      <c r="X1582" s="46">
        <v>0.0</v>
      </c>
      <c r="Y1582" s="46">
        <v>95.3043396348347</v>
      </c>
      <c r="Z1582" s="46" t="b">
        <v>0</v>
      </c>
      <c r="AA1582" s="46" t="b">
        <v>1</v>
      </c>
    </row>
    <row r="1583">
      <c r="A1583" s="157" t="s">
        <v>563</v>
      </c>
      <c r="B1583" s="158">
        <v>4.0</v>
      </c>
      <c r="C1583" s="157" t="s">
        <v>1092</v>
      </c>
      <c r="D1583" s="157" t="s">
        <v>4814</v>
      </c>
      <c r="E1583" s="157" t="s">
        <v>4815</v>
      </c>
      <c r="F1583" s="157" t="s">
        <v>4862</v>
      </c>
      <c r="G1583" s="157" t="s">
        <v>4863</v>
      </c>
      <c r="H1583" s="157"/>
      <c r="I1583" s="158">
        <v>-3.31055</v>
      </c>
      <c r="J1583" s="158">
        <v>56.09354</v>
      </c>
      <c r="K1583" s="157" t="s">
        <v>4864</v>
      </c>
      <c r="L1583" s="157" t="s">
        <v>648</v>
      </c>
      <c r="M1583" s="158">
        <v>2019.0</v>
      </c>
      <c r="N1583" s="157" t="s">
        <v>201</v>
      </c>
      <c r="O1583" s="157" t="s">
        <v>4818</v>
      </c>
      <c r="P1583" s="161" t="b">
        <v>1</v>
      </c>
      <c r="Q1583" s="158">
        <v>0.68</v>
      </c>
      <c r="R1583" s="158">
        <v>0.0</v>
      </c>
      <c r="S1583" s="158">
        <v>0.68</v>
      </c>
      <c r="T1583" s="157" t="s">
        <v>201</v>
      </c>
      <c r="U1583" s="46" t="s">
        <v>651</v>
      </c>
      <c r="V1583" s="46" t="b">
        <v>1</v>
      </c>
      <c r="W1583" s="46">
        <v>0.95</v>
      </c>
      <c r="X1583" s="46">
        <v>0.0</v>
      </c>
      <c r="Y1583" s="46">
        <v>8.08765648520259</v>
      </c>
      <c r="Z1583" s="46" t="b">
        <v>1</v>
      </c>
      <c r="AA1583" s="46" t="b">
        <v>1</v>
      </c>
    </row>
    <row r="1584">
      <c r="A1584" s="157" t="s">
        <v>563</v>
      </c>
      <c r="B1584" s="158">
        <v>4.0</v>
      </c>
      <c r="C1584" s="157" t="s">
        <v>1092</v>
      </c>
      <c r="D1584" s="157" t="s">
        <v>4814</v>
      </c>
      <c r="E1584" s="157" t="s">
        <v>4815</v>
      </c>
      <c r="F1584" s="157" t="s">
        <v>4865</v>
      </c>
      <c r="G1584" s="157" t="s">
        <v>4866</v>
      </c>
      <c r="H1584" s="157"/>
      <c r="I1584" s="158">
        <v>-3.68727</v>
      </c>
      <c r="J1584" s="158">
        <v>56.00704</v>
      </c>
      <c r="K1584" s="157" t="s">
        <v>4586</v>
      </c>
      <c r="L1584" s="157" t="s">
        <v>648</v>
      </c>
      <c r="M1584" s="158">
        <v>2019.0</v>
      </c>
      <c r="N1584" s="157" t="s">
        <v>201</v>
      </c>
      <c r="O1584" s="157" t="s">
        <v>4818</v>
      </c>
      <c r="P1584" s="161" t="b">
        <v>1</v>
      </c>
      <c r="Q1584" s="158">
        <v>0.522</v>
      </c>
      <c r="R1584" s="158">
        <v>0.0</v>
      </c>
      <c r="S1584" s="158">
        <v>0.522</v>
      </c>
      <c r="T1584" s="157" t="s">
        <v>201</v>
      </c>
      <c r="U1584" s="46" t="s">
        <v>651</v>
      </c>
      <c r="V1584" s="46" t="b">
        <v>1</v>
      </c>
      <c r="W1584" s="46">
        <v>0.95</v>
      </c>
      <c r="X1584" s="46">
        <v>0.0</v>
      </c>
      <c r="Y1584" s="46">
        <v>3.17441171596971</v>
      </c>
      <c r="Z1584" s="46" t="b">
        <v>1</v>
      </c>
      <c r="AA1584" s="46" t="b">
        <v>1</v>
      </c>
    </row>
    <row r="1585">
      <c r="A1585" s="157" t="s">
        <v>563</v>
      </c>
      <c r="B1585" s="158">
        <v>4.0</v>
      </c>
      <c r="C1585" s="157" t="s">
        <v>1092</v>
      </c>
      <c r="D1585" s="157" t="s">
        <v>4814</v>
      </c>
      <c r="E1585" s="157" t="s">
        <v>4815</v>
      </c>
      <c r="F1585" s="157" t="s">
        <v>4867</v>
      </c>
      <c r="G1585" s="157" t="s">
        <v>4868</v>
      </c>
      <c r="H1585" s="157"/>
      <c r="I1585" s="158">
        <v>-3.29872</v>
      </c>
      <c r="J1585" s="158">
        <v>56.09746</v>
      </c>
      <c r="K1585" s="157" t="s">
        <v>4864</v>
      </c>
      <c r="L1585" s="157" t="s">
        <v>648</v>
      </c>
      <c r="M1585" s="158">
        <v>2019.0</v>
      </c>
      <c r="N1585" s="157" t="s">
        <v>201</v>
      </c>
      <c r="O1585" s="157" t="s">
        <v>4818</v>
      </c>
      <c r="P1585" s="161" t="b">
        <v>1</v>
      </c>
      <c r="Q1585" s="158">
        <v>0.25</v>
      </c>
      <c r="R1585" s="158">
        <v>0.0</v>
      </c>
      <c r="S1585" s="158">
        <v>0.25</v>
      </c>
      <c r="T1585" s="157" t="s">
        <v>201</v>
      </c>
      <c r="U1585" s="46" t="s">
        <v>651</v>
      </c>
      <c r="V1585" s="46" t="b">
        <v>1</v>
      </c>
      <c r="W1585" s="46">
        <v>0.95</v>
      </c>
      <c r="X1585" s="46">
        <v>0.0</v>
      </c>
      <c r="Y1585" s="46">
        <v>8.71969292731335</v>
      </c>
      <c r="Z1585" s="46" t="b">
        <v>1</v>
      </c>
      <c r="AA1585" s="46" t="b">
        <v>1</v>
      </c>
    </row>
    <row r="1586">
      <c r="A1586" s="157" t="s">
        <v>567</v>
      </c>
      <c r="B1586" s="158">
        <v>4.0</v>
      </c>
      <c r="C1586" s="157" t="s">
        <v>1092</v>
      </c>
      <c r="D1586" s="157" t="s">
        <v>4814</v>
      </c>
      <c r="E1586" s="157" t="s">
        <v>4815</v>
      </c>
      <c r="F1586" s="157" t="s">
        <v>4869</v>
      </c>
      <c r="G1586" s="157" t="s">
        <v>4870</v>
      </c>
      <c r="H1586" s="157"/>
      <c r="I1586" s="158">
        <v>9.593346</v>
      </c>
      <c r="J1586" s="158">
        <v>59.09613</v>
      </c>
      <c r="K1586" s="157" t="s">
        <v>4871</v>
      </c>
      <c r="L1586" s="157" t="s">
        <v>648</v>
      </c>
      <c r="M1586" s="158">
        <v>2017.0</v>
      </c>
      <c r="N1586" s="157" t="s">
        <v>201</v>
      </c>
      <c r="O1586" s="157" t="s">
        <v>4818</v>
      </c>
      <c r="P1586" s="161" t="b">
        <v>1</v>
      </c>
      <c r="Q1586" s="158">
        <v>0.432</v>
      </c>
      <c r="R1586" s="158">
        <v>0.0</v>
      </c>
      <c r="S1586" s="158">
        <v>0.432</v>
      </c>
      <c r="T1586" s="157" t="s">
        <v>201</v>
      </c>
      <c r="U1586" s="46" t="s">
        <v>651</v>
      </c>
      <c r="V1586" s="46" t="b">
        <v>1</v>
      </c>
      <c r="W1586" s="46">
        <v>0.95</v>
      </c>
      <c r="X1586" s="46">
        <v>0.0</v>
      </c>
      <c r="Y1586" s="46" t="s">
        <v>640</v>
      </c>
      <c r="Z1586" s="46" t="b">
        <v>0</v>
      </c>
      <c r="AA1586" s="46" t="b">
        <v>0</v>
      </c>
    </row>
    <row r="1587">
      <c r="A1587" s="157" t="s">
        <v>560</v>
      </c>
      <c r="B1587" s="158">
        <v>4.0</v>
      </c>
      <c r="C1587" s="157" t="s">
        <v>1092</v>
      </c>
      <c r="D1587" s="157" t="s">
        <v>4872</v>
      </c>
      <c r="E1587" s="157" t="s">
        <v>4873</v>
      </c>
      <c r="F1587" s="157" t="s">
        <v>4874</v>
      </c>
      <c r="G1587" s="157" t="s">
        <v>4875</v>
      </c>
      <c r="H1587" s="157"/>
      <c r="I1587" s="158">
        <v>13.616</v>
      </c>
      <c r="J1587" s="158">
        <v>47.979</v>
      </c>
      <c r="K1587" s="157" t="s">
        <v>4876</v>
      </c>
      <c r="L1587" s="157" t="s">
        <v>648</v>
      </c>
      <c r="M1587" s="158">
        <v>2022.0</v>
      </c>
      <c r="N1587" s="157" t="s">
        <v>201</v>
      </c>
      <c r="O1587" s="157" t="s">
        <v>105</v>
      </c>
      <c r="P1587" s="161" t="b">
        <v>1</v>
      </c>
      <c r="Q1587" s="158">
        <v>1.09</v>
      </c>
      <c r="R1587" s="158">
        <v>0.0</v>
      </c>
      <c r="S1587" s="158">
        <v>1.09</v>
      </c>
      <c r="T1587" s="157" t="s">
        <v>201</v>
      </c>
      <c r="U1587" s="46" t="s">
        <v>651</v>
      </c>
      <c r="V1587" s="46" t="b">
        <v>1</v>
      </c>
      <c r="W1587" s="46">
        <v>0.95</v>
      </c>
      <c r="X1587" s="46">
        <v>0.0</v>
      </c>
      <c r="Y1587" s="46">
        <v>10.0545347951616</v>
      </c>
      <c r="Z1587" s="46" t="b">
        <v>1</v>
      </c>
      <c r="AA1587" s="46" t="b">
        <v>1</v>
      </c>
    </row>
    <row r="1588">
      <c r="A1588" s="157" t="s">
        <v>557</v>
      </c>
      <c r="B1588" s="158">
        <v>4.0</v>
      </c>
      <c r="C1588" s="157" t="s">
        <v>1092</v>
      </c>
      <c r="D1588" s="157" t="s">
        <v>4872</v>
      </c>
      <c r="E1588" s="157" t="s">
        <v>4873</v>
      </c>
      <c r="F1588" s="162" t="s">
        <v>4877</v>
      </c>
      <c r="G1588" s="157" t="s">
        <v>4878</v>
      </c>
      <c r="H1588" s="157"/>
      <c r="I1588" s="158">
        <v>6.846742503362</v>
      </c>
      <c r="J1588" s="158">
        <v>51.0676360238077</v>
      </c>
      <c r="K1588" s="157" t="s">
        <v>4090</v>
      </c>
      <c r="L1588" s="157" t="s">
        <v>648</v>
      </c>
      <c r="M1588" s="158">
        <v>2022.0</v>
      </c>
      <c r="N1588" s="157" t="s">
        <v>201</v>
      </c>
      <c r="O1588" s="157" t="s">
        <v>105</v>
      </c>
      <c r="P1588" s="161" t="b">
        <v>1</v>
      </c>
      <c r="Q1588" s="158">
        <v>2.19</v>
      </c>
      <c r="R1588" s="158">
        <v>0.0</v>
      </c>
      <c r="S1588" s="158">
        <v>2.19</v>
      </c>
      <c r="T1588" s="157" t="s">
        <v>201</v>
      </c>
      <c r="U1588" s="46" t="s">
        <v>651</v>
      </c>
      <c r="V1588" s="46" t="b">
        <v>1</v>
      </c>
      <c r="W1588" s="46">
        <v>0.95</v>
      </c>
      <c r="X1588" s="46">
        <v>0.0</v>
      </c>
      <c r="Y1588" s="46">
        <v>4.60607411527681</v>
      </c>
      <c r="Z1588" s="46" t="b">
        <v>1</v>
      </c>
      <c r="AA1588" s="46" t="b">
        <v>1</v>
      </c>
    </row>
    <row r="1589">
      <c r="A1589" s="157" t="s">
        <v>557</v>
      </c>
      <c r="B1589" s="158">
        <v>4.0</v>
      </c>
      <c r="C1589" s="157" t="s">
        <v>1092</v>
      </c>
      <c r="D1589" s="157" t="s">
        <v>4872</v>
      </c>
      <c r="E1589" s="157" t="s">
        <v>4873</v>
      </c>
      <c r="F1589" s="162" t="s">
        <v>4879</v>
      </c>
      <c r="G1589" s="157" t="s">
        <v>4880</v>
      </c>
      <c r="H1589" s="157"/>
      <c r="I1589" s="158">
        <v>6.9631173363288</v>
      </c>
      <c r="J1589" s="158">
        <v>50.8423339448326</v>
      </c>
      <c r="K1589" s="157" t="s">
        <v>4506</v>
      </c>
      <c r="L1589" s="157" t="s">
        <v>648</v>
      </c>
      <c r="M1589" s="158">
        <v>2022.0</v>
      </c>
      <c r="N1589" s="157" t="s">
        <v>201</v>
      </c>
      <c r="O1589" s="157" t="s">
        <v>105</v>
      </c>
      <c r="P1589" s="161" t="b">
        <v>1</v>
      </c>
      <c r="Q1589" s="158">
        <v>1.86</v>
      </c>
      <c r="R1589" s="158">
        <v>0.0</v>
      </c>
      <c r="S1589" s="158">
        <v>1.86</v>
      </c>
      <c r="T1589" s="157" t="s">
        <v>201</v>
      </c>
      <c r="U1589" s="46" t="s">
        <v>651</v>
      </c>
      <c r="V1589" s="46" t="b">
        <v>1</v>
      </c>
      <c r="W1589" s="46">
        <v>0.95</v>
      </c>
      <c r="X1589" s="46">
        <v>0.0</v>
      </c>
      <c r="Y1589" s="46">
        <v>0.0378373822109477</v>
      </c>
      <c r="Z1589" s="46" t="b">
        <v>1</v>
      </c>
      <c r="AA1589" s="46" t="b">
        <v>1</v>
      </c>
    </row>
    <row r="1590">
      <c r="A1590" s="157" t="s">
        <v>557</v>
      </c>
      <c r="B1590" s="158">
        <v>4.0</v>
      </c>
      <c r="C1590" s="157" t="s">
        <v>1092</v>
      </c>
      <c r="D1590" s="157" t="s">
        <v>4872</v>
      </c>
      <c r="E1590" s="157" t="s">
        <v>4873</v>
      </c>
      <c r="F1590" s="162" t="s">
        <v>4881</v>
      </c>
      <c r="G1590" s="157" t="s">
        <v>4882</v>
      </c>
      <c r="H1590" s="157"/>
      <c r="I1590" s="158">
        <v>7.10303987874825</v>
      </c>
      <c r="J1590" s="158">
        <v>51.6783861500896</v>
      </c>
      <c r="K1590" s="157" t="s">
        <v>4883</v>
      </c>
      <c r="L1590" s="157" t="s">
        <v>648</v>
      </c>
      <c r="M1590" s="158">
        <v>2022.0</v>
      </c>
      <c r="N1590" s="157" t="s">
        <v>201</v>
      </c>
      <c r="O1590" s="157" t="s">
        <v>105</v>
      </c>
      <c r="P1590" s="161" t="b">
        <v>1</v>
      </c>
      <c r="Q1590" s="158">
        <v>1.76</v>
      </c>
      <c r="R1590" s="158">
        <v>0.0</v>
      </c>
      <c r="S1590" s="158">
        <v>1.76</v>
      </c>
      <c r="T1590" s="157" t="s">
        <v>201</v>
      </c>
      <c r="U1590" s="46" t="s">
        <v>651</v>
      </c>
      <c r="V1590" s="46" t="b">
        <v>1</v>
      </c>
      <c r="W1590" s="46">
        <v>0.95</v>
      </c>
      <c r="X1590" s="46">
        <v>0.0</v>
      </c>
      <c r="Y1590" s="46">
        <v>24.894433946469</v>
      </c>
      <c r="Z1590" s="46" t="b">
        <v>1</v>
      </c>
      <c r="AA1590" s="46" t="b">
        <v>1</v>
      </c>
    </row>
    <row r="1591">
      <c r="A1591" s="157" t="s">
        <v>557</v>
      </c>
      <c r="B1591" s="158">
        <v>4.0</v>
      </c>
      <c r="C1591" s="157" t="s">
        <v>1092</v>
      </c>
      <c r="D1591" s="157" t="s">
        <v>4872</v>
      </c>
      <c r="E1591" s="157" t="s">
        <v>4873</v>
      </c>
      <c r="F1591" s="162" t="s">
        <v>4884</v>
      </c>
      <c r="G1591" s="157" t="s">
        <v>4885</v>
      </c>
      <c r="H1591" s="157"/>
      <c r="I1591" s="158">
        <v>12.8442429616795</v>
      </c>
      <c r="J1591" s="158">
        <v>48.1851505043507</v>
      </c>
      <c r="K1591" s="157" t="s">
        <v>4527</v>
      </c>
      <c r="L1591" s="157" t="s">
        <v>648</v>
      </c>
      <c r="M1591" s="158">
        <v>2022.0</v>
      </c>
      <c r="N1591" s="157" t="s">
        <v>201</v>
      </c>
      <c r="O1591" s="157" t="s">
        <v>105</v>
      </c>
      <c r="P1591" s="161" t="b">
        <v>1</v>
      </c>
      <c r="Q1591" s="158">
        <v>0.634</v>
      </c>
      <c r="R1591" s="158">
        <v>0.0</v>
      </c>
      <c r="S1591" s="158">
        <v>0.634</v>
      </c>
      <c r="T1591" s="157" t="s">
        <v>201</v>
      </c>
      <c r="U1591" s="46" t="s">
        <v>651</v>
      </c>
      <c r="V1591" s="46" t="b">
        <v>1</v>
      </c>
      <c r="W1591" s="46">
        <v>0.95</v>
      </c>
      <c r="X1591" s="46">
        <v>0.0</v>
      </c>
      <c r="Y1591" s="46">
        <v>7.75277871862203</v>
      </c>
      <c r="Z1591" s="46" t="b">
        <v>1</v>
      </c>
      <c r="AA1591" s="46" t="b">
        <v>1</v>
      </c>
    </row>
    <row r="1592">
      <c r="A1592" s="157" t="s">
        <v>557</v>
      </c>
      <c r="B1592" s="158">
        <v>4.0</v>
      </c>
      <c r="C1592" s="157" t="s">
        <v>1092</v>
      </c>
      <c r="D1592" s="157" t="s">
        <v>4872</v>
      </c>
      <c r="E1592" s="157" t="s">
        <v>4873</v>
      </c>
      <c r="F1592" s="162" t="s">
        <v>4886</v>
      </c>
      <c r="G1592" s="157" t="s">
        <v>4887</v>
      </c>
      <c r="H1592" s="157"/>
      <c r="I1592" s="158">
        <v>11.7086400239983</v>
      </c>
      <c r="J1592" s="158">
        <v>48.758551408587</v>
      </c>
      <c r="K1592" s="157" t="s">
        <v>4888</v>
      </c>
      <c r="L1592" s="157" t="s">
        <v>648</v>
      </c>
      <c r="M1592" s="158">
        <v>2022.0</v>
      </c>
      <c r="N1592" s="157" t="s">
        <v>201</v>
      </c>
      <c r="O1592" s="157" t="s">
        <v>105</v>
      </c>
      <c r="P1592" s="161" t="b">
        <v>1</v>
      </c>
      <c r="Q1592" s="158">
        <v>0.487</v>
      </c>
      <c r="R1592" s="158">
        <v>0.0</v>
      </c>
      <c r="S1592" s="158">
        <v>0.487</v>
      </c>
      <c r="T1592" s="157" t="s">
        <v>201</v>
      </c>
      <c r="U1592" s="46" t="s">
        <v>651</v>
      </c>
      <c r="V1592" s="46" t="b">
        <v>1</v>
      </c>
      <c r="W1592" s="46">
        <v>0.95</v>
      </c>
      <c r="X1592" s="46">
        <v>0.0</v>
      </c>
      <c r="Y1592" s="46">
        <v>5.1257208186998</v>
      </c>
      <c r="Z1592" s="46" t="b">
        <v>1</v>
      </c>
      <c r="AA1592" s="46" t="b">
        <v>1</v>
      </c>
    </row>
    <row r="1593">
      <c r="A1593" s="157" t="s">
        <v>557</v>
      </c>
      <c r="B1593" s="158">
        <v>4.0</v>
      </c>
      <c r="C1593" s="157" t="s">
        <v>1092</v>
      </c>
      <c r="D1593" s="157" t="s">
        <v>4872</v>
      </c>
      <c r="E1593" s="157" t="s">
        <v>4873</v>
      </c>
      <c r="F1593" s="162" t="s">
        <v>4889</v>
      </c>
      <c r="G1593" s="157" t="s">
        <v>4890</v>
      </c>
      <c r="H1593" s="157"/>
      <c r="I1593" s="158">
        <v>6.79844793202542</v>
      </c>
      <c r="J1593" s="158">
        <v>51.5255027365177</v>
      </c>
      <c r="K1593" s="157" t="s">
        <v>4891</v>
      </c>
      <c r="L1593" s="157" t="s">
        <v>648</v>
      </c>
      <c r="M1593" s="158">
        <v>2022.0</v>
      </c>
      <c r="N1593" s="157" t="s">
        <v>201</v>
      </c>
      <c r="O1593" s="157" t="s">
        <v>105</v>
      </c>
      <c r="P1593" s="161" t="b">
        <v>1</v>
      </c>
      <c r="Q1593" s="158">
        <v>0.152</v>
      </c>
      <c r="R1593" s="158">
        <v>0.0</v>
      </c>
      <c r="S1593" s="158">
        <v>0.152</v>
      </c>
      <c r="T1593" s="157" t="s">
        <v>201</v>
      </c>
      <c r="U1593" s="46" t="s">
        <v>651</v>
      </c>
      <c r="V1593" s="46" t="b">
        <v>1</v>
      </c>
      <c r="W1593" s="46">
        <v>0.95</v>
      </c>
      <c r="X1593" s="46">
        <v>0.0</v>
      </c>
      <c r="Y1593" s="46">
        <v>11.6532220430525</v>
      </c>
      <c r="Z1593" s="46" t="b">
        <v>1</v>
      </c>
      <c r="AA1593" s="46" t="b">
        <v>1</v>
      </c>
    </row>
    <row r="1594">
      <c r="A1594" s="157" t="s">
        <v>557</v>
      </c>
      <c r="B1594" s="158">
        <v>4.0</v>
      </c>
      <c r="C1594" s="157" t="s">
        <v>1092</v>
      </c>
      <c r="D1594" s="157" t="s">
        <v>4872</v>
      </c>
      <c r="E1594" s="157" t="s">
        <v>4873</v>
      </c>
      <c r="F1594" s="162" t="s">
        <v>4892</v>
      </c>
      <c r="G1594" s="157" t="s">
        <v>4893</v>
      </c>
      <c r="H1594" s="157"/>
      <c r="I1594" s="158">
        <v>6.98618228038424</v>
      </c>
      <c r="J1594" s="158">
        <v>51.0232837730346</v>
      </c>
      <c r="K1594" s="157" t="s">
        <v>4894</v>
      </c>
      <c r="L1594" s="157" t="s">
        <v>648</v>
      </c>
      <c r="M1594" s="158">
        <v>2022.0</v>
      </c>
      <c r="N1594" s="157" t="s">
        <v>201</v>
      </c>
      <c r="O1594" s="157" t="s">
        <v>105</v>
      </c>
      <c r="P1594" s="161" t="b">
        <v>1</v>
      </c>
      <c r="Q1594" s="158">
        <v>0.146</v>
      </c>
      <c r="R1594" s="158">
        <v>0.0</v>
      </c>
      <c r="S1594" s="158">
        <v>0.146</v>
      </c>
      <c r="T1594" s="157" t="s">
        <v>201</v>
      </c>
      <c r="U1594" s="46" t="s">
        <v>651</v>
      </c>
      <c r="V1594" s="46" t="b">
        <v>1</v>
      </c>
      <c r="W1594" s="46">
        <v>0.95</v>
      </c>
      <c r="X1594" s="46">
        <v>0.0</v>
      </c>
      <c r="Y1594" s="46">
        <v>14.0339975388071</v>
      </c>
      <c r="Z1594" s="46" t="b">
        <v>1</v>
      </c>
      <c r="AA1594" s="46" t="b">
        <v>1</v>
      </c>
    </row>
    <row r="1595">
      <c r="A1595" s="157" t="s">
        <v>557</v>
      </c>
      <c r="B1595" s="158">
        <v>4.0</v>
      </c>
      <c r="C1595" s="157" t="s">
        <v>1092</v>
      </c>
      <c r="D1595" s="157" t="s">
        <v>4872</v>
      </c>
      <c r="E1595" s="157" t="s">
        <v>4873</v>
      </c>
      <c r="F1595" s="162" t="s">
        <v>4895</v>
      </c>
      <c r="G1595" s="157" t="s">
        <v>4896</v>
      </c>
      <c r="H1595" s="157"/>
      <c r="I1595" s="158">
        <v>6.6467441343741</v>
      </c>
      <c r="J1595" s="158">
        <v>51.4696929722835</v>
      </c>
      <c r="K1595" s="157" t="s">
        <v>4897</v>
      </c>
      <c r="L1595" s="157" t="s">
        <v>648</v>
      </c>
      <c r="M1595" s="158">
        <v>2022.0</v>
      </c>
      <c r="N1595" s="157" t="s">
        <v>201</v>
      </c>
      <c r="O1595" s="157" t="s">
        <v>105</v>
      </c>
      <c r="P1595" s="161" t="b">
        <v>1</v>
      </c>
      <c r="Q1595" s="158">
        <v>0.131</v>
      </c>
      <c r="R1595" s="158">
        <v>0.0</v>
      </c>
      <c r="S1595" s="158">
        <v>0.131</v>
      </c>
      <c r="T1595" s="157" t="s">
        <v>201</v>
      </c>
      <c r="U1595" s="46" t="s">
        <v>651</v>
      </c>
      <c r="V1595" s="46" t="b">
        <v>1</v>
      </c>
      <c r="W1595" s="46">
        <v>0.95</v>
      </c>
      <c r="X1595" s="46">
        <v>0.0</v>
      </c>
      <c r="Y1595" s="46">
        <v>6.83339002553837</v>
      </c>
      <c r="Z1595" s="46" t="b">
        <v>1</v>
      </c>
      <c r="AA1595" s="46" t="b">
        <v>1</v>
      </c>
    </row>
    <row r="1596">
      <c r="A1596" s="157" t="s">
        <v>557</v>
      </c>
      <c r="B1596" s="158">
        <v>4.0</v>
      </c>
      <c r="C1596" s="157" t="s">
        <v>1092</v>
      </c>
      <c r="D1596" s="157" t="s">
        <v>4872</v>
      </c>
      <c r="E1596" s="157" t="s">
        <v>4873</v>
      </c>
      <c r="F1596" s="162" t="s">
        <v>4898</v>
      </c>
      <c r="G1596" s="157" t="s">
        <v>4899</v>
      </c>
      <c r="H1596" s="157"/>
      <c r="I1596" s="158">
        <v>7.08970812018283</v>
      </c>
      <c r="J1596" s="158">
        <v>51.6878910298519</v>
      </c>
      <c r="K1596" s="157" t="s">
        <v>4883</v>
      </c>
      <c r="L1596" s="157" t="s">
        <v>648</v>
      </c>
      <c r="M1596" s="158">
        <v>2022.0</v>
      </c>
      <c r="N1596" s="157" t="s">
        <v>201</v>
      </c>
      <c r="O1596" s="157" t="s">
        <v>105</v>
      </c>
      <c r="P1596" s="161" t="b">
        <v>1</v>
      </c>
      <c r="Q1596" s="158">
        <v>0.13</v>
      </c>
      <c r="R1596" s="158">
        <v>0.0</v>
      </c>
      <c r="S1596" s="158">
        <v>0.13</v>
      </c>
      <c r="T1596" s="157" t="s">
        <v>201</v>
      </c>
      <c r="U1596" s="46" t="s">
        <v>651</v>
      </c>
      <c r="V1596" s="46" t="b">
        <v>1</v>
      </c>
      <c r="W1596" s="46">
        <v>0.95</v>
      </c>
      <c r="X1596" s="46">
        <v>0.0</v>
      </c>
      <c r="Y1596" s="46">
        <v>25.7727905901455</v>
      </c>
      <c r="Z1596" s="46" t="b">
        <v>1</v>
      </c>
      <c r="AA1596" s="46" t="b">
        <v>1</v>
      </c>
    </row>
    <row r="1597">
      <c r="A1597" s="157" t="s">
        <v>559</v>
      </c>
      <c r="B1597" s="158">
        <v>4.0</v>
      </c>
      <c r="C1597" s="157" t="s">
        <v>1092</v>
      </c>
      <c r="D1597" s="157" t="s">
        <v>4872</v>
      </c>
      <c r="E1597" s="157" t="s">
        <v>4873</v>
      </c>
      <c r="F1597" s="157" t="s">
        <v>4900</v>
      </c>
      <c r="G1597" s="157" t="s">
        <v>4901</v>
      </c>
      <c r="H1597" s="157"/>
      <c r="I1597" s="158">
        <v>15.1973</v>
      </c>
      <c r="J1597" s="158">
        <v>37.167</v>
      </c>
      <c r="K1597" s="157" t="s">
        <v>1272</v>
      </c>
      <c r="L1597" s="157" t="s">
        <v>648</v>
      </c>
      <c r="M1597" s="158">
        <v>2022.0</v>
      </c>
      <c r="N1597" s="157" t="s">
        <v>201</v>
      </c>
      <c r="O1597" s="157" t="s">
        <v>105</v>
      </c>
      <c r="P1597" s="161" t="b">
        <v>1</v>
      </c>
      <c r="Q1597" s="158">
        <v>0.81000989</v>
      </c>
      <c r="R1597" s="158">
        <v>0.0</v>
      </c>
      <c r="S1597" s="158">
        <v>0.81000989</v>
      </c>
      <c r="T1597" s="157" t="s">
        <v>201</v>
      </c>
      <c r="U1597" s="46" t="s">
        <v>651</v>
      </c>
      <c r="V1597" s="46" t="b">
        <v>1</v>
      </c>
      <c r="W1597" s="46">
        <v>0.95</v>
      </c>
      <c r="X1597" s="46">
        <v>0.0</v>
      </c>
      <c r="Y1597" s="46" t="s">
        <v>640</v>
      </c>
      <c r="Z1597" s="46" t="b">
        <v>0</v>
      </c>
      <c r="AA1597" s="46" t="b">
        <v>0</v>
      </c>
    </row>
    <row r="1598">
      <c r="A1598" s="157" t="s">
        <v>559</v>
      </c>
      <c r="B1598" s="158">
        <v>4.0</v>
      </c>
      <c r="C1598" s="157" t="s">
        <v>1092</v>
      </c>
      <c r="D1598" s="157" t="s">
        <v>4872</v>
      </c>
      <c r="E1598" s="157" t="s">
        <v>4873</v>
      </c>
      <c r="F1598" s="157" t="s">
        <v>4902</v>
      </c>
      <c r="G1598" s="157" t="s">
        <v>4901</v>
      </c>
      <c r="H1598" s="157"/>
      <c r="I1598" s="158">
        <v>18.0022</v>
      </c>
      <c r="J1598" s="158">
        <v>40.6395</v>
      </c>
      <c r="K1598" s="157" t="s">
        <v>806</v>
      </c>
      <c r="L1598" s="157" t="s">
        <v>648</v>
      </c>
      <c r="M1598" s="158">
        <v>2022.0</v>
      </c>
      <c r="N1598" s="157" t="s">
        <v>201</v>
      </c>
      <c r="O1598" s="157" t="s">
        <v>105</v>
      </c>
      <c r="P1598" s="161" t="b">
        <v>1</v>
      </c>
      <c r="Q1598" s="158">
        <v>0.42016061</v>
      </c>
      <c r="R1598" s="158">
        <v>0.0</v>
      </c>
      <c r="S1598" s="158">
        <v>0.42016061</v>
      </c>
      <c r="T1598" s="157" t="s">
        <v>201</v>
      </c>
      <c r="U1598" s="46" t="s">
        <v>651</v>
      </c>
      <c r="V1598" s="46" t="b">
        <v>1</v>
      </c>
      <c r="W1598" s="46">
        <v>0.95</v>
      </c>
      <c r="X1598" s="46">
        <v>0.0</v>
      </c>
      <c r="Y1598" s="46" t="s">
        <v>640</v>
      </c>
      <c r="Z1598" s="46" t="b">
        <v>0</v>
      </c>
      <c r="AA1598" s="46" t="b">
        <v>0</v>
      </c>
    </row>
    <row r="1599">
      <c r="A1599" s="157" t="s">
        <v>559</v>
      </c>
      <c r="B1599" s="158">
        <v>4.0</v>
      </c>
      <c r="C1599" s="157" t="s">
        <v>1092</v>
      </c>
      <c r="D1599" s="157" t="s">
        <v>4872</v>
      </c>
      <c r="E1599" s="157" t="s">
        <v>4873</v>
      </c>
      <c r="F1599" s="157" t="s">
        <v>4903</v>
      </c>
      <c r="G1599" s="157" t="s">
        <v>4904</v>
      </c>
      <c r="H1599" s="157"/>
      <c r="I1599" s="158">
        <v>15.169505</v>
      </c>
      <c r="J1599" s="158">
        <v>37.22211</v>
      </c>
      <c r="K1599" s="157" t="s">
        <v>4905</v>
      </c>
      <c r="L1599" s="157" t="s">
        <v>648</v>
      </c>
      <c r="M1599" s="158">
        <v>2022.0</v>
      </c>
      <c r="N1599" s="157" t="s">
        <v>201</v>
      </c>
      <c r="O1599" s="157" t="s">
        <v>105</v>
      </c>
      <c r="P1599" s="161" t="b">
        <v>1</v>
      </c>
      <c r="Q1599" s="158">
        <v>0.329377</v>
      </c>
      <c r="R1599" s="158">
        <v>0.0</v>
      </c>
      <c r="S1599" s="158">
        <v>0.329377</v>
      </c>
      <c r="T1599" s="157" t="s">
        <v>201</v>
      </c>
      <c r="U1599" s="46" t="s">
        <v>651</v>
      </c>
      <c r="V1599" s="46" t="b">
        <v>1</v>
      </c>
      <c r="W1599" s="46">
        <v>0.95</v>
      </c>
      <c r="X1599" s="46">
        <v>0.0</v>
      </c>
      <c r="Y1599" s="46" t="s">
        <v>640</v>
      </c>
      <c r="Z1599" s="46" t="b">
        <v>0</v>
      </c>
      <c r="AA1599" s="46" t="b">
        <v>0</v>
      </c>
    </row>
    <row r="1600">
      <c r="A1600" s="157" t="s">
        <v>559</v>
      </c>
      <c r="B1600" s="158">
        <v>4.0</v>
      </c>
      <c r="C1600" s="157" t="s">
        <v>1092</v>
      </c>
      <c r="D1600" s="157" t="s">
        <v>4872</v>
      </c>
      <c r="E1600" s="157" t="s">
        <v>4873</v>
      </c>
      <c r="F1600" s="157" t="s">
        <v>4906</v>
      </c>
      <c r="G1600" s="157" t="s">
        <v>4907</v>
      </c>
      <c r="H1600" s="157"/>
      <c r="I1600" s="158">
        <v>12.2363</v>
      </c>
      <c r="J1600" s="158">
        <v>45.4438</v>
      </c>
      <c r="K1600" s="157" t="s">
        <v>1045</v>
      </c>
      <c r="L1600" s="157" t="s">
        <v>648</v>
      </c>
      <c r="M1600" s="158">
        <v>2022.0</v>
      </c>
      <c r="N1600" s="157" t="s">
        <v>201</v>
      </c>
      <c r="O1600" s="157" t="s">
        <v>105</v>
      </c>
      <c r="P1600" s="161" t="b">
        <v>1</v>
      </c>
      <c r="Q1600" s="158">
        <v>0.32049948</v>
      </c>
      <c r="R1600" s="158">
        <v>0.0</v>
      </c>
      <c r="S1600" s="158">
        <v>0.32049948</v>
      </c>
      <c r="T1600" s="157" t="s">
        <v>201</v>
      </c>
      <c r="U1600" s="46" t="s">
        <v>651</v>
      </c>
      <c r="V1600" s="46" t="b">
        <v>1</v>
      </c>
      <c r="W1600" s="46">
        <v>0.95</v>
      </c>
      <c r="X1600" s="46">
        <v>0.0</v>
      </c>
      <c r="Y1600" s="46">
        <v>0.969918007300589</v>
      </c>
      <c r="Z1600" s="46" t="b">
        <v>1</v>
      </c>
      <c r="AA1600" s="46" t="b">
        <v>1</v>
      </c>
    </row>
    <row r="1601">
      <c r="A1601" s="157" t="s">
        <v>559</v>
      </c>
      <c r="B1601" s="158">
        <v>4.0</v>
      </c>
      <c r="C1601" s="157" t="s">
        <v>1092</v>
      </c>
      <c r="D1601" s="157" t="s">
        <v>4872</v>
      </c>
      <c r="E1601" s="157" t="s">
        <v>4873</v>
      </c>
      <c r="F1601" s="157" t="s">
        <v>4908</v>
      </c>
      <c r="G1601" s="157" t="s">
        <v>4909</v>
      </c>
      <c r="H1601" s="157"/>
      <c r="I1601" s="158">
        <v>10.8376</v>
      </c>
      <c r="J1601" s="158">
        <v>45.1457</v>
      </c>
      <c r="K1601" s="157" t="s">
        <v>1343</v>
      </c>
      <c r="L1601" s="157" t="s">
        <v>648</v>
      </c>
      <c r="M1601" s="158">
        <v>2022.0</v>
      </c>
      <c r="N1601" s="157" t="s">
        <v>201</v>
      </c>
      <c r="O1601" s="157" t="s">
        <v>105</v>
      </c>
      <c r="P1601" s="161" t="b">
        <v>1</v>
      </c>
      <c r="Q1601" s="158">
        <v>0.17026419</v>
      </c>
      <c r="R1601" s="158">
        <v>0.0</v>
      </c>
      <c r="S1601" s="158">
        <v>0.17026419</v>
      </c>
      <c r="T1601" s="157" t="s">
        <v>201</v>
      </c>
      <c r="U1601" s="46" t="s">
        <v>651</v>
      </c>
      <c r="V1601" s="46" t="b">
        <v>1</v>
      </c>
      <c r="W1601" s="46">
        <v>0.95</v>
      </c>
      <c r="X1601" s="46">
        <v>0.0</v>
      </c>
      <c r="Y1601" s="46">
        <v>0.338455858744272</v>
      </c>
      <c r="Z1601" s="46" t="b">
        <v>1</v>
      </c>
      <c r="AA1601" s="46" t="b">
        <v>1</v>
      </c>
    </row>
    <row r="1602">
      <c r="A1602" s="157" t="s">
        <v>559</v>
      </c>
      <c r="B1602" s="158">
        <v>4.0</v>
      </c>
      <c r="C1602" s="157" t="s">
        <v>1092</v>
      </c>
      <c r="D1602" s="157" t="s">
        <v>4872</v>
      </c>
      <c r="E1602" s="157" t="s">
        <v>4873</v>
      </c>
      <c r="F1602" s="157" t="s">
        <v>4910</v>
      </c>
      <c r="G1602" s="157" t="s">
        <v>4911</v>
      </c>
      <c r="H1602" s="157"/>
      <c r="I1602" s="158">
        <v>12.2375</v>
      </c>
      <c r="J1602" s="158">
        <v>44.4333</v>
      </c>
      <c r="K1602" s="157" t="s">
        <v>1322</v>
      </c>
      <c r="L1602" s="157" t="s">
        <v>648</v>
      </c>
      <c r="M1602" s="158">
        <v>2022.0</v>
      </c>
      <c r="N1602" s="157" t="s">
        <v>201</v>
      </c>
      <c r="O1602" s="157" t="s">
        <v>105</v>
      </c>
      <c r="P1602" s="161" t="b">
        <v>1</v>
      </c>
      <c r="Q1602" s="158">
        <v>0.119409</v>
      </c>
      <c r="R1602" s="158">
        <v>0.0</v>
      </c>
      <c r="S1602" s="158">
        <v>0.119409</v>
      </c>
      <c r="T1602" s="157" t="s">
        <v>201</v>
      </c>
      <c r="U1602" s="46" t="s">
        <v>651</v>
      </c>
      <c r="V1602" s="46" t="b">
        <v>1</v>
      </c>
      <c r="W1602" s="46">
        <v>0.95</v>
      </c>
      <c r="X1602" s="46">
        <v>0.0</v>
      </c>
      <c r="Y1602" s="46">
        <v>5.54364844955788</v>
      </c>
      <c r="Z1602" s="46" t="b">
        <v>1</v>
      </c>
      <c r="AA1602" s="46" t="b">
        <v>1</v>
      </c>
    </row>
    <row r="1603">
      <c r="A1603" s="157" t="s">
        <v>559</v>
      </c>
      <c r="B1603" s="158">
        <v>4.0</v>
      </c>
      <c r="C1603" s="157" t="s">
        <v>1092</v>
      </c>
      <c r="D1603" s="157" t="s">
        <v>4872</v>
      </c>
      <c r="E1603" s="157" t="s">
        <v>4873</v>
      </c>
      <c r="F1603" s="157" t="s">
        <v>4912</v>
      </c>
      <c r="G1603" s="157" t="s">
        <v>4913</v>
      </c>
      <c r="H1603" s="157"/>
      <c r="I1603" s="158">
        <v>9.7667</v>
      </c>
      <c r="J1603" s="158">
        <v>45.7136</v>
      </c>
      <c r="K1603" s="157" t="s">
        <v>4914</v>
      </c>
      <c r="L1603" s="157" t="s">
        <v>648</v>
      </c>
      <c r="M1603" s="158">
        <v>2022.0</v>
      </c>
      <c r="N1603" s="157" t="s">
        <v>201</v>
      </c>
      <c r="O1603" s="157" t="s">
        <v>105</v>
      </c>
      <c r="P1603" s="161" t="b">
        <v>1</v>
      </c>
      <c r="Q1603" s="158">
        <v>0.10940096</v>
      </c>
      <c r="R1603" s="158">
        <v>0.0</v>
      </c>
      <c r="S1603" s="158">
        <v>0.10940096</v>
      </c>
      <c r="T1603" s="157" t="s">
        <v>201</v>
      </c>
      <c r="U1603" s="46" t="s">
        <v>651</v>
      </c>
      <c r="V1603" s="46" t="b">
        <v>1</v>
      </c>
      <c r="W1603" s="46">
        <v>0.95</v>
      </c>
      <c r="X1603" s="46">
        <v>0.0</v>
      </c>
      <c r="Y1603" s="46">
        <v>8.70763593454151</v>
      </c>
      <c r="Z1603" s="46" t="b">
        <v>1</v>
      </c>
      <c r="AA1603" s="46" t="b">
        <v>1</v>
      </c>
    </row>
    <row r="1604">
      <c r="A1604" s="157" t="s">
        <v>570</v>
      </c>
      <c r="B1604" s="158">
        <v>4.0</v>
      </c>
      <c r="C1604" s="157" t="s">
        <v>1092</v>
      </c>
      <c r="D1604" s="157" t="s">
        <v>4872</v>
      </c>
      <c r="E1604" s="157" t="s">
        <v>4873</v>
      </c>
      <c r="F1604" s="157" t="s">
        <v>4915</v>
      </c>
      <c r="G1604" s="157" t="s">
        <v>4916</v>
      </c>
      <c r="H1604" s="157"/>
      <c r="I1604" s="158">
        <v>3.78247</v>
      </c>
      <c r="J1604" s="158">
        <v>51.34225</v>
      </c>
      <c r="K1604" s="157" t="s">
        <v>4917</v>
      </c>
      <c r="L1604" s="157" t="s">
        <v>648</v>
      </c>
      <c r="M1604" s="158">
        <v>2022.0</v>
      </c>
      <c r="N1604" s="157" t="s">
        <v>201</v>
      </c>
      <c r="O1604" s="157" t="s">
        <v>105</v>
      </c>
      <c r="P1604" s="161" t="b">
        <v>1</v>
      </c>
      <c r="Q1604" s="158">
        <v>3.49</v>
      </c>
      <c r="R1604" s="158">
        <v>0.0</v>
      </c>
      <c r="S1604" s="158">
        <v>3.49</v>
      </c>
      <c r="T1604" s="157" t="s">
        <v>201</v>
      </c>
      <c r="U1604" s="46" t="s">
        <v>651</v>
      </c>
      <c r="V1604" s="46" t="b">
        <v>1</v>
      </c>
      <c r="W1604" s="46">
        <v>0.95</v>
      </c>
      <c r="X1604" s="46">
        <v>0.0</v>
      </c>
      <c r="Y1604" s="46">
        <v>23.6955613492514</v>
      </c>
      <c r="Z1604" s="46" t="b">
        <v>1</v>
      </c>
      <c r="AA1604" s="46" t="b">
        <v>1</v>
      </c>
    </row>
    <row r="1605">
      <c r="A1605" s="157" t="s">
        <v>570</v>
      </c>
      <c r="B1605" s="158">
        <v>4.0</v>
      </c>
      <c r="C1605" s="157" t="s">
        <v>1092</v>
      </c>
      <c r="D1605" s="157" t="s">
        <v>4872</v>
      </c>
      <c r="E1605" s="157" t="s">
        <v>4873</v>
      </c>
      <c r="F1605" s="157" t="s">
        <v>4918</v>
      </c>
      <c r="G1605" s="157" t="s">
        <v>4919</v>
      </c>
      <c r="H1605" s="157"/>
      <c r="I1605" s="158">
        <v>5.79632</v>
      </c>
      <c r="J1605" s="158">
        <v>50.98059</v>
      </c>
      <c r="K1605" s="157" t="s">
        <v>4920</v>
      </c>
      <c r="L1605" s="157" t="s">
        <v>648</v>
      </c>
      <c r="M1605" s="158">
        <v>2022.0</v>
      </c>
      <c r="N1605" s="157" t="s">
        <v>201</v>
      </c>
      <c r="O1605" s="157" t="s">
        <v>105</v>
      </c>
      <c r="P1605" s="161" t="b">
        <v>1</v>
      </c>
      <c r="Q1605" s="158">
        <v>3.35</v>
      </c>
      <c r="R1605" s="158">
        <v>0.0</v>
      </c>
      <c r="S1605" s="158">
        <v>3.35</v>
      </c>
      <c r="T1605" s="157" t="s">
        <v>201</v>
      </c>
      <c r="U1605" s="46" t="s">
        <v>651</v>
      </c>
      <c r="V1605" s="46" t="b">
        <v>1</v>
      </c>
      <c r="W1605" s="46">
        <v>0.95</v>
      </c>
      <c r="X1605" s="46">
        <v>0.0</v>
      </c>
      <c r="Y1605" s="46">
        <v>6.79846954870456</v>
      </c>
      <c r="Z1605" s="46" t="b">
        <v>1</v>
      </c>
      <c r="AA1605" s="46" t="b">
        <v>1</v>
      </c>
    </row>
    <row r="1606">
      <c r="A1606" s="157" t="s">
        <v>570</v>
      </c>
      <c r="B1606" s="158">
        <v>4.0</v>
      </c>
      <c r="C1606" s="157" t="s">
        <v>1092</v>
      </c>
      <c r="D1606" s="157" t="s">
        <v>4872</v>
      </c>
      <c r="E1606" s="157" t="s">
        <v>4873</v>
      </c>
      <c r="F1606" s="157" t="s">
        <v>4921</v>
      </c>
      <c r="G1606" s="157" t="s">
        <v>4922</v>
      </c>
      <c r="H1606" s="157"/>
      <c r="I1606" s="158">
        <v>4.56212</v>
      </c>
      <c r="J1606" s="158">
        <v>51.68786</v>
      </c>
      <c r="K1606" s="157" t="s">
        <v>4025</v>
      </c>
      <c r="L1606" s="157" t="s">
        <v>648</v>
      </c>
      <c r="M1606" s="158">
        <v>2022.0</v>
      </c>
      <c r="N1606" s="157" t="s">
        <v>201</v>
      </c>
      <c r="O1606" s="157" t="s">
        <v>105</v>
      </c>
      <c r="P1606" s="161" t="b">
        <v>1</v>
      </c>
      <c r="Q1606" s="158">
        <v>2.37</v>
      </c>
      <c r="R1606" s="158">
        <v>0.0</v>
      </c>
      <c r="S1606" s="158">
        <v>2.37</v>
      </c>
      <c r="T1606" s="157" t="s">
        <v>201</v>
      </c>
      <c r="U1606" s="46" t="s">
        <v>651</v>
      </c>
      <c r="V1606" s="46" t="b">
        <v>1</v>
      </c>
      <c r="W1606" s="46">
        <v>0.95</v>
      </c>
      <c r="X1606" s="46">
        <v>0.0</v>
      </c>
      <c r="Y1606" s="46">
        <v>2.26236507443776</v>
      </c>
      <c r="Z1606" s="46" t="b">
        <v>1</v>
      </c>
      <c r="AA1606" s="46" t="b">
        <v>1</v>
      </c>
    </row>
    <row r="1607">
      <c r="A1607" s="157" t="s">
        <v>570</v>
      </c>
      <c r="B1607" s="158">
        <v>4.0</v>
      </c>
      <c r="C1607" s="157" t="s">
        <v>1092</v>
      </c>
      <c r="D1607" s="157" t="s">
        <v>4872</v>
      </c>
      <c r="E1607" s="157" t="s">
        <v>4873</v>
      </c>
      <c r="F1607" s="157" t="s">
        <v>4923</v>
      </c>
      <c r="G1607" s="157" t="s">
        <v>4924</v>
      </c>
      <c r="H1607" s="157"/>
      <c r="I1607" s="158">
        <v>4.25585</v>
      </c>
      <c r="J1607" s="158">
        <v>51.51059</v>
      </c>
      <c r="K1607" s="157" t="s">
        <v>4925</v>
      </c>
      <c r="L1607" s="157" t="s">
        <v>648</v>
      </c>
      <c r="M1607" s="158">
        <v>2022.0</v>
      </c>
      <c r="N1607" s="157" t="s">
        <v>201</v>
      </c>
      <c r="O1607" s="157" t="s">
        <v>105</v>
      </c>
      <c r="P1607" s="161" t="b">
        <v>1</v>
      </c>
      <c r="Q1607" s="158">
        <v>0.319</v>
      </c>
      <c r="R1607" s="158">
        <v>0.0</v>
      </c>
      <c r="S1607" s="158">
        <v>0.319</v>
      </c>
      <c r="T1607" s="157" t="s">
        <v>201</v>
      </c>
      <c r="U1607" s="46" t="s">
        <v>651</v>
      </c>
      <c r="V1607" s="46" t="b">
        <v>1</v>
      </c>
      <c r="W1607" s="46">
        <v>0.95</v>
      </c>
      <c r="X1607" s="46">
        <v>0.0</v>
      </c>
      <c r="Y1607" s="46">
        <v>20.6291426077543</v>
      </c>
      <c r="Z1607" s="46" t="b">
        <v>1</v>
      </c>
      <c r="AA1607" s="46" t="b">
        <v>1</v>
      </c>
    </row>
    <row r="1608">
      <c r="A1608" s="157" t="s">
        <v>570</v>
      </c>
      <c r="B1608" s="158">
        <v>4.0</v>
      </c>
      <c r="C1608" s="157" t="s">
        <v>1092</v>
      </c>
      <c r="D1608" s="157" t="s">
        <v>4872</v>
      </c>
      <c r="E1608" s="157" t="s">
        <v>4873</v>
      </c>
      <c r="F1608" s="157" t="s">
        <v>4926</v>
      </c>
      <c r="G1608" s="157" t="s">
        <v>4927</v>
      </c>
      <c r="H1608" s="157"/>
      <c r="I1608" s="158">
        <v>4.25308</v>
      </c>
      <c r="J1608" s="158">
        <v>51.88297</v>
      </c>
      <c r="K1608" s="157" t="s">
        <v>4113</v>
      </c>
      <c r="L1608" s="157" t="s">
        <v>648</v>
      </c>
      <c r="M1608" s="158">
        <v>2022.0</v>
      </c>
      <c r="N1608" s="157" t="s">
        <v>201</v>
      </c>
      <c r="O1608" s="157" t="s">
        <v>105</v>
      </c>
      <c r="P1608" s="161" t="b">
        <v>1</v>
      </c>
      <c r="Q1608" s="158">
        <v>0.287</v>
      </c>
      <c r="R1608" s="158">
        <v>0.0</v>
      </c>
      <c r="S1608" s="158">
        <v>0.287</v>
      </c>
      <c r="T1608" s="157" t="s">
        <v>201</v>
      </c>
      <c r="U1608" s="46" t="s">
        <v>651</v>
      </c>
      <c r="V1608" s="46" t="b">
        <v>1</v>
      </c>
      <c r="W1608" s="46">
        <v>0.95</v>
      </c>
      <c r="X1608" s="46">
        <v>0.0</v>
      </c>
      <c r="Y1608" s="46">
        <v>0.482254705262373</v>
      </c>
      <c r="Z1608" s="46" t="b">
        <v>1</v>
      </c>
      <c r="AA1608" s="46" t="b">
        <v>1</v>
      </c>
    </row>
    <row r="1609">
      <c r="A1609" s="157" t="s">
        <v>566</v>
      </c>
      <c r="B1609" s="158">
        <v>4.0</v>
      </c>
      <c r="C1609" s="157" t="s">
        <v>1092</v>
      </c>
      <c r="D1609" s="157" t="s">
        <v>4872</v>
      </c>
      <c r="E1609" s="157" t="s">
        <v>4873</v>
      </c>
      <c r="F1609" s="157" t="s">
        <v>4928</v>
      </c>
      <c r="G1609" s="157" t="s">
        <v>4929</v>
      </c>
      <c r="H1609" s="157"/>
      <c r="I1609" s="158">
        <v>18.52277565</v>
      </c>
      <c r="J1609" s="158">
        <v>52.27626801</v>
      </c>
      <c r="K1609" s="157" t="s">
        <v>4930</v>
      </c>
      <c r="L1609" s="157" t="s">
        <v>648</v>
      </c>
      <c r="M1609" s="158">
        <v>2022.0</v>
      </c>
      <c r="N1609" s="157" t="s">
        <v>201</v>
      </c>
      <c r="O1609" s="157" t="s">
        <v>105</v>
      </c>
      <c r="P1609" s="161" t="b">
        <v>1</v>
      </c>
      <c r="Q1609" s="158">
        <v>0.528</v>
      </c>
      <c r="R1609" s="158">
        <v>0.0</v>
      </c>
      <c r="S1609" s="158">
        <v>0.528</v>
      </c>
      <c r="T1609" s="157" t="s">
        <v>201</v>
      </c>
      <c r="U1609" s="46" t="s">
        <v>651</v>
      </c>
      <c r="V1609" s="46" t="b">
        <v>1</v>
      </c>
      <c r="W1609" s="46">
        <v>0.95</v>
      </c>
      <c r="X1609" s="46">
        <v>0.0</v>
      </c>
      <c r="Y1609" s="46">
        <v>59.4013999175544</v>
      </c>
      <c r="Z1609" s="46" t="b">
        <v>0</v>
      </c>
      <c r="AA1609" s="46" t="b">
        <v>1</v>
      </c>
    </row>
    <row r="1610">
      <c r="A1610" s="157" t="s">
        <v>566</v>
      </c>
      <c r="B1610" s="158">
        <v>4.0</v>
      </c>
      <c r="C1610" s="157" t="s">
        <v>1092</v>
      </c>
      <c r="D1610" s="157" t="s">
        <v>4872</v>
      </c>
      <c r="E1610" s="157" t="s">
        <v>4873</v>
      </c>
      <c r="F1610" s="157" t="s">
        <v>4931</v>
      </c>
      <c r="G1610" s="157" t="s">
        <v>4932</v>
      </c>
      <c r="H1610" s="157"/>
      <c r="I1610" s="158">
        <v>15.10008049</v>
      </c>
      <c r="J1610" s="158">
        <v>51.63416672</v>
      </c>
      <c r="K1610" s="157" t="s">
        <v>4933</v>
      </c>
      <c r="L1610" s="157" t="s">
        <v>648</v>
      </c>
      <c r="M1610" s="158">
        <v>2022.0</v>
      </c>
      <c r="N1610" s="157" t="s">
        <v>201</v>
      </c>
      <c r="O1610" s="157" t="s">
        <v>105</v>
      </c>
      <c r="P1610" s="161" t="b">
        <v>1</v>
      </c>
      <c r="Q1610" s="158">
        <v>0.328</v>
      </c>
      <c r="R1610" s="158">
        <v>0.0</v>
      </c>
      <c r="S1610" s="158">
        <v>0.328</v>
      </c>
      <c r="T1610" s="157" t="s">
        <v>201</v>
      </c>
      <c r="U1610" s="46" t="s">
        <v>651</v>
      </c>
      <c r="V1610" s="46" t="b">
        <v>1</v>
      </c>
      <c r="W1610" s="46">
        <v>0.95</v>
      </c>
      <c r="X1610" s="46">
        <v>0.0</v>
      </c>
      <c r="Y1610" s="46">
        <v>52.5522610354828</v>
      </c>
      <c r="Z1610" s="46" t="b">
        <v>0</v>
      </c>
      <c r="AA1610" s="46" t="b">
        <v>1</v>
      </c>
    </row>
    <row r="1611">
      <c r="A1611" s="157" t="s">
        <v>566</v>
      </c>
      <c r="B1611" s="158">
        <v>4.0</v>
      </c>
      <c r="C1611" s="157" t="s">
        <v>1092</v>
      </c>
      <c r="D1611" s="157" t="s">
        <v>4872</v>
      </c>
      <c r="E1611" s="157" t="s">
        <v>4873</v>
      </c>
      <c r="F1611" s="157" t="s">
        <v>4934</v>
      </c>
      <c r="G1611" s="157" t="s">
        <v>4935</v>
      </c>
      <c r="H1611" s="157"/>
      <c r="I1611" s="158">
        <v>17.26286697</v>
      </c>
      <c r="J1611" s="158">
        <v>50.47989273</v>
      </c>
      <c r="K1611" s="157" t="s">
        <v>4936</v>
      </c>
      <c r="L1611" s="157" t="s">
        <v>648</v>
      </c>
      <c r="M1611" s="158">
        <v>2022.0</v>
      </c>
      <c r="N1611" s="157" t="s">
        <v>201</v>
      </c>
      <c r="O1611" s="157" t="s">
        <v>105</v>
      </c>
      <c r="P1611" s="161" t="b">
        <v>1</v>
      </c>
      <c r="Q1611" s="158">
        <v>0.309</v>
      </c>
      <c r="R1611" s="158">
        <v>0.0</v>
      </c>
      <c r="S1611" s="158">
        <v>0.309</v>
      </c>
      <c r="T1611" s="157" t="s">
        <v>201</v>
      </c>
      <c r="U1611" s="46" t="s">
        <v>651</v>
      </c>
      <c r="V1611" s="46" t="b">
        <v>1</v>
      </c>
      <c r="W1611" s="46">
        <v>0.95</v>
      </c>
      <c r="X1611" s="46">
        <v>0.0</v>
      </c>
      <c r="Y1611" s="46" t="s">
        <v>640</v>
      </c>
      <c r="Z1611" s="46" t="b">
        <v>0</v>
      </c>
      <c r="AA1611" s="46" t="b">
        <v>0</v>
      </c>
    </row>
    <row r="1612">
      <c r="A1612" s="157" t="s">
        <v>566</v>
      </c>
      <c r="B1612" s="158">
        <v>4.0</v>
      </c>
      <c r="C1612" s="157" t="s">
        <v>1092</v>
      </c>
      <c r="D1612" s="157" t="s">
        <v>4872</v>
      </c>
      <c r="E1612" s="157" t="s">
        <v>4873</v>
      </c>
      <c r="F1612" s="157" t="s">
        <v>4937</v>
      </c>
      <c r="G1612" s="157" t="s">
        <v>4938</v>
      </c>
      <c r="H1612" s="157"/>
      <c r="I1612" s="158">
        <v>17.31589699</v>
      </c>
      <c r="J1612" s="158">
        <v>52.78709793</v>
      </c>
      <c r="K1612" s="157" t="s">
        <v>4939</v>
      </c>
      <c r="L1612" s="157" t="s">
        <v>648</v>
      </c>
      <c r="M1612" s="158">
        <v>2022.0</v>
      </c>
      <c r="N1612" s="157" t="s">
        <v>201</v>
      </c>
      <c r="O1612" s="157" t="s">
        <v>105</v>
      </c>
      <c r="P1612" s="161" t="b">
        <v>1</v>
      </c>
      <c r="Q1612" s="158">
        <v>0.152</v>
      </c>
      <c r="R1612" s="158">
        <v>0.0</v>
      </c>
      <c r="S1612" s="158">
        <v>0.152</v>
      </c>
      <c r="T1612" s="157" t="s">
        <v>201</v>
      </c>
      <c r="U1612" s="46" t="s">
        <v>651</v>
      </c>
      <c r="V1612" s="46" t="b">
        <v>1</v>
      </c>
      <c r="W1612" s="46">
        <v>0.95</v>
      </c>
      <c r="X1612" s="46">
        <v>0.0</v>
      </c>
      <c r="Y1612" s="46">
        <v>41.7163666103648</v>
      </c>
      <c r="Z1612" s="46" t="b">
        <v>1</v>
      </c>
      <c r="AA1612" s="46" t="b">
        <v>1</v>
      </c>
    </row>
    <row r="1613">
      <c r="A1613" s="157" t="s">
        <v>566</v>
      </c>
      <c r="B1613" s="158">
        <v>4.0</v>
      </c>
      <c r="C1613" s="157" t="s">
        <v>1092</v>
      </c>
      <c r="D1613" s="157" t="s">
        <v>4872</v>
      </c>
      <c r="E1613" s="157" t="s">
        <v>4873</v>
      </c>
      <c r="F1613" s="157" t="s">
        <v>4940</v>
      </c>
      <c r="G1613" s="157" t="s">
        <v>4941</v>
      </c>
      <c r="H1613" s="157"/>
      <c r="I1613" s="158">
        <v>18.97097206</v>
      </c>
      <c r="J1613" s="158">
        <v>52.71022415</v>
      </c>
      <c r="K1613" s="157" t="s">
        <v>2092</v>
      </c>
      <c r="L1613" s="157" t="s">
        <v>648</v>
      </c>
      <c r="M1613" s="158">
        <v>2022.0</v>
      </c>
      <c r="N1613" s="157" t="s">
        <v>201</v>
      </c>
      <c r="O1613" s="157" t="s">
        <v>105</v>
      </c>
      <c r="P1613" s="161" t="b">
        <v>1</v>
      </c>
      <c r="Q1613" s="158">
        <v>0.128</v>
      </c>
      <c r="R1613" s="158">
        <v>0.0</v>
      </c>
      <c r="S1613" s="158">
        <v>0.128</v>
      </c>
      <c r="T1613" s="157" t="s">
        <v>201</v>
      </c>
      <c r="U1613" s="46" t="s">
        <v>651</v>
      </c>
      <c r="V1613" s="46" t="b">
        <v>1</v>
      </c>
      <c r="W1613" s="46">
        <v>0.95</v>
      </c>
      <c r="X1613" s="46">
        <v>0.0</v>
      </c>
      <c r="Y1613" s="46">
        <v>2.81616820016887</v>
      </c>
      <c r="Z1613" s="46" t="b">
        <v>1</v>
      </c>
      <c r="AA1613" s="46" t="b">
        <v>1</v>
      </c>
    </row>
    <row r="1614">
      <c r="A1614" s="157" t="s">
        <v>563</v>
      </c>
      <c r="B1614" s="158">
        <v>4.0</v>
      </c>
      <c r="C1614" s="157" t="s">
        <v>1092</v>
      </c>
      <c r="D1614" s="157" t="s">
        <v>4872</v>
      </c>
      <c r="E1614" s="157" t="s">
        <v>4873</v>
      </c>
      <c r="F1614" s="157" t="s">
        <v>4942</v>
      </c>
      <c r="G1614" s="157" t="s">
        <v>4943</v>
      </c>
      <c r="H1614" s="157"/>
      <c r="I1614" s="158">
        <v>-1.1010294</v>
      </c>
      <c r="J1614" s="158">
        <v>54.582661</v>
      </c>
      <c r="K1614" s="157" t="s">
        <v>4944</v>
      </c>
      <c r="L1614" s="157" t="s">
        <v>648</v>
      </c>
      <c r="M1614" s="158">
        <v>2019.0</v>
      </c>
      <c r="N1614" s="157" t="s">
        <v>201</v>
      </c>
      <c r="O1614" s="157" t="s">
        <v>105</v>
      </c>
      <c r="P1614" s="161" t="b">
        <v>1</v>
      </c>
      <c r="Q1614" s="158">
        <v>1.02</v>
      </c>
      <c r="R1614" s="158">
        <v>0.0</v>
      </c>
      <c r="S1614" s="158">
        <v>1.02</v>
      </c>
      <c r="T1614" s="157" t="s">
        <v>201</v>
      </c>
      <c r="U1614" s="46" t="s">
        <v>651</v>
      </c>
      <c r="V1614" s="46" t="b">
        <v>1</v>
      </c>
      <c r="W1614" s="46">
        <v>0.95</v>
      </c>
      <c r="X1614" s="46">
        <v>0.0</v>
      </c>
      <c r="Y1614" s="46">
        <v>10.401848358563</v>
      </c>
      <c r="Z1614" s="46" t="b">
        <v>1</v>
      </c>
      <c r="AA1614" s="46" t="b">
        <v>1</v>
      </c>
    </row>
    <row r="1615">
      <c r="A1615" s="157" t="s">
        <v>563</v>
      </c>
      <c r="B1615" s="158">
        <v>4.0</v>
      </c>
      <c r="C1615" s="157" t="s">
        <v>1092</v>
      </c>
      <c r="D1615" s="157" t="s">
        <v>4872</v>
      </c>
      <c r="E1615" s="157" t="s">
        <v>4873</v>
      </c>
      <c r="F1615" s="157" t="s">
        <v>4945</v>
      </c>
      <c r="G1615" s="157" t="s">
        <v>4946</v>
      </c>
      <c r="H1615" s="157"/>
      <c r="I1615" s="158">
        <v>-0.2368711</v>
      </c>
      <c r="J1615" s="158">
        <v>53.738822</v>
      </c>
      <c r="K1615" s="157" t="s">
        <v>4947</v>
      </c>
      <c r="L1615" s="157" t="s">
        <v>648</v>
      </c>
      <c r="M1615" s="158">
        <v>2019.0</v>
      </c>
      <c r="N1615" s="157" t="s">
        <v>201</v>
      </c>
      <c r="O1615" s="157" t="s">
        <v>105</v>
      </c>
      <c r="P1615" s="161" t="b">
        <v>1</v>
      </c>
      <c r="Q1615" s="158">
        <v>0.34</v>
      </c>
      <c r="R1615" s="158">
        <v>0.0</v>
      </c>
      <c r="S1615" s="158">
        <v>0.34</v>
      </c>
      <c r="T1615" s="157" t="s">
        <v>201</v>
      </c>
      <c r="U1615" s="46" t="s">
        <v>651</v>
      </c>
      <c r="V1615" s="46" t="b">
        <v>1</v>
      </c>
      <c r="W1615" s="46">
        <v>0.95</v>
      </c>
      <c r="X1615" s="46">
        <v>0.0</v>
      </c>
      <c r="Y1615" s="46">
        <v>7.30775002948794</v>
      </c>
      <c r="Z1615" s="46" t="b">
        <v>1</v>
      </c>
      <c r="AA1615" s="46" t="b">
        <v>1</v>
      </c>
    </row>
    <row r="1616">
      <c r="A1616" s="157" t="s">
        <v>563</v>
      </c>
      <c r="B1616" s="158">
        <v>4.0</v>
      </c>
      <c r="C1616" s="157" t="s">
        <v>1092</v>
      </c>
      <c r="D1616" s="157" t="s">
        <v>4872</v>
      </c>
      <c r="E1616" s="157" t="s">
        <v>4873</v>
      </c>
      <c r="F1616" s="157" t="s">
        <v>4948</v>
      </c>
      <c r="G1616" s="157" t="s">
        <v>4949</v>
      </c>
      <c r="H1616" s="157"/>
      <c r="I1616" s="158">
        <v>-1.2450507</v>
      </c>
      <c r="J1616" s="158">
        <v>54.575826</v>
      </c>
      <c r="K1616" s="157" t="s">
        <v>4130</v>
      </c>
      <c r="L1616" s="157" t="s">
        <v>648</v>
      </c>
      <c r="M1616" s="158">
        <v>2019.0</v>
      </c>
      <c r="N1616" s="157" t="s">
        <v>201</v>
      </c>
      <c r="O1616" s="157" t="s">
        <v>105</v>
      </c>
      <c r="P1616" s="161" t="b">
        <v>1</v>
      </c>
      <c r="Q1616" s="158">
        <v>0.206</v>
      </c>
      <c r="R1616" s="158">
        <v>0.0</v>
      </c>
      <c r="S1616" s="158">
        <v>0.206</v>
      </c>
      <c r="T1616" s="157" t="s">
        <v>201</v>
      </c>
      <c r="U1616" s="46" t="s">
        <v>651</v>
      </c>
      <c r="V1616" s="46" t="b">
        <v>1</v>
      </c>
      <c r="W1616" s="46">
        <v>0.95</v>
      </c>
      <c r="X1616" s="46">
        <v>0.0</v>
      </c>
      <c r="Y1616" s="46">
        <v>19.7401944458314</v>
      </c>
      <c r="Z1616" s="46" t="b">
        <v>1</v>
      </c>
      <c r="AA1616" s="46" t="b">
        <v>1</v>
      </c>
    </row>
    <row r="1617">
      <c r="A1617" s="157" t="s">
        <v>563</v>
      </c>
      <c r="B1617" s="158">
        <v>4.0</v>
      </c>
      <c r="C1617" s="157" t="s">
        <v>1092</v>
      </c>
      <c r="D1617" s="157" t="s">
        <v>4872</v>
      </c>
      <c r="E1617" s="157" t="s">
        <v>4873</v>
      </c>
      <c r="F1617" s="157" t="s">
        <v>4950</v>
      </c>
      <c r="G1617" s="157" t="s">
        <v>4951</v>
      </c>
      <c r="H1617" s="157"/>
      <c r="I1617" s="158">
        <v>-1.2759475</v>
      </c>
      <c r="J1617" s="158">
        <v>54.586979</v>
      </c>
      <c r="K1617" s="157" t="s">
        <v>4124</v>
      </c>
      <c r="L1617" s="157" t="s">
        <v>648</v>
      </c>
      <c r="M1617" s="158">
        <v>2019.0</v>
      </c>
      <c r="N1617" s="157" t="s">
        <v>201</v>
      </c>
      <c r="O1617" s="157" t="s">
        <v>105</v>
      </c>
      <c r="P1617" s="161" t="b">
        <v>1</v>
      </c>
      <c r="Q1617" s="158">
        <v>0.162</v>
      </c>
      <c r="R1617" s="158">
        <v>0.0</v>
      </c>
      <c r="S1617" s="158">
        <v>0.162</v>
      </c>
      <c r="T1617" s="157" t="s">
        <v>201</v>
      </c>
      <c r="U1617" s="46" t="s">
        <v>651</v>
      </c>
      <c r="V1617" s="46" t="b">
        <v>1</v>
      </c>
      <c r="W1617" s="46">
        <v>0.95</v>
      </c>
      <c r="X1617" s="46">
        <v>0.0</v>
      </c>
      <c r="Y1617" s="46">
        <v>21.6975410821522</v>
      </c>
      <c r="Z1617" s="46" t="b">
        <v>1</v>
      </c>
      <c r="AA1617" s="46" t="b">
        <v>1</v>
      </c>
    </row>
    <row r="1618">
      <c r="A1618" s="157" t="s">
        <v>560</v>
      </c>
      <c r="B1618" s="158">
        <v>8.0</v>
      </c>
      <c r="C1618" s="157" t="s">
        <v>1175</v>
      </c>
      <c r="D1618" s="157" t="s">
        <v>4952</v>
      </c>
      <c r="E1618" s="157" t="s">
        <v>4953</v>
      </c>
      <c r="F1618" s="157" t="s">
        <v>4954</v>
      </c>
      <c r="G1618" s="157" t="s">
        <v>4955</v>
      </c>
      <c r="H1618" s="157"/>
      <c r="I1618" s="158">
        <v>16.278111</v>
      </c>
      <c r="J1618" s="158">
        <v>48.721222</v>
      </c>
      <c r="K1618" s="157" t="s">
        <v>4956</v>
      </c>
      <c r="L1618" s="157" t="s">
        <v>648</v>
      </c>
      <c r="M1618" s="158">
        <v>2022.0</v>
      </c>
      <c r="N1618" s="157" t="s">
        <v>552</v>
      </c>
      <c r="O1618" s="157" t="s">
        <v>105</v>
      </c>
      <c r="P1618" s="161" t="b">
        <v>1</v>
      </c>
      <c r="Q1618" s="158">
        <v>0.283</v>
      </c>
      <c r="R1618" s="158">
        <v>0.0</v>
      </c>
      <c r="S1618" s="158">
        <v>0.283</v>
      </c>
      <c r="T1618" s="157" t="s">
        <v>552</v>
      </c>
      <c r="U1618" s="46" t="s">
        <v>651</v>
      </c>
      <c r="V1618" s="46" t="b">
        <v>1</v>
      </c>
      <c r="W1618" s="46">
        <v>0.95</v>
      </c>
      <c r="X1618" s="46">
        <v>0.0</v>
      </c>
      <c r="Y1618" s="46" t="s">
        <v>640</v>
      </c>
      <c r="Z1618" s="46" t="b">
        <v>0</v>
      </c>
      <c r="AA1618" s="46" t="b">
        <v>0</v>
      </c>
    </row>
    <row r="1619">
      <c r="A1619" s="157" t="s">
        <v>559</v>
      </c>
      <c r="B1619" s="158">
        <v>8.0</v>
      </c>
      <c r="C1619" s="157" t="s">
        <v>1175</v>
      </c>
      <c r="D1619" s="157" t="s">
        <v>4952</v>
      </c>
      <c r="E1619" s="157" t="s">
        <v>4953</v>
      </c>
      <c r="F1619" s="157" t="s">
        <v>4957</v>
      </c>
      <c r="G1619" s="157" t="s">
        <v>4958</v>
      </c>
      <c r="H1619" s="157"/>
      <c r="I1619" s="158">
        <v>8.8561</v>
      </c>
      <c r="J1619" s="158">
        <v>44.7611</v>
      </c>
      <c r="K1619" s="157" t="s">
        <v>4959</v>
      </c>
      <c r="L1619" s="157" t="s">
        <v>648</v>
      </c>
      <c r="M1619" s="158">
        <v>2022.0</v>
      </c>
      <c r="N1619" s="157" t="s">
        <v>552</v>
      </c>
      <c r="O1619" s="157" t="s">
        <v>105</v>
      </c>
      <c r="P1619" s="161" t="b">
        <v>1</v>
      </c>
      <c r="Q1619" s="158">
        <v>0.241106</v>
      </c>
      <c r="R1619" s="158">
        <v>0.0</v>
      </c>
      <c r="S1619" s="158">
        <v>0.241106</v>
      </c>
      <c r="T1619" s="157" t="s">
        <v>552</v>
      </c>
      <c r="U1619" s="46" t="s">
        <v>651</v>
      </c>
      <c r="V1619" s="46" t="b">
        <v>1</v>
      </c>
      <c r="W1619" s="46">
        <v>0.95</v>
      </c>
      <c r="X1619" s="46">
        <v>0.0</v>
      </c>
      <c r="Y1619" s="46">
        <v>24.2434677295979</v>
      </c>
      <c r="Z1619" s="46" t="b">
        <v>1</v>
      </c>
      <c r="AA1619" s="46" t="b">
        <v>1</v>
      </c>
    </row>
    <row r="1620">
      <c r="A1620" s="157" t="s">
        <v>559</v>
      </c>
      <c r="B1620" s="158">
        <v>8.0</v>
      </c>
      <c r="C1620" s="157" t="s">
        <v>1175</v>
      </c>
      <c r="D1620" s="157" t="s">
        <v>4952</v>
      </c>
      <c r="E1620" s="157" t="s">
        <v>4953</v>
      </c>
      <c r="F1620" s="157" t="s">
        <v>4960</v>
      </c>
      <c r="G1620" s="157" t="s">
        <v>4961</v>
      </c>
      <c r="H1620" s="157"/>
      <c r="I1620" s="158">
        <v>8.0236</v>
      </c>
      <c r="J1620" s="158">
        <v>44.6986</v>
      </c>
      <c r="K1620" s="157" t="s">
        <v>4962</v>
      </c>
      <c r="L1620" s="157" t="s">
        <v>648</v>
      </c>
      <c r="M1620" s="158">
        <v>2022.0</v>
      </c>
      <c r="N1620" s="157" t="s">
        <v>552</v>
      </c>
      <c r="O1620" s="157" t="s">
        <v>105</v>
      </c>
      <c r="P1620" s="161" t="b">
        <v>1</v>
      </c>
      <c r="Q1620" s="158">
        <v>0.20351</v>
      </c>
      <c r="R1620" s="158">
        <v>0.0</v>
      </c>
      <c r="S1620" s="158">
        <v>0.20351</v>
      </c>
      <c r="T1620" s="157" t="s">
        <v>552</v>
      </c>
      <c r="U1620" s="46" t="s">
        <v>651</v>
      </c>
      <c r="V1620" s="46" t="b">
        <v>1</v>
      </c>
      <c r="W1620" s="46">
        <v>0.95</v>
      </c>
      <c r="X1620" s="46">
        <v>0.0</v>
      </c>
      <c r="Y1620" s="46">
        <v>74.1118590825503</v>
      </c>
      <c r="Z1620" s="46" t="b">
        <v>0</v>
      </c>
      <c r="AA1620" s="46" t="b">
        <v>1</v>
      </c>
    </row>
    <row r="1621">
      <c r="A1621" s="157" t="s">
        <v>559</v>
      </c>
      <c r="B1621" s="158">
        <v>8.0</v>
      </c>
      <c r="C1621" s="157" t="s">
        <v>1175</v>
      </c>
      <c r="D1621" s="157" t="s">
        <v>4952</v>
      </c>
      <c r="E1621" s="157" t="s">
        <v>4953</v>
      </c>
      <c r="F1621" s="157" t="s">
        <v>4963</v>
      </c>
      <c r="G1621" s="157" t="s">
        <v>4964</v>
      </c>
      <c r="H1621" s="157"/>
      <c r="I1621" s="158">
        <v>11.3028</v>
      </c>
      <c r="J1621" s="158">
        <v>45.0292</v>
      </c>
      <c r="K1621" s="157" t="s">
        <v>4965</v>
      </c>
      <c r="L1621" s="157" t="s">
        <v>648</v>
      </c>
      <c r="M1621" s="158">
        <v>2022.0</v>
      </c>
      <c r="N1621" s="157" t="s">
        <v>552</v>
      </c>
      <c r="O1621" s="157" t="s">
        <v>105</v>
      </c>
      <c r="P1621" s="161" t="b">
        <v>1</v>
      </c>
      <c r="Q1621" s="158">
        <v>0.168092</v>
      </c>
      <c r="R1621" s="158">
        <v>0.0</v>
      </c>
      <c r="S1621" s="158">
        <v>0.168092</v>
      </c>
      <c r="T1621" s="157" t="s">
        <v>552</v>
      </c>
      <c r="U1621" s="46" t="s">
        <v>651</v>
      </c>
      <c r="V1621" s="46" t="b">
        <v>1</v>
      </c>
      <c r="W1621" s="46">
        <v>0.95</v>
      </c>
      <c r="X1621" s="46">
        <v>0.0</v>
      </c>
      <c r="Y1621" s="46">
        <v>3.6857131935777</v>
      </c>
      <c r="Z1621" s="46" t="b">
        <v>1</v>
      </c>
      <c r="AA1621" s="46" t="b">
        <v>1</v>
      </c>
    </row>
    <row r="1622">
      <c r="A1622" s="157" t="s">
        <v>559</v>
      </c>
      <c r="B1622" s="158">
        <v>8.0</v>
      </c>
      <c r="C1622" s="157" t="s">
        <v>1175</v>
      </c>
      <c r="D1622" s="157" t="s">
        <v>4952</v>
      </c>
      <c r="E1622" s="157" t="s">
        <v>4953</v>
      </c>
      <c r="F1622" s="157" t="s">
        <v>4966</v>
      </c>
      <c r="G1622" s="157" t="s">
        <v>4967</v>
      </c>
      <c r="H1622" s="157"/>
      <c r="I1622" s="158">
        <v>7.483333</v>
      </c>
      <c r="J1622" s="158">
        <v>44.649444</v>
      </c>
      <c r="K1622" s="157" t="s">
        <v>4968</v>
      </c>
      <c r="L1622" s="157" t="s">
        <v>648</v>
      </c>
      <c r="M1622" s="158">
        <v>2022.0</v>
      </c>
      <c r="N1622" s="157" t="s">
        <v>552</v>
      </c>
      <c r="O1622" s="157" t="s">
        <v>105</v>
      </c>
      <c r="P1622" s="161" t="b">
        <v>1</v>
      </c>
      <c r="Q1622" s="158">
        <v>0.126464028</v>
      </c>
      <c r="R1622" s="158">
        <v>0.0</v>
      </c>
      <c r="S1622" s="158">
        <v>0.126464028</v>
      </c>
      <c r="T1622" s="157" t="s">
        <v>552</v>
      </c>
      <c r="U1622" s="46" t="s">
        <v>651</v>
      </c>
      <c r="V1622" s="46" t="b">
        <v>1</v>
      </c>
      <c r="W1622" s="46">
        <v>0.95</v>
      </c>
      <c r="X1622" s="46">
        <v>0.0</v>
      </c>
      <c r="Y1622" s="46">
        <v>115.93247717176</v>
      </c>
      <c r="Z1622" s="46" t="b">
        <v>0</v>
      </c>
      <c r="AA1622" s="46" t="b">
        <v>0</v>
      </c>
    </row>
    <row r="1623">
      <c r="A1623" s="157" t="s">
        <v>570</v>
      </c>
      <c r="B1623" s="158">
        <v>8.0</v>
      </c>
      <c r="C1623" s="157" t="s">
        <v>1175</v>
      </c>
      <c r="D1623" s="157" t="s">
        <v>4952</v>
      </c>
      <c r="E1623" s="157" t="s">
        <v>4953</v>
      </c>
      <c r="F1623" s="157" t="s">
        <v>4969</v>
      </c>
      <c r="G1623" s="157" t="s">
        <v>4970</v>
      </c>
      <c r="H1623" s="157"/>
      <c r="I1623" s="158">
        <v>3.8026</v>
      </c>
      <c r="J1623" s="158">
        <v>51.23582</v>
      </c>
      <c r="K1623" s="157" t="s">
        <v>4971</v>
      </c>
      <c r="L1623" s="157" t="s">
        <v>648</v>
      </c>
      <c r="M1623" s="158">
        <v>2022.0</v>
      </c>
      <c r="N1623" s="157" t="s">
        <v>552</v>
      </c>
      <c r="O1623" s="157" t="s">
        <v>105</v>
      </c>
      <c r="P1623" s="161" t="b">
        <v>1</v>
      </c>
      <c r="Q1623" s="158">
        <v>0.222</v>
      </c>
      <c r="R1623" s="158">
        <v>0.0</v>
      </c>
      <c r="S1623" s="158">
        <v>0.222</v>
      </c>
      <c r="T1623" s="157" t="s">
        <v>552</v>
      </c>
      <c r="U1623" s="46" t="s">
        <v>651</v>
      </c>
      <c r="V1623" s="46" t="b">
        <v>1</v>
      </c>
      <c r="W1623" s="46">
        <v>0.95</v>
      </c>
      <c r="X1623" s="46">
        <v>0.0</v>
      </c>
      <c r="Y1623" s="46">
        <v>13.1415036986529</v>
      </c>
      <c r="Z1623" s="46" t="b">
        <v>1</v>
      </c>
      <c r="AA1623" s="46" t="b">
        <v>1</v>
      </c>
    </row>
    <row r="1624">
      <c r="A1624" s="157" t="s">
        <v>570</v>
      </c>
      <c r="B1624" s="158">
        <v>8.0</v>
      </c>
      <c r="C1624" s="157" t="s">
        <v>1175</v>
      </c>
      <c r="D1624" s="157" t="s">
        <v>4952</v>
      </c>
      <c r="E1624" s="157" t="s">
        <v>4953</v>
      </c>
      <c r="F1624" s="157" t="s">
        <v>4972</v>
      </c>
      <c r="G1624" s="157" t="s">
        <v>4973</v>
      </c>
      <c r="H1624" s="157"/>
      <c r="I1624" s="158">
        <v>4.12249</v>
      </c>
      <c r="J1624" s="158">
        <v>51.95597</v>
      </c>
      <c r="K1624" s="157" t="s">
        <v>4551</v>
      </c>
      <c r="L1624" s="157" t="s">
        <v>648</v>
      </c>
      <c r="M1624" s="158">
        <v>2022.0</v>
      </c>
      <c r="N1624" s="157" t="s">
        <v>552</v>
      </c>
      <c r="O1624" s="157" t="s">
        <v>105</v>
      </c>
      <c r="P1624" s="161" t="b">
        <v>1</v>
      </c>
      <c r="Q1624" s="158">
        <v>0.139</v>
      </c>
      <c r="R1624" s="158">
        <v>0.0</v>
      </c>
      <c r="S1624" s="158">
        <v>0.139</v>
      </c>
      <c r="T1624" s="157" t="s">
        <v>552</v>
      </c>
      <c r="U1624" s="46" t="s">
        <v>651</v>
      </c>
      <c r="V1624" s="46" t="b">
        <v>1</v>
      </c>
      <c r="W1624" s="46">
        <v>0.95</v>
      </c>
      <c r="X1624" s="46">
        <v>0.0</v>
      </c>
      <c r="Y1624" s="46">
        <v>3.73308642078869</v>
      </c>
      <c r="Z1624" s="46" t="b">
        <v>1</v>
      </c>
      <c r="AA1624" s="46" t="b">
        <v>1</v>
      </c>
    </row>
    <row r="1625">
      <c r="A1625" s="157" t="s">
        <v>570</v>
      </c>
      <c r="B1625" s="158">
        <v>8.0</v>
      </c>
      <c r="C1625" s="157" t="s">
        <v>1175</v>
      </c>
      <c r="D1625" s="157" t="s">
        <v>4952</v>
      </c>
      <c r="E1625" s="157" t="s">
        <v>4953</v>
      </c>
      <c r="F1625" s="157" t="s">
        <v>4974</v>
      </c>
      <c r="G1625" s="157" t="s">
        <v>4975</v>
      </c>
      <c r="H1625" s="157"/>
      <c r="I1625" s="158">
        <v>6.49511</v>
      </c>
      <c r="J1625" s="158">
        <v>53.21379</v>
      </c>
      <c r="K1625" s="157" t="s">
        <v>4976</v>
      </c>
      <c r="L1625" s="157" t="s">
        <v>648</v>
      </c>
      <c r="M1625" s="158">
        <v>2022.0</v>
      </c>
      <c r="N1625" s="157" t="s">
        <v>552</v>
      </c>
      <c r="O1625" s="157" t="s">
        <v>105</v>
      </c>
      <c r="P1625" s="161" t="b">
        <v>1</v>
      </c>
      <c r="Q1625" s="158">
        <v>0.129</v>
      </c>
      <c r="R1625" s="158">
        <v>0.0</v>
      </c>
      <c r="S1625" s="158">
        <v>0.129</v>
      </c>
      <c r="T1625" s="157" t="s">
        <v>552</v>
      </c>
      <c r="U1625" s="46" t="s">
        <v>651</v>
      </c>
      <c r="V1625" s="46" t="b">
        <v>1</v>
      </c>
      <c r="W1625" s="46">
        <v>0.95</v>
      </c>
      <c r="X1625" s="46">
        <v>0.0</v>
      </c>
      <c r="Y1625" s="46">
        <v>47.2415265439249</v>
      </c>
      <c r="Z1625" s="46" t="b">
        <v>1</v>
      </c>
      <c r="AA1625" s="46" t="b">
        <v>1</v>
      </c>
    </row>
    <row r="1626">
      <c r="A1626" s="157" t="s">
        <v>570</v>
      </c>
      <c r="B1626" s="158">
        <v>8.0</v>
      </c>
      <c r="C1626" s="157" t="s">
        <v>1175</v>
      </c>
      <c r="D1626" s="157" t="s">
        <v>4952</v>
      </c>
      <c r="E1626" s="157" t="s">
        <v>4953</v>
      </c>
      <c r="F1626" s="157" t="s">
        <v>4977</v>
      </c>
      <c r="G1626" s="157" t="s">
        <v>4978</v>
      </c>
      <c r="H1626" s="157"/>
      <c r="I1626" s="158">
        <v>4.43437</v>
      </c>
      <c r="J1626" s="158">
        <v>51.61818</v>
      </c>
      <c r="K1626" s="157" t="s">
        <v>4979</v>
      </c>
      <c r="L1626" s="157" t="s">
        <v>648</v>
      </c>
      <c r="M1626" s="158">
        <v>2022.0</v>
      </c>
      <c r="N1626" s="157" t="s">
        <v>552</v>
      </c>
      <c r="O1626" s="157" t="s">
        <v>105</v>
      </c>
      <c r="P1626" s="161" t="b">
        <v>1</v>
      </c>
      <c r="Q1626" s="158">
        <v>0.116</v>
      </c>
      <c r="R1626" s="158">
        <v>0.0</v>
      </c>
      <c r="S1626" s="158">
        <v>0.116</v>
      </c>
      <c r="T1626" s="157" t="s">
        <v>552</v>
      </c>
      <c r="U1626" s="46" t="s">
        <v>651</v>
      </c>
      <c r="V1626" s="46" t="b">
        <v>1</v>
      </c>
      <c r="W1626" s="46">
        <v>0.95</v>
      </c>
      <c r="X1626" s="46">
        <v>0.0</v>
      </c>
      <c r="Y1626" s="46">
        <v>7.00884629897187</v>
      </c>
      <c r="Z1626" s="46" t="b">
        <v>1</v>
      </c>
      <c r="AA1626" s="46" t="b">
        <v>1</v>
      </c>
    </row>
    <row r="1627">
      <c r="A1627" s="157" t="s">
        <v>563</v>
      </c>
      <c r="B1627" s="158">
        <v>8.0</v>
      </c>
      <c r="C1627" s="157" t="s">
        <v>1175</v>
      </c>
      <c r="D1627" s="157" t="s">
        <v>4952</v>
      </c>
      <c r="E1627" s="157" t="s">
        <v>4953</v>
      </c>
      <c r="F1627" s="157" t="s">
        <v>4980</v>
      </c>
      <c r="G1627" s="157" t="s">
        <v>4981</v>
      </c>
      <c r="H1627" s="157"/>
      <c r="I1627" s="158">
        <v>0.45208327</v>
      </c>
      <c r="J1627" s="158">
        <v>52.551275</v>
      </c>
      <c r="K1627" s="157" t="s">
        <v>4982</v>
      </c>
      <c r="L1627" s="157" t="s">
        <v>648</v>
      </c>
      <c r="M1627" s="158">
        <v>2019.0</v>
      </c>
      <c r="N1627" s="157" t="s">
        <v>552</v>
      </c>
      <c r="O1627" s="157" t="s">
        <v>105</v>
      </c>
      <c r="P1627" s="161" t="b">
        <v>1</v>
      </c>
      <c r="Q1627" s="158">
        <v>0.331</v>
      </c>
      <c r="R1627" s="158">
        <v>0.0</v>
      </c>
      <c r="S1627" s="158">
        <v>0.331</v>
      </c>
      <c r="T1627" s="157" t="s">
        <v>552</v>
      </c>
      <c r="U1627" s="46" t="s">
        <v>651</v>
      </c>
      <c r="V1627" s="46" t="b">
        <v>1</v>
      </c>
      <c r="W1627" s="46">
        <v>0.95</v>
      </c>
      <c r="X1627" s="46">
        <v>0.0</v>
      </c>
      <c r="Y1627" s="46">
        <v>93.7136291132926</v>
      </c>
      <c r="Z1627" s="46" t="b">
        <v>0</v>
      </c>
      <c r="AA1627" s="46" t="b">
        <v>1</v>
      </c>
    </row>
    <row r="1628">
      <c r="A1628" s="157" t="s">
        <v>563</v>
      </c>
      <c r="B1628" s="158">
        <v>8.0</v>
      </c>
      <c r="C1628" s="157" t="s">
        <v>1175</v>
      </c>
      <c r="D1628" s="157" t="s">
        <v>4952</v>
      </c>
      <c r="E1628" s="157" t="s">
        <v>4953</v>
      </c>
      <c r="F1628" s="157" t="s">
        <v>4983</v>
      </c>
      <c r="G1628" s="157" t="s">
        <v>4984</v>
      </c>
      <c r="H1628" s="157"/>
      <c r="I1628" s="158">
        <v>0.72693145</v>
      </c>
      <c r="J1628" s="158">
        <v>52.253717</v>
      </c>
      <c r="K1628" s="157" t="s">
        <v>4985</v>
      </c>
      <c r="L1628" s="157" t="s">
        <v>648</v>
      </c>
      <c r="M1628" s="158">
        <v>2019.0</v>
      </c>
      <c r="N1628" s="157" t="s">
        <v>552</v>
      </c>
      <c r="O1628" s="157" t="s">
        <v>105</v>
      </c>
      <c r="P1628" s="161" t="b">
        <v>1</v>
      </c>
      <c r="Q1628" s="158">
        <v>0.28</v>
      </c>
      <c r="R1628" s="158">
        <v>0.0</v>
      </c>
      <c r="S1628" s="158">
        <v>0.28</v>
      </c>
      <c r="T1628" s="157" t="s">
        <v>552</v>
      </c>
      <c r="U1628" s="46" t="s">
        <v>651</v>
      </c>
      <c r="V1628" s="46" t="b">
        <v>1</v>
      </c>
      <c r="W1628" s="46">
        <v>0.95</v>
      </c>
      <c r="X1628" s="46">
        <v>0.0</v>
      </c>
      <c r="Y1628" s="46">
        <v>147.631583691055</v>
      </c>
      <c r="Z1628" s="46" t="b">
        <v>0</v>
      </c>
      <c r="AA1628" s="46" t="b">
        <v>0</v>
      </c>
    </row>
    <row r="1629">
      <c r="A1629" s="157" t="s">
        <v>563</v>
      </c>
      <c r="B1629" s="158">
        <v>8.0</v>
      </c>
      <c r="C1629" s="157" t="s">
        <v>1175</v>
      </c>
      <c r="D1629" s="157" t="s">
        <v>4952</v>
      </c>
      <c r="E1629" s="157" t="s">
        <v>4953</v>
      </c>
      <c r="F1629" s="157" t="s">
        <v>4986</v>
      </c>
      <c r="G1629" s="157" t="s">
        <v>4987</v>
      </c>
      <c r="H1629" s="157"/>
      <c r="I1629" s="158">
        <v>-2.3288724</v>
      </c>
      <c r="J1629" s="158">
        <v>53.476834</v>
      </c>
      <c r="K1629" s="157" t="s">
        <v>4988</v>
      </c>
      <c r="L1629" s="157" t="s">
        <v>648</v>
      </c>
      <c r="M1629" s="158">
        <v>2019.0</v>
      </c>
      <c r="N1629" s="157" t="s">
        <v>552</v>
      </c>
      <c r="O1629" s="157" t="s">
        <v>105</v>
      </c>
      <c r="P1629" s="161" t="b">
        <v>1</v>
      </c>
      <c r="Q1629" s="158">
        <v>0.146</v>
      </c>
      <c r="R1629" s="158">
        <v>0.0</v>
      </c>
      <c r="S1629" s="158">
        <v>0.146</v>
      </c>
      <c r="T1629" s="157" t="s">
        <v>552</v>
      </c>
      <c r="U1629" s="46" t="s">
        <v>651</v>
      </c>
      <c r="V1629" s="46" t="b">
        <v>1</v>
      </c>
      <c r="W1629" s="46">
        <v>0.95</v>
      </c>
      <c r="X1629" s="46">
        <v>0.0</v>
      </c>
      <c r="Y1629" s="46">
        <v>12.8630234604511</v>
      </c>
      <c r="Z1629" s="46" t="b">
        <v>1</v>
      </c>
      <c r="AA1629" s="46" t="b">
        <v>1</v>
      </c>
    </row>
    <row r="1630">
      <c r="A1630" s="157" t="s">
        <v>563</v>
      </c>
      <c r="B1630" s="158">
        <v>8.0</v>
      </c>
      <c r="C1630" s="157" t="s">
        <v>1175</v>
      </c>
      <c r="D1630" s="157" t="s">
        <v>4952</v>
      </c>
      <c r="E1630" s="157" t="s">
        <v>4953</v>
      </c>
      <c r="F1630" s="157" t="s">
        <v>4989</v>
      </c>
      <c r="G1630" s="157" t="s">
        <v>4990</v>
      </c>
      <c r="H1630" s="157"/>
      <c r="I1630" s="158">
        <v>-0.81741601</v>
      </c>
      <c r="J1630" s="158">
        <v>53.088135</v>
      </c>
      <c r="K1630" s="157" t="s">
        <v>4991</v>
      </c>
      <c r="L1630" s="157" t="s">
        <v>648</v>
      </c>
      <c r="M1630" s="158">
        <v>2019.0</v>
      </c>
      <c r="N1630" s="157" t="s">
        <v>552</v>
      </c>
      <c r="O1630" s="157" t="s">
        <v>105</v>
      </c>
      <c r="P1630" s="161" t="b">
        <v>1</v>
      </c>
      <c r="Q1630" s="158">
        <v>0.101</v>
      </c>
      <c r="R1630" s="158">
        <v>0.0</v>
      </c>
      <c r="S1630" s="158">
        <v>0.101</v>
      </c>
      <c r="T1630" s="157" t="s">
        <v>552</v>
      </c>
      <c r="U1630" s="46" t="s">
        <v>651</v>
      </c>
      <c r="V1630" s="46" t="b">
        <v>1</v>
      </c>
      <c r="W1630" s="46">
        <v>0.95</v>
      </c>
      <c r="X1630" s="46">
        <v>0.0</v>
      </c>
      <c r="Y1630" s="46">
        <v>49.9103501352668</v>
      </c>
      <c r="Z1630" s="46" t="b">
        <v>1</v>
      </c>
      <c r="AA1630" s="46" t="b">
        <v>1</v>
      </c>
    </row>
    <row r="1631">
      <c r="A1631" s="157" t="s">
        <v>568</v>
      </c>
      <c r="B1631" s="158">
        <v>2.0</v>
      </c>
      <c r="C1631" s="157" t="s">
        <v>916</v>
      </c>
      <c r="D1631" s="157" t="s">
        <v>4992</v>
      </c>
      <c r="E1631" s="157" t="s">
        <v>4993</v>
      </c>
      <c r="F1631" s="157" t="s">
        <v>4994</v>
      </c>
      <c r="G1631" s="157" t="s">
        <v>4995</v>
      </c>
      <c r="H1631" s="157"/>
      <c r="I1631" s="158">
        <v>12.4643821518335</v>
      </c>
      <c r="J1631" s="158">
        <v>55.6210318096625</v>
      </c>
      <c r="K1631" s="157" t="s">
        <v>4996</v>
      </c>
      <c r="L1631" s="157" t="s">
        <v>648</v>
      </c>
      <c r="M1631" s="158">
        <v>2022.0</v>
      </c>
      <c r="N1631" s="157" t="s">
        <v>549</v>
      </c>
      <c r="O1631" s="157" t="s">
        <v>105</v>
      </c>
      <c r="P1631" s="161" t="b">
        <v>1</v>
      </c>
      <c r="Q1631" s="158">
        <v>0.001843</v>
      </c>
      <c r="R1631" s="158">
        <v>0.0</v>
      </c>
      <c r="S1631" s="158">
        <v>0.001843</v>
      </c>
      <c r="T1631" s="157" t="s">
        <v>549</v>
      </c>
      <c r="U1631" s="46" t="s">
        <v>651</v>
      </c>
      <c r="V1631" s="46" t="b">
        <v>0</v>
      </c>
      <c r="W1631" s="46">
        <v>0.95</v>
      </c>
      <c r="X1631" s="46">
        <v>0.0</v>
      </c>
      <c r="Y1631" s="46">
        <v>6.14281814283673</v>
      </c>
      <c r="Z1631" s="46" t="b">
        <v>1</v>
      </c>
      <c r="AA1631" s="46" t="b">
        <v>1</v>
      </c>
    </row>
    <row r="1632">
      <c r="A1632" s="157" t="s">
        <v>568</v>
      </c>
      <c r="B1632" s="158">
        <v>2.0</v>
      </c>
      <c r="C1632" s="157" t="s">
        <v>916</v>
      </c>
      <c r="D1632" s="157" t="s">
        <v>4992</v>
      </c>
      <c r="E1632" s="157" t="s">
        <v>4993</v>
      </c>
      <c r="F1632" s="157" t="s">
        <v>4997</v>
      </c>
      <c r="G1632" s="157" t="s">
        <v>4998</v>
      </c>
      <c r="H1632" s="157"/>
      <c r="I1632" s="158">
        <v>9.58067897492415</v>
      </c>
      <c r="J1632" s="158">
        <v>56.0963219342211</v>
      </c>
      <c r="K1632" s="157" t="s">
        <v>4999</v>
      </c>
      <c r="L1632" s="157" t="s">
        <v>648</v>
      </c>
      <c r="M1632" s="158">
        <v>2022.0</v>
      </c>
      <c r="N1632" s="157" t="s">
        <v>549</v>
      </c>
      <c r="O1632" s="157" t="s">
        <v>105</v>
      </c>
      <c r="P1632" s="161" t="b">
        <v>1</v>
      </c>
      <c r="Q1632" s="158">
        <v>9.29073E-4</v>
      </c>
      <c r="R1632" s="158">
        <v>0.0</v>
      </c>
      <c r="S1632" s="158">
        <v>9.29073E-4</v>
      </c>
      <c r="T1632" s="157" t="s">
        <v>549</v>
      </c>
      <c r="U1632" s="46" t="s">
        <v>651</v>
      </c>
      <c r="V1632" s="46" t="b">
        <v>0</v>
      </c>
      <c r="W1632" s="46">
        <v>0.95</v>
      </c>
      <c r="X1632" s="46">
        <v>0.0</v>
      </c>
      <c r="Y1632" s="46">
        <v>6.4415800906361</v>
      </c>
      <c r="Z1632" s="46" t="b">
        <v>1</v>
      </c>
      <c r="AA1632" s="46" t="b">
        <v>1</v>
      </c>
    </row>
    <row r="1633">
      <c r="A1633" s="157" t="s">
        <v>564</v>
      </c>
      <c r="B1633" s="158">
        <v>2.0</v>
      </c>
      <c r="C1633" s="157" t="s">
        <v>916</v>
      </c>
      <c r="D1633" s="157" t="s">
        <v>4992</v>
      </c>
      <c r="E1633" s="157" t="s">
        <v>4993</v>
      </c>
      <c r="F1633" s="157" t="s">
        <v>5000</v>
      </c>
      <c r="G1633" s="157" t="s">
        <v>5001</v>
      </c>
      <c r="H1633" s="157"/>
      <c r="I1633" s="158">
        <v>8.5172</v>
      </c>
      <c r="J1633" s="158">
        <v>47.3589</v>
      </c>
      <c r="K1633" s="157" t="s">
        <v>1214</v>
      </c>
      <c r="L1633" s="157" t="s">
        <v>648</v>
      </c>
      <c r="M1633" s="158">
        <v>2021.0</v>
      </c>
      <c r="N1633" s="157" t="s">
        <v>549</v>
      </c>
      <c r="O1633" s="157" t="s">
        <v>105</v>
      </c>
      <c r="P1633" s="161" t="b">
        <v>1</v>
      </c>
      <c r="Q1633" s="158">
        <v>7.39E-5</v>
      </c>
      <c r="R1633" s="158">
        <v>0.0</v>
      </c>
      <c r="S1633" s="158">
        <v>7.39E-5</v>
      </c>
      <c r="T1633" s="157" t="s">
        <v>549</v>
      </c>
      <c r="U1633" s="46" t="s">
        <v>651</v>
      </c>
      <c r="V1633" s="46" t="b">
        <v>0</v>
      </c>
      <c r="W1633" s="46">
        <v>0.95</v>
      </c>
      <c r="X1633" s="46">
        <v>0.0</v>
      </c>
      <c r="Y1633" s="46">
        <v>34.7097597109999</v>
      </c>
      <c r="Z1633" s="46" t="b">
        <v>1</v>
      </c>
      <c r="AA1633" s="46" t="b">
        <v>1</v>
      </c>
    </row>
    <row r="1634">
      <c r="A1634" s="157" t="s">
        <v>581</v>
      </c>
      <c r="B1634" s="158">
        <v>6.0</v>
      </c>
      <c r="C1634" s="157" t="s">
        <v>659</v>
      </c>
      <c r="D1634" s="157" t="s">
        <v>717</v>
      </c>
      <c r="E1634" s="157" t="s">
        <v>718</v>
      </c>
      <c r="F1634" s="157" t="s">
        <v>5002</v>
      </c>
      <c r="G1634" s="157" t="s">
        <v>5003</v>
      </c>
      <c r="H1634" s="157"/>
      <c r="I1634" s="158">
        <v>24.522258</v>
      </c>
      <c r="J1634" s="158">
        <v>42.134638</v>
      </c>
      <c r="K1634" s="157" t="s">
        <v>5004</v>
      </c>
      <c r="L1634" s="157" t="s">
        <v>648</v>
      </c>
      <c r="M1634" s="158">
        <v>2021.0</v>
      </c>
      <c r="N1634" s="157" t="s">
        <v>123</v>
      </c>
      <c r="O1634" s="157" t="s">
        <v>722</v>
      </c>
      <c r="P1634" s="161" t="b">
        <v>1</v>
      </c>
      <c r="Q1634" s="158">
        <v>0.586145132</v>
      </c>
      <c r="R1634" s="158">
        <v>0.0</v>
      </c>
      <c r="S1634" s="158">
        <v>0.586145132</v>
      </c>
      <c r="T1634" s="157" t="s">
        <v>123</v>
      </c>
      <c r="U1634" s="46" t="s">
        <v>651</v>
      </c>
      <c r="V1634" s="46" t="b">
        <v>1</v>
      </c>
      <c r="W1634" s="46">
        <v>0.95</v>
      </c>
      <c r="X1634" s="46">
        <v>0.0</v>
      </c>
      <c r="Y1634" s="46" t="s">
        <v>640</v>
      </c>
      <c r="Z1634" s="46" t="b">
        <v>0</v>
      </c>
      <c r="AA1634" s="46" t="b">
        <v>0</v>
      </c>
    </row>
    <row r="1635">
      <c r="A1635" s="157" t="s">
        <v>568</v>
      </c>
      <c r="B1635" s="158">
        <v>6.0</v>
      </c>
      <c r="C1635" s="157" t="s">
        <v>659</v>
      </c>
      <c r="D1635" s="157" t="s">
        <v>717</v>
      </c>
      <c r="E1635" s="157" t="s">
        <v>718</v>
      </c>
      <c r="F1635" s="157" t="s">
        <v>5005</v>
      </c>
      <c r="G1635" s="157" t="s">
        <v>5006</v>
      </c>
      <c r="H1635" s="157"/>
      <c r="I1635" s="158">
        <v>8.85222756548707</v>
      </c>
      <c r="J1635" s="158">
        <v>54.92672953</v>
      </c>
      <c r="K1635" s="157" t="s">
        <v>5007</v>
      </c>
      <c r="L1635" s="157" t="s">
        <v>648</v>
      </c>
      <c r="M1635" s="158">
        <v>2022.0</v>
      </c>
      <c r="N1635" s="157" t="s">
        <v>123</v>
      </c>
      <c r="O1635" s="157" t="s">
        <v>722</v>
      </c>
      <c r="P1635" s="161" t="b">
        <v>1</v>
      </c>
      <c r="Q1635" s="158">
        <v>0.034387</v>
      </c>
      <c r="R1635" s="158">
        <v>0.0</v>
      </c>
      <c r="S1635" s="158">
        <v>0.034387</v>
      </c>
      <c r="T1635" s="157" t="s">
        <v>123</v>
      </c>
      <c r="U1635" s="46" t="s">
        <v>651</v>
      </c>
      <c r="V1635" s="46" t="b">
        <v>0</v>
      </c>
      <c r="W1635" s="46">
        <v>0.95</v>
      </c>
      <c r="X1635" s="46">
        <v>0.0</v>
      </c>
      <c r="Y1635" s="46">
        <v>29.264677032285</v>
      </c>
      <c r="Z1635" s="46" t="b">
        <v>1</v>
      </c>
      <c r="AA1635" s="46" t="b">
        <v>1</v>
      </c>
    </row>
    <row r="1636">
      <c r="A1636" s="157" t="s">
        <v>568</v>
      </c>
      <c r="B1636" s="158">
        <v>6.0</v>
      </c>
      <c r="C1636" s="157" t="s">
        <v>659</v>
      </c>
      <c r="D1636" s="157" t="s">
        <v>717</v>
      </c>
      <c r="E1636" s="157" t="s">
        <v>718</v>
      </c>
      <c r="F1636" s="157" t="s">
        <v>5008</v>
      </c>
      <c r="G1636" s="157" t="s">
        <v>5009</v>
      </c>
      <c r="H1636" s="157"/>
      <c r="I1636" s="158">
        <v>8.50001249518561</v>
      </c>
      <c r="J1636" s="158">
        <v>55.9354563327971</v>
      </c>
      <c r="K1636" s="157" t="s">
        <v>5010</v>
      </c>
      <c r="L1636" s="157" t="s">
        <v>648</v>
      </c>
      <c r="M1636" s="158">
        <v>2022.0</v>
      </c>
      <c r="N1636" s="157" t="s">
        <v>123</v>
      </c>
      <c r="O1636" s="157" t="s">
        <v>722</v>
      </c>
      <c r="P1636" s="161" t="b">
        <v>1</v>
      </c>
      <c r="Q1636" s="158">
        <v>1.4E-4</v>
      </c>
      <c r="R1636" s="158">
        <v>0.0</v>
      </c>
      <c r="S1636" s="158">
        <v>1.4E-4</v>
      </c>
      <c r="T1636" s="157" t="s">
        <v>123</v>
      </c>
      <c r="U1636" s="46" t="s">
        <v>651</v>
      </c>
      <c r="V1636" s="46" t="b">
        <v>0</v>
      </c>
      <c r="W1636" s="46">
        <v>0.95</v>
      </c>
      <c r="X1636" s="46">
        <v>0.0</v>
      </c>
      <c r="Y1636" s="46">
        <v>57.5188158406865</v>
      </c>
      <c r="Z1636" s="46" t="b">
        <v>0</v>
      </c>
      <c r="AA1636" s="46" t="b">
        <v>1</v>
      </c>
    </row>
    <row r="1637">
      <c r="A1637" s="157" t="s">
        <v>557</v>
      </c>
      <c r="B1637" s="158">
        <v>6.0</v>
      </c>
      <c r="C1637" s="157" t="s">
        <v>659</v>
      </c>
      <c r="D1637" s="157" t="s">
        <v>717</v>
      </c>
      <c r="E1637" s="157" t="s">
        <v>718</v>
      </c>
      <c r="F1637" s="162" t="s">
        <v>5011</v>
      </c>
      <c r="G1637" s="157" t="s">
        <v>5012</v>
      </c>
      <c r="H1637" s="157"/>
      <c r="I1637" s="158">
        <v>8.59806919297454</v>
      </c>
      <c r="J1637" s="158">
        <v>51.4066938286419</v>
      </c>
      <c r="K1637" s="157" t="s">
        <v>5013</v>
      </c>
      <c r="L1637" s="157" t="s">
        <v>648</v>
      </c>
      <c r="M1637" s="158">
        <v>2022.0</v>
      </c>
      <c r="N1637" s="157" t="s">
        <v>123</v>
      </c>
      <c r="O1637" s="157" t="s">
        <v>722</v>
      </c>
      <c r="P1637" s="161" t="b">
        <v>1</v>
      </c>
      <c r="Q1637" s="158">
        <v>0.506</v>
      </c>
      <c r="R1637" s="158">
        <v>0.0</v>
      </c>
      <c r="S1637" s="158">
        <v>0.506</v>
      </c>
      <c r="T1637" s="157" t="s">
        <v>123</v>
      </c>
      <c r="U1637" s="46" t="s">
        <v>651</v>
      </c>
      <c r="V1637" s="46" t="b">
        <v>1</v>
      </c>
      <c r="W1637" s="46">
        <v>0.95</v>
      </c>
      <c r="X1637" s="46">
        <v>0.0</v>
      </c>
      <c r="Y1637" s="46">
        <v>19.7950902790604</v>
      </c>
      <c r="Z1637" s="46" t="b">
        <v>1</v>
      </c>
      <c r="AA1637" s="46" t="b">
        <v>1</v>
      </c>
    </row>
    <row r="1638">
      <c r="A1638" s="157" t="s">
        <v>557</v>
      </c>
      <c r="B1638" s="158">
        <v>6.0</v>
      </c>
      <c r="C1638" s="157" t="s">
        <v>659</v>
      </c>
      <c r="D1638" s="157" t="s">
        <v>717</v>
      </c>
      <c r="E1638" s="157" t="s">
        <v>718</v>
      </c>
      <c r="F1638" s="162" t="s">
        <v>5014</v>
      </c>
      <c r="G1638" s="157" t="s">
        <v>5015</v>
      </c>
      <c r="H1638" s="157"/>
      <c r="I1638" s="158">
        <v>14.3197657762306</v>
      </c>
      <c r="J1638" s="158">
        <v>53.079099428239</v>
      </c>
      <c r="K1638" s="157" t="s">
        <v>4500</v>
      </c>
      <c r="L1638" s="157" t="s">
        <v>648</v>
      </c>
      <c r="M1638" s="158">
        <v>2022.0</v>
      </c>
      <c r="N1638" s="157" t="s">
        <v>123</v>
      </c>
      <c r="O1638" s="157" t="s">
        <v>722</v>
      </c>
      <c r="P1638" s="161" t="b">
        <v>1</v>
      </c>
      <c r="Q1638" s="158">
        <v>0.424</v>
      </c>
      <c r="R1638" s="158">
        <v>0.0</v>
      </c>
      <c r="S1638" s="158">
        <v>0.424</v>
      </c>
      <c r="T1638" s="157" t="s">
        <v>123</v>
      </c>
      <c r="U1638" s="46" t="s">
        <v>651</v>
      </c>
      <c r="V1638" s="46" t="b">
        <v>1</v>
      </c>
      <c r="W1638" s="46">
        <v>0.95</v>
      </c>
      <c r="X1638" s="46">
        <v>0.0</v>
      </c>
      <c r="Y1638" s="46">
        <v>51.4418048389059</v>
      </c>
      <c r="Z1638" s="46" t="b">
        <v>0</v>
      </c>
      <c r="AA1638" s="46" t="b">
        <v>1</v>
      </c>
    </row>
    <row r="1639">
      <c r="A1639" s="157" t="s">
        <v>557</v>
      </c>
      <c r="B1639" s="158">
        <v>6.0</v>
      </c>
      <c r="C1639" s="157" t="s">
        <v>659</v>
      </c>
      <c r="D1639" s="157" t="s">
        <v>717</v>
      </c>
      <c r="E1639" s="157" t="s">
        <v>718</v>
      </c>
      <c r="F1639" s="162" t="s">
        <v>5016</v>
      </c>
      <c r="G1639" s="157" t="s">
        <v>5017</v>
      </c>
      <c r="H1639" s="157"/>
      <c r="I1639" s="158">
        <v>11.4513550592916</v>
      </c>
      <c r="J1639" s="158">
        <v>49.2617087370073</v>
      </c>
      <c r="K1639" s="157" t="s">
        <v>5018</v>
      </c>
      <c r="L1639" s="157" t="s">
        <v>648</v>
      </c>
      <c r="M1639" s="158">
        <v>2022.0</v>
      </c>
      <c r="N1639" s="157" t="s">
        <v>123</v>
      </c>
      <c r="O1639" s="157" t="s">
        <v>722</v>
      </c>
      <c r="P1639" s="161" t="b">
        <v>1</v>
      </c>
      <c r="Q1639" s="158">
        <v>0.385</v>
      </c>
      <c r="R1639" s="158">
        <v>0.0</v>
      </c>
      <c r="S1639" s="158">
        <v>0.385</v>
      </c>
      <c r="T1639" s="157" t="s">
        <v>123</v>
      </c>
      <c r="U1639" s="46" t="s">
        <v>651</v>
      </c>
      <c r="V1639" s="46" t="b">
        <v>1</v>
      </c>
      <c r="W1639" s="46">
        <v>0.95</v>
      </c>
      <c r="X1639" s="46">
        <v>0.0</v>
      </c>
      <c r="Y1639" s="46">
        <v>41.9799600216263</v>
      </c>
      <c r="Z1639" s="46" t="b">
        <v>1</v>
      </c>
      <c r="AA1639" s="46" t="b">
        <v>1</v>
      </c>
    </row>
    <row r="1640">
      <c r="A1640" s="157" t="s">
        <v>557</v>
      </c>
      <c r="B1640" s="158">
        <v>6.0</v>
      </c>
      <c r="C1640" s="157" t="s">
        <v>659</v>
      </c>
      <c r="D1640" s="157" t="s">
        <v>717</v>
      </c>
      <c r="E1640" s="157" t="s">
        <v>718</v>
      </c>
      <c r="F1640" s="162" t="s">
        <v>5019</v>
      </c>
      <c r="G1640" s="157" t="s">
        <v>5020</v>
      </c>
      <c r="H1640" s="157"/>
      <c r="I1640" s="158">
        <v>10.9000793781866</v>
      </c>
      <c r="J1640" s="158">
        <v>47.8072571209889</v>
      </c>
      <c r="K1640" s="157" t="s">
        <v>5021</v>
      </c>
      <c r="L1640" s="157" t="s">
        <v>648</v>
      </c>
      <c r="M1640" s="158">
        <v>2022.0</v>
      </c>
      <c r="N1640" s="157" t="s">
        <v>123</v>
      </c>
      <c r="O1640" s="157" t="s">
        <v>722</v>
      </c>
      <c r="P1640" s="161" t="b">
        <v>1</v>
      </c>
      <c r="Q1640" s="158">
        <v>0.362</v>
      </c>
      <c r="R1640" s="158">
        <v>0.0</v>
      </c>
      <c r="S1640" s="158">
        <v>0.362</v>
      </c>
      <c r="T1640" s="157" t="s">
        <v>123</v>
      </c>
      <c r="U1640" s="46" t="s">
        <v>651</v>
      </c>
      <c r="V1640" s="46" t="b">
        <v>1</v>
      </c>
      <c r="W1640" s="46">
        <v>0.95</v>
      </c>
      <c r="X1640" s="46">
        <v>0.0</v>
      </c>
      <c r="Y1640" s="46">
        <v>86.0681745449401</v>
      </c>
      <c r="Z1640" s="46" t="b">
        <v>0</v>
      </c>
      <c r="AA1640" s="46" t="b">
        <v>1</v>
      </c>
    </row>
    <row r="1641">
      <c r="A1641" s="157" t="s">
        <v>557</v>
      </c>
      <c r="B1641" s="158">
        <v>6.0</v>
      </c>
      <c r="C1641" s="157" t="s">
        <v>659</v>
      </c>
      <c r="D1641" s="157" t="s">
        <v>717</v>
      </c>
      <c r="E1641" s="157" t="s">
        <v>718</v>
      </c>
      <c r="F1641" s="162" t="s">
        <v>5022</v>
      </c>
      <c r="G1641" s="157" t="s">
        <v>5023</v>
      </c>
      <c r="H1641" s="157"/>
      <c r="I1641" s="158">
        <v>9.82076320370416</v>
      </c>
      <c r="J1641" s="158">
        <v>51.985962565496</v>
      </c>
      <c r="K1641" s="157" t="s">
        <v>5024</v>
      </c>
      <c r="L1641" s="157" t="s">
        <v>648</v>
      </c>
      <c r="M1641" s="158">
        <v>2022.0</v>
      </c>
      <c r="N1641" s="157" t="s">
        <v>123</v>
      </c>
      <c r="O1641" s="157" t="s">
        <v>722</v>
      </c>
      <c r="P1641" s="161" t="b">
        <v>1</v>
      </c>
      <c r="Q1641" s="158">
        <v>0.286</v>
      </c>
      <c r="R1641" s="158">
        <v>0.0</v>
      </c>
      <c r="S1641" s="158">
        <v>0.286</v>
      </c>
      <c r="T1641" s="157" t="s">
        <v>123</v>
      </c>
      <c r="U1641" s="46" t="s">
        <v>651</v>
      </c>
      <c r="V1641" s="46" t="b">
        <v>1</v>
      </c>
      <c r="W1641" s="46">
        <v>0.95</v>
      </c>
      <c r="X1641" s="46">
        <v>0.0</v>
      </c>
      <c r="Y1641" s="46">
        <v>10.3361861020218</v>
      </c>
      <c r="Z1641" s="46" t="b">
        <v>1</v>
      </c>
      <c r="AA1641" s="46" t="b">
        <v>1</v>
      </c>
    </row>
    <row r="1642">
      <c r="A1642" s="157" t="s">
        <v>557</v>
      </c>
      <c r="B1642" s="158">
        <v>6.0</v>
      </c>
      <c r="C1642" s="157" t="s">
        <v>659</v>
      </c>
      <c r="D1642" s="157" t="s">
        <v>717</v>
      </c>
      <c r="E1642" s="157" t="s">
        <v>718</v>
      </c>
      <c r="F1642" s="162" t="s">
        <v>5025</v>
      </c>
      <c r="G1642" s="157" t="s">
        <v>5026</v>
      </c>
      <c r="H1642" s="157"/>
      <c r="I1642" s="158">
        <v>8.1328158702133</v>
      </c>
      <c r="J1642" s="158">
        <v>53.4030559811425</v>
      </c>
      <c r="K1642" s="157" t="s">
        <v>5027</v>
      </c>
      <c r="L1642" s="157" t="s">
        <v>648</v>
      </c>
      <c r="M1642" s="158">
        <v>2022.0</v>
      </c>
      <c r="N1642" s="157" t="s">
        <v>123</v>
      </c>
      <c r="O1642" s="157" t="s">
        <v>722</v>
      </c>
      <c r="P1642" s="161" t="b">
        <v>1</v>
      </c>
      <c r="Q1642" s="158">
        <v>0.269</v>
      </c>
      <c r="R1642" s="158">
        <v>0.0</v>
      </c>
      <c r="S1642" s="158">
        <v>0.269</v>
      </c>
      <c r="T1642" s="157" t="s">
        <v>123</v>
      </c>
      <c r="U1642" s="46" t="s">
        <v>651</v>
      </c>
      <c r="V1642" s="46" t="b">
        <v>1</v>
      </c>
      <c r="W1642" s="46">
        <v>0.95</v>
      </c>
      <c r="X1642" s="46">
        <v>0.0</v>
      </c>
      <c r="Y1642" s="46">
        <v>1.49178692589795</v>
      </c>
      <c r="Z1642" s="46" t="b">
        <v>1</v>
      </c>
      <c r="AA1642" s="46" t="b">
        <v>1</v>
      </c>
    </row>
    <row r="1643">
      <c r="A1643" s="157" t="s">
        <v>557</v>
      </c>
      <c r="B1643" s="158">
        <v>6.0</v>
      </c>
      <c r="C1643" s="157" t="s">
        <v>659</v>
      </c>
      <c r="D1643" s="157" t="s">
        <v>717</v>
      </c>
      <c r="E1643" s="157" t="s">
        <v>718</v>
      </c>
      <c r="F1643" s="162" t="s">
        <v>5028</v>
      </c>
      <c r="G1643" s="157" t="s">
        <v>5029</v>
      </c>
      <c r="H1643" s="157"/>
      <c r="I1643" s="158">
        <v>7.23433081671906</v>
      </c>
      <c r="J1643" s="158">
        <v>50.3206787617491</v>
      </c>
      <c r="K1643" s="157" t="s">
        <v>5030</v>
      </c>
      <c r="L1643" s="157" t="s">
        <v>648</v>
      </c>
      <c r="M1643" s="158">
        <v>2022.0</v>
      </c>
      <c r="N1643" s="157" t="s">
        <v>123</v>
      </c>
      <c r="O1643" s="157" t="s">
        <v>722</v>
      </c>
      <c r="P1643" s="161" t="b">
        <v>1</v>
      </c>
      <c r="Q1643" s="158">
        <v>0.26</v>
      </c>
      <c r="R1643" s="158">
        <v>0.0</v>
      </c>
      <c r="S1643" s="158">
        <v>0.26</v>
      </c>
      <c r="T1643" s="157" t="s">
        <v>123</v>
      </c>
      <c r="U1643" s="46" t="s">
        <v>651</v>
      </c>
      <c r="V1643" s="46" t="b">
        <v>1</v>
      </c>
      <c r="W1643" s="46">
        <v>0.95</v>
      </c>
      <c r="X1643" s="46">
        <v>0.0</v>
      </c>
      <c r="Y1643" s="46">
        <v>28.4705176188044</v>
      </c>
      <c r="Z1643" s="46" t="b">
        <v>1</v>
      </c>
      <c r="AA1643" s="46" t="b">
        <v>1</v>
      </c>
    </row>
    <row r="1644">
      <c r="A1644" s="157" t="s">
        <v>557</v>
      </c>
      <c r="B1644" s="158">
        <v>6.0</v>
      </c>
      <c r="C1644" s="157" t="s">
        <v>659</v>
      </c>
      <c r="D1644" s="157" t="s">
        <v>717</v>
      </c>
      <c r="E1644" s="157" t="s">
        <v>718</v>
      </c>
      <c r="F1644" s="162" t="s">
        <v>5031</v>
      </c>
      <c r="G1644" s="157" t="s">
        <v>5032</v>
      </c>
      <c r="H1644" s="157"/>
      <c r="I1644" s="158">
        <v>7.3623602809326</v>
      </c>
      <c r="J1644" s="158">
        <v>52.9777487226594</v>
      </c>
      <c r="K1644" s="157" t="s">
        <v>5033</v>
      </c>
      <c r="L1644" s="157" t="s">
        <v>648</v>
      </c>
      <c r="M1644" s="158">
        <v>2022.0</v>
      </c>
      <c r="N1644" s="157" t="s">
        <v>123</v>
      </c>
      <c r="O1644" s="157" t="s">
        <v>722</v>
      </c>
      <c r="P1644" s="161" t="b">
        <v>1</v>
      </c>
      <c r="Q1644" s="158">
        <v>0.238</v>
      </c>
      <c r="R1644" s="158">
        <v>0.0</v>
      </c>
      <c r="S1644" s="158">
        <v>0.238</v>
      </c>
      <c r="T1644" s="157" t="s">
        <v>123</v>
      </c>
      <c r="U1644" s="46" t="s">
        <v>651</v>
      </c>
      <c r="V1644" s="46" t="b">
        <v>1</v>
      </c>
      <c r="W1644" s="46">
        <v>0.95</v>
      </c>
      <c r="X1644" s="46">
        <v>0.0</v>
      </c>
      <c r="Y1644" s="46">
        <v>1.62597346858504</v>
      </c>
      <c r="Z1644" s="46" t="b">
        <v>1</v>
      </c>
      <c r="AA1644" s="46" t="b">
        <v>1</v>
      </c>
    </row>
    <row r="1645">
      <c r="A1645" s="157" t="s">
        <v>557</v>
      </c>
      <c r="B1645" s="158">
        <v>6.0</v>
      </c>
      <c r="C1645" s="157" t="s">
        <v>659</v>
      </c>
      <c r="D1645" s="157" t="s">
        <v>717</v>
      </c>
      <c r="E1645" s="157" t="s">
        <v>718</v>
      </c>
      <c r="F1645" s="162" t="s">
        <v>5034</v>
      </c>
      <c r="G1645" s="157" t="s">
        <v>5035</v>
      </c>
      <c r="H1645" s="157"/>
      <c r="I1645" s="158">
        <v>14.3188386845824</v>
      </c>
      <c r="J1645" s="158">
        <v>53.0867621524362</v>
      </c>
      <c r="K1645" s="157" t="s">
        <v>4500</v>
      </c>
      <c r="L1645" s="157" t="s">
        <v>648</v>
      </c>
      <c r="M1645" s="158">
        <v>2022.0</v>
      </c>
      <c r="N1645" s="157" t="s">
        <v>123</v>
      </c>
      <c r="O1645" s="157" t="s">
        <v>722</v>
      </c>
      <c r="P1645" s="161" t="b">
        <v>1</v>
      </c>
      <c r="Q1645" s="158">
        <v>0.2</v>
      </c>
      <c r="R1645" s="158">
        <v>0.0</v>
      </c>
      <c r="S1645" s="158">
        <v>0.2</v>
      </c>
      <c r="T1645" s="157" t="s">
        <v>123</v>
      </c>
      <c r="U1645" s="46" t="s">
        <v>651</v>
      </c>
      <c r="V1645" s="46" t="b">
        <v>1</v>
      </c>
      <c r="W1645" s="46">
        <v>0.95</v>
      </c>
      <c r="X1645" s="46">
        <v>0.0</v>
      </c>
      <c r="Y1645" s="46">
        <v>52.0652404415659</v>
      </c>
      <c r="Z1645" s="46" t="b">
        <v>0</v>
      </c>
      <c r="AA1645" s="46" t="b">
        <v>1</v>
      </c>
    </row>
    <row r="1646">
      <c r="A1646" s="157" t="s">
        <v>557</v>
      </c>
      <c r="B1646" s="158">
        <v>6.0</v>
      </c>
      <c r="C1646" s="157" t="s">
        <v>659</v>
      </c>
      <c r="D1646" s="157" t="s">
        <v>717</v>
      </c>
      <c r="E1646" s="157" t="s">
        <v>718</v>
      </c>
      <c r="F1646" s="162" t="s">
        <v>5036</v>
      </c>
      <c r="G1646" s="157" t="s">
        <v>5037</v>
      </c>
      <c r="H1646" s="157"/>
      <c r="I1646" s="158">
        <v>8.40002469780938</v>
      </c>
      <c r="J1646" s="158">
        <v>51.915454926183</v>
      </c>
      <c r="K1646" s="157" t="s">
        <v>5038</v>
      </c>
      <c r="L1646" s="157" t="s">
        <v>648</v>
      </c>
      <c r="M1646" s="158">
        <v>2022.0</v>
      </c>
      <c r="N1646" s="157" t="s">
        <v>123</v>
      </c>
      <c r="O1646" s="157" t="s">
        <v>722</v>
      </c>
      <c r="P1646" s="161" t="b">
        <v>1</v>
      </c>
      <c r="Q1646" s="158">
        <v>0.198</v>
      </c>
      <c r="R1646" s="158">
        <v>0.0</v>
      </c>
      <c r="S1646" s="158">
        <v>0.198</v>
      </c>
      <c r="T1646" s="157" t="s">
        <v>123</v>
      </c>
      <c r="U1646" s="46" t="s">
        <v>651</v>
      </c>
      <c r="V1646" s="46" t="b">
        <v>1</v>
      </c>
      <c r="W1646" s="46">
        <v>0.95</v>
      </c>
      <c r="X1646" s="46">
        <v>0.0</v>
      </c>
      <c r="Y1646" s="46">
        <v>19.2773676076182</v>
      </c>
      <c r="Z1646" s="46" t="b">
        <v>1</v>
      </c>
      <c r="AA1646" s="46" t="b">
        <v>1</v>
      </c>
    </row>
    <row r="1647">
      <c r="A1647" s="157" t="s">
        <v>557</v>
      </c>
      <c r="B1647" s="158">
        <v>6.0</v>
      </c>
      <c r="C1647" s="157" t="s">
        <v>659</v>
      </c>
      <c r="D1647" s="157" t="s">
        <v>717</v>
      </c>
      <c r="E1647" s="157" t="s">
        <v>718</v>
      </c>
      <c r="F1647" s="162" t="s">
        <v>5039</v>
      </c>
      <c r="G1647" s="157" t="s">
        <v>5040</v>
      </c>
      <c r="H1647" s="157"/>
      <c r="I1647" s="158">
        <v>8.08623194860973</v>
      </c>
      <c r="J1647" s="158">
        <v>48.5268006403941</v>
      </c>
      <c r="K1647" s="157" t="s">
        <v>5041</v>
      </c>
      <c r="L1647" s="157" t="s">
        <v>648</v>
      </c>
      <c r="M1647" s="158">
        <v>2022.0</v>
      </c>
      <c r="N1647" s="157" t="s">
        <v>123</v>
      </c>
      <c r="O1647" s="157" t="s">
        <v>722</v>
      </c>
      <c r="P1647" s="161" t="b">
        <v>1</v>
      </c>
      <c r="Q1647" s="158">
        <v>0.145</v>
      </c>
      <c r="R1647" s="158">
        <v>0.0</v>
      </c>
      <c r="S1647" s="158">
        <v>0.145</v>
      </c>
      <c r="T1647" s="157" t="s">
        <v>123</v>
      </c>
      <c r="U1647" s="46" t="s">
        <v>651</v>
      </c>
      <c r="V1647" s="46" t="b">
        <v>1</v>
      </c>
      <c r="W1647" s="46">
        <v>0.95</v>
      </c>
      <c r="X1647" s="46">
        <v>0.0</v>
      </c>
      <c r="Y1647" s="46">
        <v>11.5571844771259</v>
      </c>
      <c r="Z1647" s="46" t="b">
        <v>1</v>
      </c>
      <c r="AA1647" s="46" t="b">
        <v>1</v>
      </c>
    </row>
    <row r="1648">
      <c r="A1648" s="157" t="s">
        <v>557</v>
      </c>
      <c r="B1648" s="158">
        <v>6.0</v>
      </c>
      <c r="C1648" s="157" t="s">
        <v>659</v>
      </c>
      <c r="D1648" s="157" t="s">
        <v>717</v>
      </c>
      <c r="E1648" s="157" t="s">
        <v>718</v>
      </c>
      <c r="F1648" s="162" t="s">
        <v>5042</v>
      </c>
      <c r="G1648" s="157" t="s">
        <v>5043</v>
      </c>
      <c r="H1648" s="157"/>
      <c r="I1648" s="158">
        <v>8.073864881</v>
      </c>
      <c r="J1648" s="158">
        <v>51.391134864036</v>
      </c>
      <c r="K1648" s="157" t="s">
        <v>5044</v>
      </c>
      <c r="L1648" s="157" t="s">
        <v>648</v>
      </c>
      <c r="M1648" s="158">
        <v>2022.0</v>
      </c>
      <c r="N1648" s="157" t="s">
        <v>123</v>
      </c>
      <c r="O1648" s="157" t="s">
        <v>722</v>
      </c>
      <c r="P1648" s="161" t="b">
        <v>1</v>
      </c>
      <c r="Q1648" s="158">
        <v>0.145</v>
      </c>
      <c r="R1648" s="158">
        <v>0.0</v>
      </c>
      <c r="S1648" s="158">
        <v>0.145</v>
      </c>
      <c r="T1648" s="157" t="s">
        <v>123</v>
      </c>
      <c r="U1648" s="46" t="s">
        <v>651</v>
      </c>
      <c r="V1648" s="46" t="b">
        <v>1</v>
      </c>
      <c r="W1648" s="46">
        <v>0.95</v>
      </c>
      <c r="X1648" s="46">
        <v>0.0</v>
      </c>
      <c r="Y1648" s="46">
        <v>36.5051543112701</v>
      </c>
      <c r="Z1648" s="46" t="b">
        <v>1</v>
      </c>
      <c r="AA1648" s="46" t="b">
        <v>1</v>
      </c>
    </row>
    <row r="1649">
      <c r="A1649" s="157" t="s">
        <v>557</v>
      </c>
      <c r="B1649" s="158">
        <v>6.0</v>
      </c>
      <c r="C1649" s="157" t="s">
        <v>659</v>
      </c>
      <c r="D1649" s="157" t="s">
        <v>717</v>
      </c>
      <c r="E1649" s="157" t="s">
        <v>718</v>
      </c>
      <c r="F1649" s="162" t="s">
        <v>5045</v>
      </c>
      <c r="G1649" s="157" t="s">
        <v>5046</v>
      </c>
      <c r="H1649" s="157"/>
      <c r="I1649" s="158">
        <v>11.1744606205021</v>
      </c>
      <c r="J1649" s="158">
        <v>48.5283957669733</v>
      </c>
      <c r="K1649" s="157" t="s">
        <v>5047</v>
      </c>
      <c r="L1649" s="157" t="s">
        <v>648</v>
      </c>
      <c r="M1649" s="158">
        <v>2022.0</v>
      </c>
      <c r="N1649" s="157" t="s">
        <v>123</v>
      </c>
      <c r="O1649" s="157" t="s">
        <v>722</v>
      </c>
      <c r="P1649" s="161" t="b">
        <v>1</v>
      </c>
      <c r="Q1649" s="158">
        <v>0.134</v>
      </c>
      <c r="R1649" s="158">
        <v>0.0</v>
      </c>
      <c r="S1649" s="158">
        <v>0.134</v>
      </c>
      <c r="T1649" s="157" t="s">
        <v>123</v>
      </c>
      <c r="U1649" s="46" t="s">
        <v>651</v>
      </c>
      <c r="V1649" s="46" t="b">
        <v>1</v>
      </c>
      <c r="W1649" s="46">
        <v>0.95</v>
      </c>
      <c r="X1649" s="46">
        <v>0.0</v>
      </c>
      <c r="Y1649" s="46">
        <v>48.9179647341741</v>
      </c>
      <c r="Z1649" s="46" t="b">
        <v>1</v>
      </c>
      <c r="AA1649" s="46" t="b">
        <v>1</v>
      </c>
    </row>
    <row r="1650">
      <c r="A1650" s="157" t="s">
        <v>557</v>
      </c>
      <c r="B1650" s="158">
        <v>6.0</v>
      </c>
      <c r="C1650" s="157" t="s">
        <v>659</v>
      </c>
      <c r="D1650" s="157" t="s">
        <v>717</v>
      </c>
      <c r="E1650" s="157" t="s">
        <v>718</v>
      </c>
      <c r="F1650" s="162" t="s">
        <v>5048</v>
      </c>
      <c r="G1650" s="157" t="s">
        <v>5049</v>
      </c>
      <c r="H1650" s="157"/>
      <c r="I1650" s="158">
        <v>12.5913417810145</v>
      </c>
      <c r="J1650" s="158">
        <v>51.4646193059765</v>
      </c>
      <c r="K1650" s="157" t="s">
        <v>5050</v>
      </c>
      <c r="L1650" s="157" t="s">
        <v>648</v>
      </c>
      <c r="M1650" s="158">
        <v>2022.0</v>
      </c>
      <c r="N1650" s="157" t="s">
        <v>123</v>
      </c>
      <c r="O1650" s="157" t="s">
        <v>722</v>
      </c>
      <c r="P1650" s="161" t="b">
        <v>1</v>
      </c>
      <c r="Q1650" s="158">
        <v>0.125</v>
      </c>
      <c r="R1650" s="158">
        <v>0.0</v>
      </c>
      <c r="S1650" s="158">
        <v>0.125</v>
      </c>
      <c r="T1650" s="157" t="s">
        <v>123</v>
      </c>
      <c r="U1650" s="46" t="s">
        <v>651</v>
      </c>
      <c r="V1650" s="46" t="b">
        <v>1</v>
      </c>
      <c r="W1650" s="46">
        <v>0.95</v>
      </c>
      <c r="X1650" s="46">
        <v>0.0</v>
      </c>
      <c r="Y1650" s="46">
        <v>3.9685110397031</v>
      </c>
      <c r="Z1650" s="46" t="b">
        <v>1</v>
      </c>
      <c r="AA1650" s="46" t="b">
        <v>1</v>
      </c>
    </row>
    <row r="1651">
      <c r="A1651" s="157" t="s">
        <v>570</v>
      </c>
      <c r="B1651" s="158">
        <v>6.0</v>
      </c>
      <c r="C1651" s="157" t="s">
        <v>659</v>
      </c>
      <c r="D1651" s="157" t="s">
        <v>717</v>
      </c>
      <c r="E1651" s="157" t="s">
        <v>718</v>
      </c>
      <c r="F1651" s="157" t="s">
        <v>5051</v>
      </c>
      <c r="G1651" s="157" t="s">
        <v>5052</v>
      </c>
      <c r="H1651" s="157"/>
      <c r="I1651" s="158">
        <v>5.72846</v>
      </c>
      <c r="J1651" s="158">
        <v>51.96997</v>
      </c>
      <c r="K1651" s="157" t="s">
        <v>5053</v>
      </c>
      <c r="L1651" s="157" t="s">
        <v>648</v>
      </c>
      <c r="M1651" s="158">
        <v>2022.0</v>
      </c>
      <c r="N1651" s="157" t="s">
        <v>123</v>
      </c>
      <c r="O1651" s="157" t="s">
        <v>722</v>
      </c>
      <c r="P1651" s="161" t="b">
        <v>1</v>
      </c>
      <c r="Q1651" s="158">
        <v>0.23</v>
      </c>
      <c r="R1651" s="158">
        <v>0.0</v>
      </c>
      <c r="S1651" s="158">
        <v>0.23</v>
      </c>
      <c r="T1651" s="157" t="s">
        <v>123</v>
      </c>
      <c r="U1651" s="46" t="s">
        <v>651</v>
      </c>
      <c r="V1651" s="46" t="b">
        <v>1</v>
      </c>
      <c r="W1651" s="46">
        <v>0.95</v>
      </c>
      <c r="X1651" s="46">
        <v>0.0</v>
      </c>
      <c r="Y1651" s="46">
        <v>52.7345342501806</v>
      </c>
      <c r="Z1651" s="46" t="b">
        <v>0</v>
      </c>
      <c r="AA1651" s="46" t="b">
        <v>1</v>
      </c>
    </row>
    <row r="1652">
      <c r="A1652" s="157" t="s">
        <v>570</v>
      </c>
      <c r="B1652" s="158">
        <v>6.0</v>
      </c>
      <c r="C1652" s="157" t="s">
        <v>659</v>
      </c>
      <c r="D1652" s="157" t="s">
        <v>717</v>
      </c>
      <c r="E1652" s="157" t="s">
        <v>718</v>
      </c>
      <c r="F1652" s="157" t="s">
        <v>5054</v>
      </c>
      <c r="G1652" s="157" t="s">
        <v>5055</v>
      </c>
      <c r="H1652" s="157"/>
      <c r="I1652" s="158">
        <v>6.00251</v>
      </c>
      <c r="J1652" s="158">
        <v>51.20616</v>
      </c>
      <c r="K1652" s="157" t="s">
        <v>4173</v>
      </c>
      <c r="L1652" s="157" t="s">
        <v>648</v>
      </c>
      <c r="M1652" s="158">
        <v>2022.0</v>
      </c>
      <c r="N1652" s="157" t="s">
        <v>123</v>
      </c>
      <c r="O1652" s="157" t="s">
        <v>722</v>
      </c>
      <c r="P1652" s="161" t="b">
        <v>1</v>
      </c>
      <c r="Q1652" s="158">
        <v>0.169</v>
      </c>
      <c r="R1652" s="158">
        <v>0.0</v>
      </c>
      <c r="S1652" s="158">
        <v>0.169</v>
      </c>
      <c r="T1652" s="157" t="s">
        <v>123</v>
      </c>
      <c r="U1652" s="46" t="s">
        <v>651</v>
      </c>
      <c r="V1652" s="46" t="b">
        <v>1</v>
      </c>
      <c r="W1652" s="46">
        <v>0.95</v>
      </c>
      <c r="X1652" s="46">
        <v>0.0</v>
      </c>
      <c r="Y1652" s="46">
        <v>10.1487127553467</v>
      </c>
      <c r="Z1652" s="46" t="b">
        <v>1</v>
      </c>
      <c r="AA1652" s="46" t="b">
        <v>1</v>
      </c>
    </row>
    <row r="1653">
      <c r="A1653" s="157" t="s">
        <v>570</v>
      </c>
      <c r="B1653" s="158">
        <v>6.0</v>
      </c>
      <c r="C1653" s="157" t="s">
        <v>659</v>
      </c>
      <c r="D1653" s="157" t="s">
        <v>717</v>
      </c>
      <c r="E1653" s="157" t="s">
        <v>718</v>
      </c>
      <c r="F1653" s="157" t="s">
        <v>5056</v>
      </c>
      <c r="G1653" s="157" t="s">
        <v>5057</v>
      </c>
      <c r="H1653" s="157"/>
      <c r="I1653" s="158">
        <v>6.05477</v>
      </c>
      <c r="J1653" s="158">
        <v>52.09757</v>
      </c>
      <c r="K1653" s="157" t="s">
        <v>5058</v>
      </c>
      <c r="L1653" s="157" t="s">
        <v>648</v>
      </c>
      <c r="M1653" s="158">
        <v>2022.0</v>
      </c>
      <c r="N1653" s="157" t="s">
        <v>123</v>
      </c>
      <c r="O1653" s="157" t="s">
        <v>722</v>
      </c>
      <c r="P1653" s="161" t="b">
        <v>1</v>
      </c>
      <c r="Q1653" s="158">
        <v>0.161</v>
      </c>
      <c r="R1653" s="158">
        <v>0.0</v>
      </c>
      <c r="S1653" s="158">
        <v>0.161</v>
      </c>
      <c r="T1653" s="157" t="s">
        <v>123</v>
      </c>
      <c r="U1653" s="46" t="s">
        <v>651</v>
      </c>
      <c r="V1653" s="46" t="b">
        <v>1</v>
      </c>
      <c r="W1653" s="46">
        <v>0.95</v>
      </c>
      <c r="X1653" s="46">
        <v>0.0</v>
      </c>
      <c r="Y1653" s="46">
        <v>73.2415779035746</v>
      </c>
      <c r="Z1653" s="46" t="b">
        <v>0</v>
      </c>
      <c r="AA1653" s="46" t="b">
        <v>1</v>
      </c>
    </row>
    <row r="1654">
      <c r="A1654" s="157" t="s">
        <v>570</v>
      </c>
      <c r="B1654" s="158">
        <v>6.0</v>
      </c>
      <c r="C1654" s="157" t="s">
        <v>659</v>
      </c>
      <c r="D1654" s="157" t="s">
        <v>717</v>
      </c>
      <c r="E1654" s="157" t="s">
        <v>718</v>
      </c>
      <c r="F1654" s="157" t="s">
        <v>5059</v>
      </c>
      <c r="G1654" s="157" t="s">
        <v>5060</v>
      </c>
      <c r="H1654" s="157"/>
      <c r="I1654" s="158">
        <v>5.69424</v>
      </c>
      <c r="J1654" s="158">
        <v>50.85772</v>
      </c>
      <c r="K1654" s="157" t="s">
        <v>2170</v>
      </c>
      <c r="L1654" s="157" t="s">
        <v>648</v>
      </c>
      <c r="M1654" s="158">
        <v>2022.0</v>
      </c>
      <c r="N1654" s="157" t="s">
        <v>123</v>
      </c>
      <c r="O1654" s="157" t="s">
        <v>722</v>
      </c>
      <c r="P1654" s="161" t="b">
        <v>1</v>
      </c>
      <c r="Q1654" s="158">
        <v>0.15</v>
      </c>
      <c r="R1654" s="158">
        <v>0.0</v>
      </c>
      <c r="S1654" s="158">
        <v>0.15</v>
      </c>
      <c r="T1654" s="157" t="s">
        <v>123</v>
      </c>
      <c r="U1654" s="46" t="s">
        <v>651</v>
      </c>
      <c r="V1654" s="46" t="b">
        <v>1</v>
      </c>
      <c r="W1654" s="46">
        <v>0.95</v>
      </c>
      <c r="X1654" s="46">
        <v>0.0</v>
      </c>
      <c r="Y1654" s="46">
        <v>4.45586181685655</v>
      </c>
      <c r="Z1654" s="46" t="b">
        <v>1</v>
      </c>
      <c r="AA1654" s="46" t="b">
        <v>1</v>
      </c>
    </row>
    <row r="1655">
      <c r="A1655" s="157" t="s">
        <v>570</v>
      </c>
      <c r="B1655" s="158">
        <v>6.0</v>
      </c>
      <c r="C1655" s="157" t="s">
        <v>659</v>
      </c>
      <c r="D1655" s="157" t="s">
        <v>717</v>
      </c>
      <c r="E1655" s="157" t="s">
        <v>718</v>
      </c>
      <c r="F1655" s="157" t="s">
        <v>5061</v>
      </c>
      <c r="G1655" s="157" t="s">
        <v>5062</v>
      </c>
      <c r="H1655" s="157"/>
      <c r="I1655" s="158">
        <v>4.63896</v>
      </c>
      <c r="J1655" s="158">
        <v>52.46697</v>
      </c>
      <c r="K1655" s="157" t="s">
        <v>5063</v>
      </c>
      <c r="L1655" s="157" t="s">
        <v>648</v>
      </c>
      <c r="M1655" s="158">
        <v>2022.0</v>
      </c>
      <c r="N1655" s="157" t="s">
        <v>123</v>
      </c>
      <c r="O1655" s="157" t="s">
        <v>722</v>
      </c>
      <c r="P1655" s="161" t="b">
        <v>1</v>
      </c>
      <c r="Q1655" s="158">
        <v>0.116</v>
      </c>
      <c r="R1655" s="158">
        <v>0.0</v>
      </c>
      <c r="S1655" s="158">
        <v>0.116</v>
      </c>
      <c r="T1655" s="157" t="s">
        <v>123</v>
      </c>
      <c r="U1655" s="46" t="s">
        <v>651</v>
      </c>
      <c r="V1655" s="46" t="b">
        <v>1</v>
      </c>
      <c r="W1655" s="46">
        <v>0.95</v>
      </c>
      <c r="X1655" s="46">
        <v>0.0</v>
      </c>
      <c r="Y1655" s="46">
        <v>34.2545091574695</v>
      </c>
      <c r="Z1655" s="46" t="b">
        <v>1</v>
      </c>
      <c r="AA1655" s="46" t="b">
        <v>1</v>
      </c>
    </row>
    <row r="1656">
      <c r="A1656" s="157" t="s">
        <v>563</v>
      </c>
      <c r="B1656" s="158">
        <v>6.0</v>
      </c>
      <c r="C1656" s="157" t="s">
        <v>659</v>
      </c>
      <c r="D1656" s="157" t="s">
        <v>717</v>
      </c>
      <c r="E1656" s="157" t="s">
        <v>718</v>
      </c>
      <c r="F1656" s="157" t="s">
        <v>5064</v>
      </c>
      <c r="G1656" s="157" t="s">
        <v>5065</v>
      </c>
      <c r="H1656" s="157"/>
      <c r="I1656" s="158">
        <v>-4.63957</v>
      </c>
      <c r="J1656" s="158">
        <v>55.57964</v>
      </c>
      <c r="K1656" s="157" t="s">
        <v>5066</v>
      </c>
      <c r="L1656" s="157" t="s">
        <v>648</v>
      </c>
      <c r="M1656" s="158">
        <v>2019.0</v>
      </c>
      <c r="N1656" s="157" t="s">
        <v>123</v>
      </c>
      <c r="O1656" s="157" t="s">
        <v>722</v>
      </c>
      <c r="P1656" s="161" t="b">
        <v>1</v>
      </c>
      <c r="Q1656" s="158">
        <v>0.284</v>
      </c>
      <c r="R1656" s="158">
        <v>0.0</v>
      </c>
      <c r="S1656" s="158">
        <v>0.284</v>
      </c>
      <c r="T1656" s="157" t="s">
        <v>123</v>
      </c>
      <c r="U1656" s="46" t="s">
        <v>651</v>
      </c>
      <c r="V1656" s="46" t="b">
        <v>1</v>
      </c>
      <c r="W1656" s="46">
        <v>0.95</v>
      </c>
      <c r="X1656" s="46">
        <v>0.0</v>
      </c>
      <c r="Y1656" s="46">
        <v>78.6862094246157</v>
      </c>
      <c r="Z1656" s="46" t="b">
        <v>0</v>
      </c>
      <c r="AA1656" s="46" t="b">
        <v>1</v>
      </c>
    </row>
    <row r="1657">
      <c r="A1657" s="157" t="s">
        <v>563</v>
      </c>
      <c r="B1657" s="158">
        <v>6.0</v>
      </c>
      <c r="C1657" s="157" t="s">
        <v>659</v>
      </c>
      <c r="D1657" s="157" t="s">
        <v>717</v>
      </c>
      <c r="E1657" s="157" t="s">
        <v>718</v>
      </c>
      <c r="F1657" s="157" t="s">
        <v>5067</v>
      </c>
      <c r="G1657" s="157" t="s">
        <v>5068</v>
      </c>
      <c r="H1657" s="157"/>
      <c r="I1657" s="158">
        <v>-3.86979</v>
      </c>
      <c r="J1657" s="158">
        <v>56.07711</v>
      </c>
      <c r="K1657" s="157" t="s">
        <v>5069</v>
      </c>
      <c r="L1657" s="157" t="s">
        <v>648</v>
      </c>
      <c r="M1657" s="158">
        <v>2019.0</v>
      </c>
      <c r="N1657" s="157" t="s">
        <v>123</v>
      </c>
      <c r="O1657" s="157" t="s">
        <v>722</v>
      </c>
      <c r="P1657" s="161" t="b">
        <v>1</v>
      </c>
      <c r="Q1657" s="158">
        <v>0.21</v>
      </c>
      <c r="R1657" s="158">
        <v>0.0</v>
      </c>
      <c r="S1657" s="158">
        <v>0.21</v>
      </c>
      <c r="T1657" s="157" t="s">
        <v>123</v>
      </c>
      <c r="U1657" s="46" t="s">
        <v>651</v>
      </c>
      <c r="V1657" s="46" t="b">
        <v>1</v>
      </c>
      <c r="W1657" s="46">
        <v>0.95</v>
      </c>
      <c r="X1657" s="46">
        <v>0.0</v>
      </c>
      <c r="Y1657" s="46">
        <v>14.5297403666463</v>
      </c>
      <c r="Z1657" s="46" t="b">
        <v>1</v>
      </c>
      <c r="AA1657" s="46" t="b">
        <v>1</v>
      </c>
    </row>
    <row r="1658">
      <c r="A1658" s="157" t="s">
        <v>563</v>
      </c>
      <c r="B1658" s="158">
        <v>6.0</v>
      </c>
      <c r="C1658" s="157" t="s">
        <v>659</v>
      </c>
      <c r="D1658" s="157" t="s">
        <v>717</v>
      </c>
      <c r="E1658" s="157" t="s">
        <v>718</v>
      </c>
      <c r="F1658" s="157" t="s">
        <v>5070</v>
      </c>
      <c r="G1658" s="157" t="s">
        <v>5071</v>
      </c>
      <c r="H1658" s="157"/>
      <c r="I1658" s="158">
        <v>-2.4193716</v>
      </c>
      <c r="J1658" s="158">
        <v>53.425585</v>
      </c>
      <c r="K1658" s="157" t="s">
        <v>5072</v>
      </c>
      <c r="L1658" s="157" t="s">
        <v>648</v>
      </c>
      <c r="M1658" s="158">
        <v>2019.0</v>
      </c>
      <c r="N1658" s="157" t="s">
        <v>123</v>
      </c>
      <c r="O1658" s="157" t="s">
        <v>722</v>
      </c>
      <c r="P1658" s="161" t="b">
        <v>1</v>
      </c>
      <c r="Q1658" s="158">
        <v>0.16</v>
      </c>
      <c r="R1658" s="158">
        <v>0.0</v>
      </c>
      <c r="S1658" s="158">
        <v>0.16</v>
      </c>
      <c r="T1658" s="157" t="s">
        <v>123</v>
      </c>
      <c r="U1658" s="46" t="s">
        <v>651</v>
      </c>
      <c r="V1658" s="46" t="b">
        <v>1</v>
      </c>
      <c r="W1658" s="46">
        <v>0.95</v>
      </c>
      <c r="X1658" s="46">
        <v>0.0</v>
      </c>
      <c r="Y1658" s="46">
        <v>6.66537423992133</v>
      </c>
      <c r="Z1658" s="46" t="b">
        <v>1</v>
      </c>
      <c r="AA1658" s="46" t="b">
        <v>1</v>
      </c>
    </row>
    <row r="1659">
      <c r="A1659" s="157" t="s">
        <v>568</v>
      </c>
      <c r="B1659" s="158">
        <v>4.0</v>
      </c>
      <c r="C1659" s="157" t="s">
        <v>1092</v>
      </c>
      <c r="D1659" s="157" t="s">
        <v>5073</v>
      </c>
      <c r="E1659" s="157" t="s">
        <v>5074</v>
      </c>
      <c r="F1659" s="157" t="s">
        <v>5075</v>
      </c>
      <c r="G1659" s="157" t="s">
        <v>5076</v>
      </c>
      <c r="H1659" s="157"/>
      <c r="I1659" s="158">
        <v>12.3937231156561</v>
      </c>
      <c r="J1659" s="158">
        <v>55.7267675699005</v>
      </c>
      <c r="K1659" s="157" t="s">
        <v>5077</v>
      </c>
      <c r="L1659" s="157" t="s">
        <v>648</v>
      </c>
      <c r="M1659" s="158">
        <v>2022.0</v>
      </c>
      <c r="N1659" s="157" t="s">
        <v>201</v>
      </c>
      <c r="O1659" s="157" t="s">
        <v>5078</v>
      </c>
      <c r="P1659" s="161" t="b">
        <v>1</v>
      </c>
      <c r="Q1659" s="158">
        <v>0.00637461</v>
      </c>
      <c r="R1659" s="158">
        <v>0.0</v>
      </c>
      <c r="S1659" s="158">
        <v>0.00637461</v>
      </c>
      <c r="T1659" s="157" t="s">
        <v>201</v>
      </c>
      <c r="U1659" s="46" t="s">
        <v>651</v>
      </c>
      <c r="V1659" s="46" t="b">
        <v>0</v>
      </c>
      <c r="W1659" s="46">
        <v>0.95</v>
      </c>
      <c r="X1659" s="46">
        <v>0.0</v>
      </c>
      <c r="Y1659" s="46">
        <v>6.41776124361798</v>
      </c>
      <c r="Z1659" s="46" t="b">
        <v>1</v>
      </c>
      <c r="AA1659" s="46" t="b">
        <v>1</v>
      </c>
    </row>
    <row r="1660">
      <c r="A1660" s="157" t="s">
        <v>568</v>
      </c>
      <c r="B1660" s="158">
        <v>4.0</v>
      </c>
      <c r="C1660" s="157" t="s">
        <v>1092</v>
      </c>
      <c r="D1660" s="157" t="s">
        <v>5073</v>
      </c>
      <c r="E1660" s="157" t="s">
        <v>5074</v>
      </c>
      <c r="F1660" s="157" t="s">
        <v>5079</v>
      </c>
      <c r="G1660" s="157" t="s">
        <v>5080</v>
      </c>
      <c r="H1660" s="157"/>
      <c r="I1660" s="158">
        <v>12.6052486610034</v>
      </c>
      <c r="J1660" s="158">
        <v>55.6671071373854</v>
      </c>
      <c r="K1660" s="157" t="s">
        <v>5081</v>
      </c>
      <c r="L1660" s="157" t="s">
        <v>648</v>
      </c>
      <c r="M1660" s="158">
        <v>2022.0</v>
      </c>
      <c r="N1660" s="157" t="s">
        <v>201</v>
      </c>
      <c r="O1660" s="157" t="s">
        <v>5078</v>
      </c>
      <c r="P1660" s="161" t="b">
        <v>1</v>
      </c>
      <c r="Q1660" s="158">
        <v>0.004120406</v>
      </c>
      <c r="R1660" s="158">
        <v>0.0</v>
      </c>
      <c r="S1660" s="158">
        <v>0.004120406</v>
      </c>
      <c r="T1660" s="157" t="s">
        <v>201</v>
      </c>
      <c r="U1660" s="46" t="s">
        <v>651</v>
      </c>
      <c r="V1660" s="46" t="b">
        <v>0</v>
      </c>
      <c r="W1660" s="46">
        <v>0.95</v>
      </c>
      <c r="X1660" s="46">
        <v>0.0</v>
      </c>
      <c r="Y1660" s="46">
        <v>5.06325134017767</v>
      </c>
      <c r="Z1660" s="46" t="b">
        <v>1</v>
      </c>
      <c r="AA1660" s="46" t="b">
        <v>1</v>
      </c>
    </row>
    <row r="1661">
      <c r="A1661" s="157" t="s">
        <v>568</v>
      </c>
      <c r="B1661" s="158">
        <v>4.0</v>
      </c>
      <c r="C1661" s="157" t="s">
        <v>1092</v>
      </c>
      <c r="D1661" s="157" t="s">
        <v>5073</v>
      </c>
      <c r="E1661" s="157" t="s">
        <v>5074</v>
      </c>
      <c r="F1661" s="157" t="s">
        <v>5082</v>
      </c>
      <c r="G1661" s="157" t="s">
        <v>5083</v>
      </c>
      <c r="H1661" s="157"/>
      <c r="I1661" s="158">
        <v>11.5093172352088</v>
      </c>
      <c r="J1661" s="158">
        <v>55.943369885765</v>
      </c>
      <c r="K1661" s="157" t="s">
        <v>5084</v>
      </c>
      <c r="L1661" s="157" t="s">
        <v>648</v>
      </c>
      <c r="M1661" s="158">
        <v>2022.0</v>
      </c>
      <c r="N1661" s="157" t="s">
        <v>201</v>
      </c>
      <c r="O1661" s="157" t="s">
        <v>5078</v>
      </c>
      <c r="P1661" s="161" t="b">
        <v>1</v>
      </c>
      <c r="Q1661" s="158">
        <v>0.0031</v>
      </c>
      <c r="R1661" s="158">
        <v>0.0</v>
      </c>
      <c r="S1661" s="158">
        <v>0.0031</v>
      </c>
      <c r="T1661" s="157" t="s">
        <v>201</v>
      </c>
      <c r="U1661" s="46" t="s">
        <v>651</v>
      </c>
      <c r="V1661" s="46" t="b">
        <v>0</v>
      </c>
      <c r="W1661" s="46">
        <v>0.95</v>
      </c>
      <c r="X1661" s="46">
        <v>0.0</v>
      </c>
      <c r="Y1661" s="46">
        <v>46.1197765976695</v>
      </c>
      <c r="Z1661" s="46" t="b">
        <v>1</v>
      </c>
      <c r="AA1661" s="46" t="b">
        <v>1</v>
      </c>
    </row>
    <row r="1662">
      <c r="A1662" s="157" t="s">
        <v>568</v>
      </c>
      <c r="B1662" s="158">
        <v>4.0</v>
      </c>
      <c r="C1662" s="157" t="s">
        <v>1092</v>
      </c>
      <c r="D1662" s="157" t="s">
        <v>5073</v>
      </c>
      <c r="E1662" s="157" t="s">
        <v>5074</v>
      </c>
      <c r="F1662" s="157" t="s">
        <v>5085</v>
      </c>
      <c r="G1662" s="157" t="s">
        <v>5086</v>
      </c>
      <c r="H1662" s="157"/>
      <c r="I1662" s="158">
        <v>12.4790411468954</v>
      </c>
      <c r="J1662" s="158">
        <v>55.6113492729037</v>
      </c>
      <c r="K1662" s="157" t="s">
        <v>4996</v>
      </c>
      <c r="L1662" s="157" t="s">
        <v>648</v>
      </c>
      <c r="M1662" s="158">
        <v>2022.0</v>
      </c>
      <c r="N1662" s="157" t="s">
        <v>201</v>
      </c>
      <c r="O1662" s="157" t="s">
        <v>5078</v>
      </c>
      <c r="P1662" s="161" t="b">
        <v>1</v>
      </c>
      <c r="Q1662" s="158">
        <v>0.001815425</v>
      </c>
      <c r="R1662" s="158">
        <v>0.0</v>
      </c>
      <c r="S1662" s="158">
        <v>0.001815425</v>
      </c>
      <c r="T1662" s="157" t="s">
        <v>201</v>
      </c>
      <c r="U1662" s="46" t="s">
        <v>651</v>
      </c>
      <c r="V1662" s="46" t="b">
        <v>0</v>
      </c>
      <c r="W1662" s="46">
        <v>0.95</v>
      </c>
      <c r="X1662" s="46">
        <v>0.0</v>
      </c>
      <c r="Y1662" s="46">
        <v>7.50351315004661</v>
      </c>
      <c r="Z1662" s="46" t="b">
        <v>1</v>
      </c>
      <c r="AA1662" s="46" t="b">
        <v>1</v>
      </c>
    </row>
    <row r="1663">
      <c r="A1663" s="157" t="s">
        <v>568</v>
      </c>
      <c r="B1663" s="158">
        <v>4.0</v>
      </c>
      <c r="C1663" s="157" t="s">
        <v>1092</v>
      </c>
      <c r="D1663" s="157" t="s">
        <v>5073</v>
      </c>
      <c r="E1663" s="157" t="s">
        <v>5074</v>
      </c>
      <c r="F1663" s="157" t="s">
        <v>5087</v>
      </c>
      <c r="G1663" s="157" t="s">
        <v>5088</v>
      </c>
      <c r="H1663" s="157"/>
      <c r="I1663" s="158">
        <v>8.49350492185674</v>
      </c>
      <c r="J1663" s="158">
        <v>55.4576000148773</v>
      </c>
      <c r="K1663" s="157" t="s">
        <v>5089</v>
      </c>
      <c r="L1663" s="157" t="s">
        <v>648</v>
      </c>
      <c r="M1663" s="158">
        <v>2022.0</v>
      </c>
      <c r="N1663" s="157" t="s">
        <v>201</v>
      </c>
      <c r="O1663" s="157" t="s">
        <v>5078</v>
      </c>
      <c r="P1663" s="161" t="b">
        <v>1</v>
      </c>
      <c r="Q1663" s="158">
        <v>0.00135587</v>
      </c>
      <c r="R1663" s="158">
        <v>0.0</v>
      </c>
      <c r="S1663" s="158">
        <v>0.00135587</v>
      </c>
      <c r="T1663" s="157" t="s">
        <v>201</v>
      </c>
      <c r="U1663" s="46" t="s">
        <v>651</v>
      </c>
      <c r="V1663" s="46" t="b">
        <v>0</v>
      </c>
      <c r="W1663" s="46">
        <v>0.95</v>
      </c>
      <c r="X1663" s="46">
        <v>0.0</v>
      </c>
      <c r="Y1663" s="46">
        <v>50.4299324548647</v>
      </c>
      <c r="Z1663" s="46" t="b">
        <v>0</v>
      </c>
      <c r="AA1663" s="46" t="b">
        <v>1</v>
      </c>
    </row>
    <row r="1664">
      <c r="A1664" s="157" t="s">
        <v>568</v>
      </c>
      <c r="B1664" s="158">
        <v>4.0</v>
      </c>
      <c r="C1664" s="157" t="s">
        <v>1092</v>
      </c>
      <c r="D1664" s="157" t="s">
        <v>5073</v>
      </c>
      <c r="E1664" s="157" t="s">
        <v>5074</v>
      </c>
      <c r="F1664" s="157" t="s">
        <v>5090</v>
      </c>
      <c r="G1664" s="157" t="s">
        <v>5091</v>
      </c>
      <c r="H1664" s="157"/>
      <c r="I1664" s="158">
        <v>12.4860687431455</v>
      </c>
      <c r="J1664" s="158">
        <v>55.8744440631615</v>
      </c>
      <c r="K1664" s="157" t="s">
        <v>1905</v>
      </c>
      <c r="L1664" s="157" t="s">
        <v>648</v>
      </c>
      <c r="M1664" s="158">
        <v>2022.0</v>
      </c>
      <c r="N1664" s="157" t="s">
        <v>201</v>
      </c>
      <c r="O1664" s="157" t="s">
        <v>5078</v>
      </c>
      <c r="P1664" s="161" t="b">
        <v>1</v>
      </c>
      <c r="Q1664" s="158">
        <v>6.92E-4</v>
      </c>
      <c r="R1664" s="158">
        <v>0.0</v>
      </c>
      <c r="S1664" s="158">
        <v>6.92E-4</v>
      </c>
      <c r="T1664" s="157" t="s">
        <v>201</v>
      </c>
      <c r="U1664" s="46" t="s">
        <v>651</v>
      </c>
      <c r="V1664" s="46" t="b">
        <v>0</v>
      </c>
      <c r="W1664" s="46">
        <v>0.95</v>
      </c>
      <c r="X1664" s="46">
        <v>0.0</v>
      </c>
      <c r="Y1664" s="46">
        <v>19.1261556860027</v>
      </c>
      <c r="Z1664" s="46" t="b">
        <v>1</v>
      </c>
      <c r="AA1664" s="46" t="b">
        <v>1</v>
      </c>
    </row>
    <row r="1665">
      <c r="A1665" s="157" t="s">
        <v>568</v>
      </c>
      <c r="B1665" s="158">
        <v>4.0</v>
      </c>
      <c r="C1665" s="157" t="s">
        <v>1092</v>
      </c>
      <c r="D1665" s="157" t="s">
        <v>5073</v>
      </c>
      <c r="E1665" s="157" t="s">
        <v>5074</v>
      </c>
      <c r="F1665" s="157" t="s">
        <v>5092</v>
      </c>
      <c r="G1665" s="157" t="s">
        <v>5093</v>
      </c>
      <c r="H1665" s="157"/>
      <c r="I1665" s="158">
        <v>11.1207203140309</v>
      </c>
      <c r="J1665" s="158">
        <v>55.6707624528472</v>
      </c>
      <c r="K1665" s="157" t="s">
        <v>4493</v>
      </c>
      <c r="L1665" s="157" t="s">
        <v>648</v>
      </c>
      <c r="M1665" s="158">
        <v>2022.0</v>
      </c>
      <c r="N1665" s="157" t="s">
        <v>201</v>
      </c>
      <c r="O1665" s="157" t="s">
        <v>5078</v>
      </c>
      <c r="P1665" s="161" t="b">
        <v>1</v>
      </c>
      <c r="Q1665" s="158">
        <v>0.0</v>
      </c>
      <c r="R1665" s="158">
        <v>0.0</v>
      </c>
      <c r="S1665" s="158">
        <v>0.0</v>
      </c>
      <c r="T1665" s="157" t="s">
        <v>201</v>
      </c>
      <c r="U1665" s="46" t="s">
        <v>651</v>
      </c>
      <c r="V1665" s="46" t="b">
        <v>0</v>
      </c>
      <c r="W1665" s="46">
        <v>0.95</v>
      </c>
      <c r="X1665" s="46">
        <v>0.0</v>
      </c>
      <c r="Y1665" s="46">
        <v>26.1045671907682</v>
      </c>
      <c r="Z1665" s="46" t="b">
        <v>1</v>
      </c>
      <c r="AA1665" s="46" t="b">
        <v>1</v>
      </c>
    </row>
    <row r="1666">
      <c r="A1666" s="157" t="s">
        <v>557</v>
      </c>
      <c r="B1666" s="158">
        <v>4.0</v>
      </c>
      <c r="C1666" s="157" t="s">
        <v>1092</v>
      </c>
      <c r="D1666" s="157" t="s">
        <v>5073</v>
      </c>
      <c r="E1666" s="157" t="s">
        <v>5074</v>
      </c>
      <c r="F1666" s="162" t="s">
        <v>5094</v>
      </c>
      <c r="G1666" s="157" t="s">
        <v>5095</v>
      </c>
      <c r="H1666" s="157"/>
      <c r="I1666" s="158">
        <v>8.04689888529357</v>
      </c>
      <c r="J1666" s="158">
        <v>49.9748885990776</v>
      </c>
      <c r="K1666" s="157" t="s">
        <v>5096</v>
      </c>
      <c r="L1666" s="157" t="s">
        <v>648</v>
      </c>
      <c r="M1666" s="158">
        <v>2022.0</v>
      </c>
      <c r="N1666" s="157" t="s">
        <v>201</v>
      </c>
      <c r="O1666" s="157" t="s">
        <v>5078</v>
      </c>
      <c r="P1666" s="161" t="b">
        <v>1</v>
      </c>
      <c r="Q1666" s="158">
        <v>0.111</v>
      </c>
      <c r="R1666" s="158">
        <v>0.0</v>
      </c>
      <c r="S1666" s="158">
        <v>0.111</v>
      </c>
      <c r="T1666" s="157" t="s">
        <v>201</v>
      </c>
      <c r="U1666" s="46" t="s">
        <v>651</v>
      </c>
      <c r="V1666" s="46" t="b">
        <v>1</v>
      </c>
      <c r="W1666" s="46">
        <v>0.95</v>
      </c>
      <c r="X1666" s="46">
        <v>0.0</v>
      </c>
      <c r="Y1666" s="46">
        <v>25.1339497296187</v>
      </c>
      <c r="Z1666" s="46" t="b">
        <v>1</v>
      </c>
      <c r="AA1666" s="46" t="b">
        <v>1</v>
      </c>
    </row>
    <row r="1667">
      <c r="A1667" s="157" t="s">
        <v>564</v>
      </c>
      <c r="B1667" s="158">
        <v>4.0</v>
      </c>
      <c r="C1667" s="157" t="s">
        <v>1092</v>
      </c>
      <c r="D1667" s="157" t="s">
        <v>5073</v>
      </c>
      <c r="E1667" s="157" t="s">
        <v>5074</v>
      </c>
      <c r="F1667" s="157" t="s">
        <v>5097</v>
      </c>
      <c r="G1667" s="157" t="s">
        <v>5098</v>
      </c>
      <c r="H1667" s="157"/>
      <c r="I1667" s="158">
        <v>7.8882</v>
      </c>
      <c r="J1667" s="158">
        <v>46.2967</v>
      </c>
      <c r="K1667" s="157" t="s">
        <v>4859</v>
      </c>
      <c r="L1667" s="157" t="s">
        <v>648</v>
      </c>
      <c r="M1667" s="158">
        <v>2021.0</v>
      </c>
      <c r="N1667" s="157" t="s">
        <v>201</v>
      </c>
      <c r="O1667" s="157" t="s">
        <v>5078</v>
      </c>
      <c r="P1667" s="161" t="b">
        <v>1</v>
      </c>
      <c r="Q1667" s="158">
        <v>0.199</v>
      </c>
      <c r="R1667" s="158">
        <v>0.0</v>
      </c>
      <c r="S1667" s="158">
        <v>0.199</v>
      </c>
      <c r="T1667" s="157" t="s">
        <v>201</v>
      </c>
      <c r="U1667" s="46" t="s">
        <v>651</v>
      </c>
      <c r="V1667" s="46" t="b">
        <v>1</v>
      </c>
      <c r="W1667" s="46">
        <v>0.95</v>
      </c>
      <c r="X1667" s="46">
        <v>0.0</v>
      </c>
      <c r="Y1667" s="46">
        <v>94.5580251494562</v>
      </c>
      <c r="Z1667" s="46" t="b">
        <v>0</v>
      </c>
      <c r="AA1667" s="46" t="b">
        <v>1</v>
      </c>
    </row>
    <row r="1668">
      <c r="A1668" s="157" t="s">
        <v>564</v>
      </c>
      <c r="B1668" s="158">
        <v>4.0</v>
      </c>
      <c r="C1668" s="157" t="s">
        <v>1092</v>
      </c>
      <c r="D1668" s="157" t="s">
        <v>5073</v>
      </c>
      <c r="E1668" s="157" t="s">
        <v>5074</v>
      </c>
      <c r="F1668" s="157" t="s">
        <v>5099</v>
      </c>
      <c r="G1668" s="157" t="s">
        <v>5100</v>
      </c>
      <c r="H1668" s="157"/>
      <c r="I1668" s="158">
        <v>7.9786</v>
      </c>
      <c r="J1668" s="158">
        <v>47.5476</v>
      </c>
      <c r="K1668" s="157" t="s">
        <v>5101</v>
      </c>
      <c r="L1668" s="157" t="s">
        <v>648</v>
      </c>
      <c r="M1668" s="158">
        <v>2021.0</v>
      </c>
      <c r="N1668" s="157" t="s">
        <v>201</v>
      </c>
      <c r="O1668" s="157" t="s">
        <v>5078</v>
      </c>
      <c r="P1668" s="161" t="b">
        <v>1</v>
      </c>
      <c r="Q1668" s="158">
        <v>0.054</v>
      </c>
      <c r="R1668" s="158">
        <v>0.0</v>
      </c>
      <c r="S1668" s="158">
        <v>0.054</v>
      </c>
      <c r="T1668" s="157" t="s">
        <v>201</v>
      </c>
      <c r="U1668" s="46" t="s">
        <v>651</v>
      </c>
      <c r="V1668" s="46" t="b">
        <v>0</v>
      </c>
      <c r="W1668" s="46">
        <v>0.95</v>
      </c>
      <c r="X1668" s="46">
        <v>0.0</v>
      </c>
      <c r="Y1668" s="46">
        <v>5.3377885703433</v>
      </c>
      <c r="Z1668" s="46" t="b">
        <v>1</v>
      </c>
      <c r="AA1668" s="46" t="b">
        <v>1</v>
      </c>
    </row>
    <row r="1669">
      <c r="A1669" s="157" t="s">
        <v>564</v>
      </c>
      <c r="B1669" s="158">
        <v>4.0</v>
      </c>
      <c r="C1669" s="157" t="s">
        <v>1092</v>
      </c>
      <c r="D1669" s="157" t="s">
        <v>5073</v>
      </c>
      <c r="E1669" s="157" t="s">
        <v>5074</v>
      </c>
      <c r="F1669" s="157" t="s">
        <v>5102</v>
      </c>
      <c r="G1669" s="157" t="s">
        <v>5103</v>
      </c>
      <c r="H1669" s="157"/>
      <c r="I1669" s="158">
        <v>7.0239</v>
      </c>
      <c r="J1669" s="158">
        <v>46.1728</v>
      </c>
      <c r="K1669" s="157" t="s">
        <v>5104</v>
      </c>
      <c r="L1669" s="157" t="s">
        <v>648</v>
      </c>
      <c r="M1669" s="158">
        <v>2021.0</v>
      </c>
      <c r="N1669" s="157" t="s">
        <v>201</v>
      </c>
      <c r="O1669" s="157" t="s">
        <v>5078</v>
      </c>
      <c r="P1669" s="161" t="b">
        <v>1</v>
      </c>
      <c r="Q1669" s="158">
        <v>0.00856</v>
      </c>
      <c r="R1669" s="158">
        <v>0.0</v>
      </c>
      <c r="S1669" s="158">
        <v>0.00856</v>
      </c>
      <c r="T1669" s="157" t="s">
        <v>201</v>
      </c>
      <c r="U1669" s="46" t="s">
        <v>651</v>
      </c>
      <c r="V1669" s="46" t="b">
        <v>0</v>
      </c>
      <c r="W1669" s="46">
        <v>0.95</v>
      </c>
      <c r="X1669" s="46">
        <v>0.0</v>
      </c>
      <c r="Y1669" s="46">
        <v>143.196410548225</v>
      </c>
      <c r="Z1669" s="46" t="b">
        <v>0</v>
      </c>
      <c r="AA1669" s="46" t="b">
        <v>0</v>
      </c>
    </row>
    <row r="1670">
      <c r="A1670" s="157" t="s">
        <v>564</v>
      </c>
      <c r="B1670" s="158">
        <v>4.0</v>
      </c>
      <c r="C1670" s="157" t="s">
        <v>1092</v>
      </c>
      <c r="D1670" s="157" t="s">
        <v>5073</v>
      </c>
      <c r="E1670" s="157" t="s">
        <v>5074</v>
      </c>
      <c r="F1670" s="157" t="s">
        <v>5105</v>
      </c>
      <c r="G1670" s="157" t="s">
        <v>5106</v>
      </c>
      <c r="H1670" s="157"/>
      <c r="I1670" s="158">
        <v>6.0749</v>
      </c>
      <c r="J1670" s="158">
        <v>46.2252</v>
      </c>
      <c r="K1670" s="157" t="s">
        <v>5107</v>
      </c>
      <c r="L1670" s="157" t="s">
        <v>648</v>
      </c>
      <c r="M1670" s="158">
        <v>2021.0</v>
      </c>
      <c r="N1670" s="157" t="s">
        <v>201</v>
      </c>
      <c r="O1670" s="157" t="s">
        <v>5078</v>
      </c>
      <c r="P1670" s="161" t="b">
        <v>1</v>
      </c>
      <c r="Q1670" s="158">
        <v>0.00164</v>
      </c>
      <c r="R1670" s="158">
        <v>0.0</v>
      </c>
      <c r="S1670" s="158">
        <v>0.00164</v>
      </c>
      <c r="T1670" s="157" t="s">
        <v>201</v>
      </c>
      <c r="U1670" s="46" t="s">
        <v>651</v>
      </c>
      <c r="V1670" s="46" t="b">
        <v>0</v>
      </c>
      <c r="W1670" s="46">
        <v>0.95</v>
      </c>
      <c r="X1670" s="46">
        <v>0.0</v>
      </c>
      <c r="Y1670" s="46">
        <v>90.8316131861708</v>
      </c>
      <c r="Z1670" s="46" t="b">
        <v>0</v>
      </c>
      <c r="AA1670" s="46" t="b">
        <v>1</v>
      </c>
    </row>
    <row r="1671">
      <c r="A1671" s="157" t="s">
        <v>564</v>
      </c>
      <c r="B1671" s="158">
        <v>4.0</v>
      </c>
      <c r="C1671" s="157" t="s">
        <v>1092</v>
      </c>
      <c r="D1671" s="157" t="s">
        <v>5073</v>
      </c>
      <c r="E1671" s="157" t="s">
        <v>5074</v>
      </c>
      <c r="F1671" s="157" t="s">
        <v>5108</v>
      </c>
      <c r="G1671" s="157" t="s">
        <v>5109</v>
      </c>
      <c r="H1671" s="157"/>
      <c r="I1671" s="158">
        <v>8.9225</v>
      </c>
      <c r="J1671" s="158">
        <v>45.9636</v>
      </c>
      <c r="K1671" s="157" t="s">
        <v>5110</v>
      </c>
      <c r="L1671" s="157" t="s">
        <v>648</v>
      </c>
      <c r="M1671" s="158">
        <v>2021.0</v>
      </c>
      <c r="N1671" s="157" t="s">
        <v>201</v>
      </c>
      <c r="O1671" s="157" t="s">
        <v>5078</v>
      </c>
      <c r="P1671" s="161" t="b">
        <v>1</v>
      </c>
      <c r="Q1671" s="158">
        <v>0.00124</v>
      </c>
      <c r="R1671" s="158">
        <v>0.0</v>
      </c>
      <c r="S1671" s="158">
        <v>0.00124</v>
      </c>
      <c r="T1671" s="157" t="s">
        <v>201</v>
      </c>
      <c r="U1671" s="46" t="s">
        <v>651</v>
      </c>
      <c r="V1671" s="46" t="b">
        <v>0</v>
      </c>
      <c r="W1671" s="46">
        <v>0.95</v>
      </c>
      <c r="X1671" s="46">
        <v>0.0</v>
      </c>
      <c r="Y1671" s="46">
        <v>15.0703729036383</v>
      </c>
      <c r="Z1671" s="46" t="b">
        <v>1</v>
      </c>
      <c r="AA1671" s="46" t="b">
        <v>1</v>
      </c>
    </row>
    <row r="1672">
      <c r="A1672" s="157" t="s">
        <v>581</v>
      </c>
      <c r="B1672" s="158">
        <v>2.0</v>
      </c>
      <c r="C1672" s="157" t="s">
        <v>916</v>
      </c>
      <c r="D1672" s="157" t="s">
        <v>3487</v>
      </c>
      <c r="E1672" s="157" t="s">
        <v>3488</v>
      </c>
      <c r="F1672" s="157" t="s">
        <v>5111</v>
      </c>
      <c r="G1672" s="157" t="s">
        <v>5112</v>
      </c>
      <c r="H1672" s="157"/>
      <c r="I1672" s="158">
        <v>23.10493</v>
      </c>
      <c r="J1672" s="158">
        <v>42.593002</v>
      </c>
      <c r="K1672" s="157" t="s">
        <v>5113</v>
      </c>
      <c r="L1672" s="157" t="s">
        <v>648</v>
      </c>
      <c r="M1672" s="158">
        <v>2019.0</v>
      </c>
      <c r="N1672" s="157" t="s">
        <v>549</v>
      </c>
      <c r="O1672" s="157" t="s">
        <v>3491</v>
      </c>
      <c r="P1672" s="161" t="b">
        <v>1</v>
      </c>
      <c r="Q1672" s="158">
        <v>0.106786</v>
      </c>
      <c r="R1672" s="158">
        <v>0.0</v>
      </c>
      <c r="S1672" s="158">
        <v>0.106786</v>
      </c>
      <c r="T1672" s="157" t="s">
        <v>549</v>
      </c>
      <c r="U1672" s="46" t="s">
        <v>651</v>
      </c>
      <c r="V1672" s="46" t="b">
        <v>1</v>
      </c>
      <c r="W1672" s="46">
        <v>0.95</v>
      </c>
      <c r="X1672" s="46">
        <v>0.0</v>
      </c>
      <c r="Y1672" s="46" t="s">
        <v>640</v>
      </c>
      <c r="Z1672" s="46" t="b">
        <v>0</v>
      </c>
      <c r="AA1672" s="46" t="b">
        <v>0</v>
      </c>
    </row>
    <row r="1673">
      <c r="A1673" s="157" t="s">
        <v>565</v>
      </c>
      <c r="B1673" s="158">
        <v>2.0</v>
      </c>
      <c r="C1673" s="157" t="s">
        <v>916</v>
      </c>
      <c r="D1673" s="157" t="s">
        <v>3487</v>
      </c>
      <c r="E1673" s="157" t="s">
        <v>3488</v>
      </c>
      <c r="F1673" s="157" t="s">
        <v>5114</v>
      </c>
      <c r="G1673" s="157" t="s">
        <v>5115</v>
      </c>
      <c r="H1673" s="157"/>
      <c r="I1673" s="158">
        <v>18.64728154</v>
      </c>
      <c r="J1673" s="158">
        <v>49.68810552</v>
      </c>
      <c r="K1673" s="157" t="s">
        <v>5116</v>
      </c>
      <c r="L1673" s="157" t="s">
        <v>648</v>
      </c>
      <c r="M1673" s="158">
        <v>2020.0</v>
      </c>
      <c r="N1673" s="157" t="s">
        <v>549</v>
      </c>
      <c r="O1673" s="157" t="s">
        <v>3491</v>
      </c>
      <c r="P1673" s="161" t="b">
        <v>1</v>
      </c>
      <c r="Q1673" s="158">
        <v>2.843953</v>
      </c>
      <c r="R1673" s="158">
        <v>0.0</v>
      </c>
      <c r="S1673" s="158">
        <v>2.843953</v>
      </c>
      <c r="T1673" s="157" t="s">
        <v>549</v>
      </c>
      <c r="U1673" s="46" t="s">
        <v>651</v>
      </c>
      <c r="V1673" s="46" t="b">
        <v>1</v>
      </c>
      <c r="W1673" s="46">
        <v>0.95</v>
      </c>
      <c r="X1673" s="46">
        <v>0.0</v>
      </c>
      <c r="Y1673" s="46" t="s">
        <v>640</v>
      </c>
      <c r="Z1673" s="46" t="b">
        <v>0</v>
      </c>
      <c r="AA1673" s="46" t="b">
        <v>0</v>
      </c>
    </row>
    <row r="1674">
      <c r="A1674" s="157" t="s">
        <v>565</v>
      </c>
      <c r="B1674" s="158">
        <v>2.0</v>
      </c>
      <c r="C1674" s="157" t="s">
        <v>916</v>
      </c>
      <c r="D1674" s="157" t="s">
        <v>3487</v>
      </c>
      <c r="E1674" s="157" t="s">
        <v>3488</v>
      </c>
      <c r="F1674" s="157" t="s">
        <v>5117</v>
      </c>
      <c r="G1674" s="157" t="s">
        <v>5118</v>
      </c>
      <c r="H1674" s="157"/>
      <c r="I1674" s="158">
        <v>18.30577783</v>
      </c>
      <c r="J1674" s="158">
        <v>49.7958697</v>
      </c>
      <c r="K1674" s="157" t="s">
        <v>5119</v>
      </c>
      <c r="L1674" s="157" t="s">
        <v>648</v>
      </c>
      <c r="M1674" s="158">
        <v>2020.0</v>
      </c>
      <c r="N1674" s="157" t="s">
        <v>549</v>
      </c>
      <c r="O1674" s="157" t="s">
        <v>3491</v>
      </c>
      <c r="P1674" s="161" t="b">
        <v>1</v>
      </c>
      <c r="Q1674" s="158">
        <v>2.391993</v>
      </c>
      <c r="R1674" s="158">
        <v>0.0</v>
      </c>
      <c r="S1674" s="158">
        <v>2.391993</v>
      </c>
      <c r="T1674" s="157" t="s">
        <v>549</v>
      </c>
      <c r="U1674" s="46" t="s">
        <v>651</v>
      </c>
      <c r="V1674" s="46" t="b">
        <v>1</v>
      </c>
      <c r="W1674" s="46">
        <v>0.95</v>
      </c>
      <c r="X1674" s="46">
        <v>0.0</v>
      </c>
      <c r="Y1674" s="46" t="s">
        <v>640</v>
      </c>
      <c r="Z1674" s="46" t="b">
        <v>0</v>
      </c>
      <c r="AA1674" s="46" t="b">
        <v>0</v>
      </c>
    </row>
    <row r="1675">
      <c r="A1675" s="157" t="s">
        <v>555</v>
      </c>
      <c r="B1675" s="158">
        <v>2.0</v>
      </c>
      <c r="C1675" s="157" t="s">
        <v>916</v>
      </c>
      <c r="D1675" s="157" t="s">
        <v>3487</v>
      </c>
      <c r="E1675" s="157" t="s">
        <v>3488</v>
      </c>
      <c r="F1675" s="162" t="s">
        <v>5120</v>
      </c>
      <c r="G1675" s="157" t="s">
        <v>5121</v>
      </c>
      <c r="H1675" s="157"/>
      <c r="I1675" s="158">
        <v>24.42882</v>
      </c>
      <c r="J1675" s="158">
        <v>64.65403</v>
      </c>
      <c r="K1675" s="157" t="s">
        <v>5122</v>
      </c>
      <c r="L1675" s="157" t="s">
        <v>648</v>
      </c>
      <c r="M1675" s="158">
        <v>2022.0</v>
      </c>
      <c r="N1675" s="157" t="s">
        <v>549</v>
      </c>
      <c r="O1675" s="157" t="s">
        <v>3491</v>
      </c>
      <c r="P1675" s="161" t="b">
        <v>1</v>
      </c>
      <c r="Q1675" s="158">
        <v>2.18</v>
      </c>
      <c r="R1675" s="158">
        <v>0.0</v>
      </c>
      <c r="S1675" s="158">
        <v>2.18</v>
      </c>
      <c r="T1675" s="157" t="s">
        <v>549</v>
      </c>
      <c r="U1675" s="46" t="s">
        <v>651</v>
      </c>
      <c r="V1675" s="46" t="b">
        <v>1</v>
      </c>
      <c r="W1675" s="46">
        <v>0.95</v>
      </c>
      <c r="X1675" s="46">
        <v>0.0</v>
      </c>
      <c r="Y1675" s="46" t="s">
        <v>640</v>
      </c>
      <c r="Z1675" s="46" t="b">
        <v>0</v>
      </c>
      <c r="AA1675" s="46" t="b">
        <v>0</v>
      </c>
    </row>
    <row r="1676">
      <c r="A1676" s="157" t="s">
        <v>555</v>
      </c>
      <c r="B1676" s="158">
        <v>2.0</v>
      </c>
      <c r="C1676" s="157" t="s">
        <v>916</v>
      </c>
      <c r="D1676" s="157" t="s">
        <v>3487</v>
      </c>
      <c r="E1676" s="157" t="s">
        <v>3488</v>
      </c>
      <c r="F1676" s="162" t="s">
        <v>5123</v>
      </c>
      <c r="G1676" s="157" t="s">
        <v>5124</v>
      </c>
      <c r="H1676" s="157"/>
      <c r="I1676" s="158">
        <v>24.19413</v>
      </c>
      <c r="J1676" s="158">
        <v>65.76894</v>
      </c>
      <c r="K1676" s="157" t="s">
        <v>1284</v>
      </c>
      <c r="L1676" s="157" t="s">
        <v>648</v>
      </c>
      <c r="M1676" s="158">
        <v>2022.0</v>
      </c>
      <c r="N1676" s="157" t="s">
        <v>549</v>
      </c>
      <c r="O1676" s="157" t="s">
        <v>3491</v>
      </c>
      <c r="P1676" s="161" t="b">
        <v>1</v>
      </c>
      <c r="Q1676" s="158">
        <v>0.634</v>
      </c>
      <c r="R1676" s="158">
        <v>0.0</v>
      </c>
      <c r="S1676" s="158">
        <v>0.634</v>
      </c>
      <c r="T1676" s="157" t="s">
        <v>549</v>
      </c>
      <c r="U1676" s="46" t="s">
        <v>651</v>
      </c>
      <c r="V1676" s="46" t="b">
        <v>1</v>
      </c>
      <c r="W1676" s="46">
        <v>0.95</v>
      </c>
      <c r="X1676" s="46">
        <v>0.0</v>
      </c>
      <c r="Y1676" s="46" t="s">
        <v>640</v>
      </c>
      <c r="Z1676" s="46" t="b">
        <v>0</v>
      </c>
      <c r="AA1676" s="46" t="b">
        <v>0</v>
      </c>
    </row>
    <row r="1677">
      <c r="A1677" s="157" t="s">
        <v>557</v>
      </c>
      <c r="B1677" s="158">
        <v>2.0</v>
      </c>
      <c r="C1677" s="157" t="s">
        <v>916</v>
      </c>
      <c r="D1677" s="157" t="s">
        <v>3487</v>
      </c>
      <c r="E1677" s="157" t="s">
        <v>3488</v>
      </c>
      <c r="F1677" s="162" t="s">
        <v>5125</v>
      </c>
      <c r="G1677" s="157" t="s">
        <v>5126</v>
      </c>
      <c r="H1677" s="157"/>
      <c r="I1677" s="158">
        <v>10.4030753147256</v>
      </c>
      <c r="J1677" s="158">
        <v>52.1547649242988</v>
      </c>
      <c r="K1677" s="157" t="s">
        <v>5127</v>
      </c>
      <c r="L1677" s="157" t="s">
        <v>648</v>
      </c>
      <c r="M1677" s="158">
        <v>2022.0</v>
      </c>
      <c r="N1677" s="157" t="s">
        <v>549</v>
      </c>
      <c r="O1677" s="157" t="s">
        <v>3491</v>
      </c>
      <c r="P1677" s="161" t="b">
        <v>1</v>
      </c>
      <c r="Q1677" s="158">
        <v>7.56</v>
      </c>
      <c r="R1677" s="158">
        <v>0.0</v>
      </c>
      <c r="S1677" s="158">
        <v>7.56</v>
      </c>
      <c r="T1677" s="157" t="s">
        <v>549</v>
      </c>
      <c r="U1677" s="46" t="s">
        <v>651</v>
      </c>
      <c r="V1677" s="46" t="b">
        <v>1</v>
      </c>
      <c r="W1677" s="46">
        <v>0.95</v>
      </c>
      <c r="X1677" s="46">
        <v>0.0</v>
      </c>
      <c r="Y1677" s="46">
        <v>17.7471218982982</v>
      </c>
      <c r="Z1677" s="46" t="b">
        <v>1</v>
      </c>
      <c r="AA1677" s="46" t="b">
        <v>1</v>
      </c>
    </row>
    <row r="1678">
      <c r="A1678" s="157" t="s">
        <v>557</v>
      </c>
      <c r="B1678" s="158">
        <v>2.0</v>
      </c>
      <c r="C1678" s="157" t="s">
        <v>916</v>
      </c>
      <c r="D1678" s="157" t="s">
        <v>3487</v>
      </c>
      <c r="E1678" s="157" t="s">
        <v>3488</v>
      </c>
      <c r="F1678" s="162" t="s">
        <v>5128</v>
      </c>
      <c r="G1678" s="157" t="s">
        <v>5129</v>
      </c>
      <c r="H1678" s="157"/>
      <c r="I1678" s="158">
        <v>6.712267332</v>
      </c>
      <c r="J1678" s="158">
        <v>51.3682311677027</v>
      </c>
      <c r="K1678" s="157" t="s">
        <v>3805</v>
      </c>
      <c r="L1678" s="157" t="s">
        <v>648</v>
      </c>
      <c r="M1678" s="158">
        <v>2022.0</v>
      </c>
      <c r="N1678" s="157" t="s">
        <v>549</v>
      </c>
      <c r="O1678" s="157" t="s">
        <v>3491</v>
      </c>
      <c r="P1678" s="161" t="b">
        <v>1</v>
      </c>
      <c r="Q1678" s="158">
        <v>4.25</v>
      </c>
      <c r="R1678" s="158">
        <v>0.0</v>
      </c>
      <c r="S1678" s="158">
        <v>4.25</v>
      </c>
      <c r="T1678" s="157" t="s">
        <v>549</v>
      </c>
      <c r="U1678" s="46" t="s">
        <v>651</v>
      </c>
      <c r="V1678" s="46" t="b">
        <v>1</v>
      </c>
      <c r="W1678" s="46">
        <v>0.95</v>
      </c>
      <c r="X1678" s="46">
        <v>0.0</v>
      </c>
      <c r="Y1678" s="46">
        <v>2.47959630487603</v>
      </c>
      <c r="Z1678" s="46" t="b">
        <v>1</v>
      </c>
      <c r="AA1678" s="46" t="b">
        <v>1</v>
      </c>
    </row>
    <row r="1679">
      <c r="A1679" s="157" t="s">
        <v>557</v>
      </c>
      <c r="B1679" s="158">
        <v>2.0</v>
      </c>
      <c r="C1679" s="157" t="s">
        <v>916</v>
      </c>
      <c r="D1679" s="157" t="s">
        <v>3487</v>
      </c>
      <c r="E1679" s="157" t="s">
        <v>3488</v>
      </c>
      <c r="F1679" s="162" t="s">
        <v>5130</v>
      </c>
      <c r="G1679" s="157" t="s">
        <v>5131</v>
      </c>
      <c r="H1679" s="157"/>
      <c r="I1679" s="158">
        <v>6.74365260267512</v>
      </c>
      <c r="J1679" s="158">
        <v>49.3521369867353</v>
      </c>
      <c r="K1679" s="157" t="s">
        <v>3808</v>
      </c>
      <c r="L1679" s="157" t="s">
        <v>648</v>
      </c>
      <c r="M1679" s="158">
        <v>2022.0</v>
      </c>
      <c r="N1679" s="157" t="s">
        <v>549</v>
      </c>
      <c r="O1679" s="157" t="s">
        <v>3491</v>
      </c>
      <c r="P1679" s="161" t="b">
        <v>1</v>
      </c>
      <c r="Q1679" s="158">
        <v>3.99</v>
      </c>
      <c r="R1679" s="158">
        <v>0.0</v>
      </c>
      <c r="S1679" s="158">
        <v>3.99</v>
      </c>
      <c r="T1679" s="157" t="s">
        <v>549</v>
      </c>
      <c r="U1679" s="46" t="s">
        <v>651</v>
      </c>
      <c r="V1679" s="46" t="b">
        <v>1</v>
      </c>
      <c r="W1679" s="46">
        <v>0.95</v>
      </c>
      <c r="X1679" s="46">
        <v>0.0</v>
      </c>
      <c r="Y1679" s="46">
        <v>21.6982773993788</v>
      </c>
      <c r="Z1679" s="46" t="b">
        <v>1</v>
      </c>
      <c r="AA1679" s="46" t="b">
        <v>1</v>
      </c>
    </row>
    <row r="1680">
      <c r="A1680" s="157" t="s">
        <v>557</v>
      </c>
      <c r="B1680" s="158">
        <v>2.0</v>
      </c>
      <c r="C1680" s="157" t="s">
        <v>916</v>
      </c>
      <c r="D1680" s="157" t="s">
        <v>3487</v>
      </c>
      <c r="E1680" s="157" t="s">
        <v>3488</v>
      </c>
      <c r="F1680" s="162" t="s">
        <v>5132</v>
      </c>
      <c r="G1680" s="157" t="s">
        <v>5133</v>
      </c>
      <c r="H1680" s="157"/>
      <c r="I1680" s="158">
        <v>14.6176822369296</v>
      </c>
      <c r="J1680" s="158">
        <v>52.1661405222488</v>
      </c>
      <c r="K1680" s="157" t="s">
        <v>5134</v>
      </c>
      <c r="L1680" s="157" t="s">
        <v>648</v>
      </c>
      <c r="M1680" s="158">
        <v>2022.0</v>
      </c>
      <c r="N1680" s="157" t="s">
        <v>549</v>
      </c>
      <c r="O1680" s="157" t="s">
        <v>3491</v>
      </c>
      <c r="P1680" s="161" t="b">
        <v>1</v>
      </c>
      <c r="Q1680" s="158">
        <v>1.58</v>
      </c>
      <c r="R1680" s="158">
        <v>0.0</v>
      </c>
      <c r="S1680" s="158">
        <v>1.58</v>
      </c>
      <c r="T1680" s="157" t="s">
        <v>549</v>
      </c>
      <c r="U1680" s="46" t="s">
        <v>651</v>
      </c>
      <c r="V1680" s="46" t="b">
        <v>1</v>
      </c>
      <c r="W1680" s="46">
        <v>0.95</v>
      </c>
      <c r="X1680" s="46">
        <v>0.0</v>
      </c>
      <c r="Y1680" s="46">
        <v>20.4963293585033</v>
      </c>
      <c r="Z1680" s="46" t="b">
        <v>1</v>
      </c>
      <c r="AA1680" s="46" t="b">
        <v>1</v>
      </c>
    </row>
    <row r="1681">
      <c r="A1681" s="157" t="s">
        <v>557</v>
      </c>
      <c r="B1681" s="158">
        <v>2.0</v>
      </c>
      <c r="C1681" s="157" t="s">
        <v>916</v>
      </c>
      <c r="D1681" s="157" t="s">
        <v>3487</v>
      </c>
      <c r="E1681" s="157" t="s">
        <v>3488</v>
      </c>
      <c r="F1681" s="162" t="s">
        <v>5135</v>
      </c>
      <c r="G1681" s="157" t="s">
        <v>5136</v>
      </c>
      <c r="H1681" s="157"/>
      <c r="I1681" s="158">
        <v>6.73172256941078</v>
      </c>
      <c r="J1681" s="158">
        <v>51.4846604909482</v>
      </c>
      <c r="K1681" s="157" t="s">
        <v>3805</v>
      </c>
      <c r="L1681" s="157" t="s">
        <v>648</v>
      </c>
      <c r="M1681" s="158">
        <v>2022.0</v>
      </c>
      <c r="N1681" s="157" t="s">
        <v>549</v>
      </c>
      <c r="O1681" s="157" t="s">
        <v>3491</v>
      </c>
      <c r="P1681" s="161" t="b">
        <v>1</v>
      </c>
      <c r="Q1681" s="158">
        <v>1.26</v>
      </c>
      <c r="R1681" s="158">
        <v>0.0</v>
      </c>
      <c r="S1681" s="158">
        <v>1.26</v>
      </c>
      <c r="T1681" s="157" t="s">
        <v>549</v>
      </c>
      <c r="U1681" s="46" t="s">
        <v>651</v>
      </c>
      <c r="V1681" s="46" t="b">
        <v>1</v>
      </c>
      <c r="W1681" s="46">
        <v>0.95</v>
      </c>
      <c r="X1681" s="46">
        <v>0.0</v>
      </c>
      <c r="Y1681" s="46">
        <v>6.97587039989351</v>
      </c>
      <c r="Z1681" s="46" t="b">
        <v>1</v>
      </c>
      <c r="AA1681" s="46" t="b">
        <v>1</v>
      </c>
    </row>
    <row r="1682">
      <c r="A1682" s="157" t="s">
        <v>557</v>
      </c>
      <c r="B1682" s="158">
        <v>2.0</v>
      </c>
      <c r="C1682" s="157" t="s">
        <v>916</v>
      </c>
      <c r="D1682" s="157" t="s">
        <v>3487</v>
      </c>
      <c r="E1682" s="157" t="s">
        <v>3488</v>
      </c>
      <c r="F1682" s="162" t="s">
        <v>5137</v>
      </c>
      <c r="G1682" s="157" t="s">
        <v>5138</v>
      </c>
      <c r="H1682" s="157"/>
      <c r="I1682" s="158">
        <v>6.70664443016312</v>
      </c>
      <c r="J1682" s="158">
        <v>51.4840916008273</v>
      </c>
      <c r="K1682" s="157" t="s">
        <v>3805</v>
      </c>
      <c r="L1682" s="157" t="s">
        <v>648</v>
      </c>
      <c r="M1682" s="158">
        <v>2022.0</v>
      </c>
      <c r="N1682" s="157" t="s">
        <v>549</v>
      </c>
      <c r="O1682" s="157" t="s">
        <v>3491</v>
      </c>
      <c r="P1682" s="161" t="b">
        <v>1</v>
      </c>
      <c r="Q1682" s="158">
        <v>0.758</v>
      </c>
      <c r="R1682" s="158">
        <v>0.0</v>
      </c>
      <c r="S1682" s="158">
        <v>0.758</v>
      </c>
      <c r="T1682" s="157" t="s">
        <v>549</v>
      </c>
      <c r="U1682" s="46" t="s">
        <v>651</v>
      </c>
      <c r="V1682" s="46" t="b">
        <v>1</v>
      </c>
      <c r="W1682" s="46">
        <v>0.95</v>
      </c>
      <c r="X1682" s="46">
        <v>0.0</v>
      </c>
      <c r="Y1682" s="46">
        <v>7.28022815987619</v>
      </c>
      <c r="Z1682" s="46" t="b">
        <v>1</v>
      </c>
      <c r="AA1682" s="46" t="b">
        <v>1</v>
      </c>
    </row>
    <row r="1683">
      <c r="A1683" s="157" t="s">
        <v>557</v>
      </c>
      <c r="B1683" s="158">
        <v>2.0</v>
      </c>
      <c r="C1683" s="157" t="s">
        <v>916</v>
      </c>
      <c r="D1683" s="157" t="s">
        <v>3487</v>
      </c>
      <c r="E1683" s="157" t="s">
        <v>3488</v>
      </c>
      <c r="F1683" s="162" t="s">
        <v>5139</v>
      </c>
      <c r="G1683" s="157" t="s">
        <v>5140</v>
      </c>
      <c r="H1683" s="157"/>
      <c r="I1683" s="158">
        <v>6.73795378586826</v>
      </c>
      <c r="J1683" s="158">
        <v>51.4940889795529</v>
      </c>
      <c r="K1683" s="157" t="s">
        <v>3805</v>
      </c>
      <c r="L1683" s="157" t="s">
        <v>648</v>
      </c>
      <c r="M1683" s="158">
        <v>2022.0</v>
      </c>
      <c r="N1683" s="157" t="s">
        <v>549</v>
      </c>
      <c r="O1683" s="157" t="s">
        <v>3491</v>
      </c>
      <c r="P1683" s="161" t="b">
        <v>1</v>
      </c>
      <c r="Q1683" s="158">
        <v>0.517</v>
      </c>
      <c r="R1683" s="158">
        <v>0.0</v>
      </c>
      <c r="S1683" s="158">
        <v>0.517</v>
      </c>
      <c r="T1683" s="157" t="s">
        <v>549</v>
      </c>
      <c r="U1683" s="46" t="s">
        <v>651</v>
      </c>
      <c r="V1683" s="46" t="b">
        <v>1</v>
      </c>
      <c r="W1683" s="46">
        <v>0.95</v>
      </c>
      <c r="X1683" s="46">
        <v>0.0</v>
      </c>
      <c r="Y1683" s="46">
        <v>7.99307266906478</v>
      </c>
      <c r="Z1683" s="46" t="b">
        <v>1</v>
      </c>
      <c r="AA1683" s="46" t="b">
        <v>1</v>
      </c>
    </row>
    <row r="1684">
      <c r="A1684" s="157" t="s">
        <v>557</v>
      </c>
      <c r="B1684" s="158">
        <v>2.0</v>
      </c>
      <c r="C1684" s="157" t="s">
        <v>916</v>
      </c>
      <c r="D1684" s="157" t="s">
        <v>3487</v>
      </c>
      <c r="E1684" s="157" t="s">
        <v>3488</v>
      </c>
      <c r="F1684" s="162" t="s">
        <v>5141</v>
      </c>
      <c r="G1684" s="157" t="s">
        <v>5142</v>
      </c>
      <c r="H1684" s="157"/>
      <c r="I1684" s="158">
        <v>6.74199127781899</v>
      </c>
      <c r="J1684" s="158">
        <v>51.4222829750553</v>
      </c>
      <c r="K1684" s="157" t="s">
        <v>3805</v>
      </c>
      <c r="L1684" s="157" t="s">
        <v>648</v>
      </c>
      <c r="M1684" s="158">
        <v>2022.0</v>
      </c>
      <c r="N1684" s="157" t="s">
        <v>549</v>
      </c>
      <c r="O1684" s="157" t="s">
        <v>3491</v>
      </c>
      <c r="P1684" s="161" t="b">
        <v>1</v>
      </c>
      <c r="Q1684" s="158">
        <v>0.476</v>
      </c>
      <c r="R1684" s="158">
        <v>0.0</v>
      </c>
      <c r="S1684" s="158">
        <v>0.476</v>
      </c>
      <c r="T1684" s="157" t="s">
        <v>549</v>
      </c>
      <c r="U1684" s="46" t="s">
        <v>651</v>
      </c>
      <c r="V1684" s="46" t="b">
        <v>1</v>
      </c>
      <c r="W1684" s="46">
        <v>0.95</v>
      </c>
      <c r="X1684" s="46">
        <v>0.0</v>
      </c>
      <c r="Y1684" s="164">
        <v>8.5709486814219E-7</v>
      </c>
      <c r="Z1684" s="46" t="b">
        <v>1</v>
      </c>
      <c r="AA1684" s="46" t="b">
        <v>1</v>
      </c>
    </row>
    <row r="1685">
      <c r="A1685" s="157" t="s">
        <v>557</v>
      </c>
      <c r="B1685" s="158">
        <v>2.0</v>
      </c>
      <c r="C1685" s="157" t="s">
        <v>916</v>
      </c>
      <c r="D1685" s="157" t="s">
        <v>3487</v>
      </c>
      <c r="E1685" s="157" t="s">
        <v>3488</v>
      </c>
      <c r="F1685" s="162" t="s">
        <v>5143</v>
      </c>
      <c r="G1685" s="157" t="s">
        <v>5144</v>
      </c>
      <c r="H1685" s="157"/>
      <c r="I1685" s="158">
        <v>6.74522072569104</v>
      </c>
      <c r="J1685" s="158">
        <v>51.4639035056651</v>
      </c>
      <c r="K1685" s="157" t="s">
        <v>3805</v>
      </c>
      <c r="L1685" s="157" t="s">
        <v>648</v>
      </c>
      <c r="M1685" s="158">
        <v>2022.0</v>
      </c>
      <c r="N1685" s="157" t="s">
        <v>549</v>
      </c>
      <c r="O1685" s="157" t="s">
        <v>3491</v>
      </c>
      <c r="P1685" s="161" t="b">
        <v>1</v>
      </c>
      <c r="Q1685" s="158">
        <v>0.214</v>
      </c>
      <c r="R1685" s="158">
        <v>0.0</v>
      </c>
      <c r="S1685" s="158">
        <v>0.214</v>
      </c>
      <c r="T1685" s="157" t="s">
        <v>549</v>
      </c>
      <c r="U1685" s="46" t="s">
        <v>651</v>
      </c>
      <c r="V1685" s="46" t="b">
        <v>1</v>
      </c>
      <c r="W1685" s="46">
        <v>0.95</v>
      </c>
      <c r="X1685" s="46">
        <v>0.0</v>
      </c>
      <c r="Y1685" s="46">
        <v>4.6355409186073</v>
      </c>
      <c r="Z1685" s="46" t="b">
        <v>1</v>
      </c>
      <c r="AA1685" s="46" t="b">
        <v>1</v>
      </c>
    </row>
    <row r="1686">
      <c r="A1686" s="157" t="s">
        <v>557</v>
      </c>
      <c r="B1686" s="158">
        <v>2.0</v>
      </c>
      <c r="C1686" s="157" t="s">
        <v>916</v>
      </c>
      <c r="D1686" s="157" t="s">
        <v>3487</v>
      </c>
      <c r="E1686" s="157" t="s">
        <v>3488</v>
      </c>
      <c r="F1686" s="162" t="s">
        <v>5145</v>
      </c>
      <c r="G1686" s="157" t="s">
        <v>5146</v>
      </c>
      <c r="H1686" s="157"/>
      <c r="I1686" s="158">
        <v>8.0495011070373</v>
      </c>
      <c r="J1686" s="158">
        <v>52.2091443971562</v>
      </c>
      <c r="K1686" s="157" t="s">
        <v>5147</v>
      </c>
      <c r="L1686" s="157" t="s">
        <v>648</v>
      </c>
      <c r="M1686" s="158">
        <v>2022.0</v>
      </c>
      <c r="N1686" s="157" t="s">
        <v>549</v>
      </c>
      <c r="O1686" s="157" t="s">
        <v>3491</v>
      </c>
      <c r="P1686" s="161" t="b">
        <v>1</v>
      </c>
      <c r="Q1686" s="158">
        <v>0.164</v>
      </c>
      <c r="R1686" s="158">
        <v>0.0</v>
      </c>
      <c r="S1686" s="158">
        <v>0.164</v>
      </c>
      <c r="T1686" s="157" t="s">
        <v>549</v>
      </c>
      <c r="U1686" s="46" t="s">
        <v>651</v>
      </c>
      <c r="V1686" s="46" t="b">
        <v>1</v>
      </c>
      <c r="W1686" s="46">
        <v>0.95</v>
      </c>
      <c r="X1686" s="46">
        <v>0.0</v>
      </c>
      <c r="Y1686" s="46">
        <v>38.2293358034933</v>
      </c>
      <c r="Z1686" s="46" t="b">
        <v>1</v>
      </c>
      <c r="AA1686" s="46" t="b">
        <v>1</v>
      </c>
    </row>
    <row r="1687">
      <c r="A1687" s="157" t="s">
        <v>557</v>
      </c>
      <c r="B1687" s="158">
        <v>2.0</v>
      </c>
      <c r="C1687" s="157" t="s">
        <v>916</v>
      </c>
      <c r="D1687" s="157" t="s">
        <v>3487</v>
      </c>
      <c r="E1687" s="157" t="s">
        <v>3488</v>
      </c>
      <c r="F1687" s="162" t="s">
        <v>5148</v>
      </c>
      <c r="G1687" s="157" t="s">
        <v>5149</v>
      </c>
      <c r="H1687" s="157"/>
      <c r="I1687" s="158">
        <v>12.4988856602741</v>
      </c>
      <c r="J1687" s="158">
        <v>52.4019501911493</v>
      </c>
      <c r="K1687" s="157" t="s">
        <v>5150</v>
      </c>
      <c r="L1687" s="157" t="s">
        <v>648</v>
      </c>
      <c r="M1687" s="158">
        <v>2022.0</v>
      </c>
      <c r="N1687" s="157" t="s">
        <v>549</v>
      </c>
      <c r="O1687" s="157" t="s">
        <v>3491</v>
      </c>
      <c r="P1687" s="161" t="b">
        <v>1</v>
      </c>
      <c r="Q1687" s="158">
        <v>0.15</v>
      </c>
      <c r="R1687" s="158">
        <v>0.0</v>
      </c>
      <c r="S1687" s="158">
        <v>0.15</v>
      </c>
      <c r="T1687" s="157" t="s">
        <v>549</v>
      </c>
      <c r="U1687" s="46" t="s">
        <v>651</v>
      </c>
      <c r="V1687" s="46" t="b">
        <v>1</v>
      </c>
      <c r="W1687" s="46">
        <v>0.95</v>
      </c>
      <c r="X1687" s="46">
        <v>0.0</v>
      </c>
      <c r="Y1687" s="46">
        <v>64.4713457074169</v>
      </c>
      <c r="Z1687" s="46" t="b">
        <v>0</v>
      </c>
      <c r="AA1687" s="46" t="b">
        <v>1</v>
      </c>
    </row>
    <row r="1688">
      <c r="A1688" s="157" t="s">
        <v>557</v>
      </c>
      <c r="B1688" s="158">
        <v>2.0</v>
      </c>
      <c r="C1688" s="157" t="s">
        <v>916</v>
      </c>
      <c r="D1688" s="157" t="s">
        <v>3487</v>
      </c>
      <c r="E1688" s="157" t="s">
        <v>3488</v>
      </c>
      <c r="F1688" s="162" t="s">
        <v>5151</v>
      </c>
      <c r="G1688" s="157" t="s">
        <v>5152</v>
      </c>
      <c r="H1688" s="157"/>
      <c r="I1688" s="158">
        <v>10.8602042369254</v>
      </c>
      <c r="J1688" s="158">
        <v>48.5106565601175</v>
      </c>
      <c r="K1688" s="157" t="s">
        <v>5153</v>
      </c>
      <c r="L1688" s="157" t="s">
        <v>648</v>
      </c>
      <c r="M1688" s="158">
        <v>2022.0</v>
      </c>
      <c r="N1688" s="157" t="s">
        <v>549</v>
      </c>
      <c r="O1688" s="157" t="s">
        <v>3491</v>
      </c>
      <c r="P1688" s="161" t="b">
        <v>1</v>
      </c>
      <c r="Q1688" s="158">
        <v>0.124</v>
      </c>
      <c r="R1688" s="158">
        <v>0.0</v>
      </c>
      <c r="S1688" s="158">
        <v>0.124</v>
      </c>
      <c r="T1688" s="157" t="s">
        <v>549</v>
      </c>
      <c r="U1688" s="46" t="s">
        <v>651</v>
      </c>
      <c r="V1688" s="46" t="b">
        <v>1</v>
      </c>
      <c r="W1688" s="46">
        <v>0.95</v>
      </c>
      <c r="X1688" s="46">
        <v>0.0</v>
      </c>
      <c r="Y1688" s="46">
        <v>52.5868067540822</v>
      </c>
      <c r="Z1688" s="46" t="b">
        <v>0</v>
      </c>
      <c r="AA1688" s="46" t="b">
        <v>1</v>
      </c>
    </row>
    <row r="1689">
      <c r="A1689" s="157" t="s">
        <v>557</v>
      </c>
      <c r="B1689" s="158">
        <v>2.0</v>
      </c>
      <c r="C1689" s="157" t="s">
        <v>916</v>
      </c>
      <c r="D1689" s="157" t="s">
        <v>3487</v>
      </c>
      <c r="E1689" s="157" t="s">
        <v>3488</v>
      </c>
      <c r="F1689" s="162" t="s">
        <v>5154</v>
      </c>
      <c r="G1689" s="157" t="s">
        <v>5155</v>
      </c>
      <c r="H1689" s="157"/>
      <c r="I1689" s="158">
        <v>10.2381861179187</v>
      </c>
      <c r="J1689" s="158">
        <v>52.3163564550161</v>
      </c>
      <c r="K1689" s="157" t="s">
        <v>5156</v>
      </c>
      <c r="L1689" s="157" t="s">
        <v>648</v>
      </c>
      <c r="M1689" s="158">
        <v>2022.0</v>
      </c>
      <c r="N1689" s="157" t="s">
        <v>549</v>
      </c>
      <c r="O1689" s="157" t="s">
        <v>3491</v>
      </c>
      <c r="P1689" s="161" t="b">
        <v>1</v>
      </c>
      <c r="Q1689" s="158">
        <v>0.118</v>
      </c>
      <c r="R1689" s="158">
        <v>0.0</v>
      </c>
      <c r="S1689" s="158">
        <v>0.118</v>
      </c>
      <c r="T1689" s="157" t="s">
        <v>549</v>
      </c>
      <c r="U1689" s="46" t="s">
        <v>651</v>
      </c>
      <c r="V1689" s="46" t="b">
        <v>1</v>
      </c>
      <c r="W1689" s="46">
        <v>0.95</v>
      </c>
      <c r="X1689" s="46">
        <v>0.0</v>
      </c>
      <c r="Y1689" s="46">
        <v>4.13035190547864</v>
      </c>
      <c r="Z1689" s="46" t="b">
        <v>1</v>
      </c>
      <c r="AA1689" s="46" t="b">
        <v>1</v>
      </c>
    </row>
    <row r="1690">
      <c r="A1690" s="157" t="s">
        <v>570</v>
      </c>
      <c r="B1690" s="158">
        <v>2.0</v>
      </c>
      <c r="C1690" s="157" t="s">
        <v>916</v>
      </c>
      <c r="D1690" s="157" t="s">
        <v>3487</v>
      </c>
      <c r="E1690" s="157" t="s">
        <v>3488</v>
      </c>
      <c r="F1690" s="157" t="s">
        <v>5157</v>
      </c>
      <c r="G1690" s="157" t="s">
        <v>5158</v>
      </c>
      <c r="H1690" s="157"/>
      <c r="I1690" s="158">
        <v>4.59217</v>
      </c>
      <c r="J1690" s="158">
        <v>52.47656</v>
      </c>
      <c r="K1690" s="157" t="s">
        <v>5063</v>
      </c>
      <c r="L1690" s="157" t="s">
        <v>648</v>
      </c>
      <c r="M1690" s="158">
        <v>2022.0</v>
      </c>
      <c r="N1690" s="157" t="s">
        <v>549</v>
      </c>
      <c r="O1690" s="157" t="s">
        <v>3491</v>
      </c>
      <c r="P1690" s="161" t="b">
        <v>1</v>
      </c>
      <c r="Q1690" s="158">
        <v>5.82</v>
      </c>
      <c r="R1690" s="158">
        <v>0.0</v>
      </c>
      <c r="S1690" s="158">
        <v>5.82</v>
      </c>
      <c r="T1690" s="157" t="s">
        <v>549</v>
      </c>
      <c r="U1690" s="46" t="s">
        <v>651</v>
      </c>
      <c r="V1690" s="46" t="b">
        <v>1</v>
      </c>
      <c r="W1690" s="46">
        <v>0.95</v>
      </c>
      <c r="X1690" s="46">
        <v>0.0</v>
      </c>
      <c r="Y1690" s="46">
        <v>31.0787218052008</v>
      </c>
      <c r="Z1690" s="46" t="b">
        <v>1</v>
      </c>
      <c r="AA1690" s="46" t="b">
        <v>1</v>
      </c>
    </row>
    <row r="1691">
      <c r="A1691" s="157" t="s">
        <v>576</v>
      </c>
      <c r="B1691" s="158">
        <v>2.0</v>
      </c>
      <c r="C1691" s="157" t="s">
        <v>916</v>
      </c>
      <c r="D1691" s="157" t="s">
        <v>3487</v>
      </c>
      <c r="E1691" s="157" t="s">
        <v>3488</v>
      </c>
      <c r="F1691" s="157" t="s">
        <v>5159</v>
      </c>
      <c r="G1691" s="157" t="s">
        <v>5160</v>
      </c>
      <c r="H1691" s="157"/>
      <c r="I1691" s="158">
        <v>27.972194</v>
      </c>
      <c r="J1691" s="158">
        <v>45.440355</v>
      </c>
      <c r="K1691" s="157" t="s">
        <v>5161</v>
      </c>
      <c r="L1691" s="157" t="s">
        <v>648</v>
      </c>
      <c r="M1691" s="158">
        <v>2022.0</v>
      </c>
      <c r="N1691" s="157" t="s">
        <v>549</v>
      </c>
      <c r="O1691" s="157" t="s">
        <v>3491</v>
      </c>
      <c r="P1691" s="161" t="b">
        <v>1</v>
      </c>
      <c r="Q1691" s="158">
        <v>3.22</v>
      </c>
      <c r="R1691" s="158">
        <v>0.0</v>
      </c>
      <c r="S1691" s="158">
        <v>3.22</v>
      </c>
      <c r="T1691" s="157" t="s">
        <v>549</v>
      </c>
      <c r="U1691" s="46" t="s">
        <v>651</v>
      </c>
      <c r="V1691" s="46" t="b">
        <v>1</v>
      </c>
      <c r="W1691" s="46">
        <v>0.95</v>
      </c>
      <c r="X1691" s="46">
        <v>0.0</v>
      </c>
      <c r="Y1691" s="46" t="s">
        <v>640</v>
      </c>
      <c r="Z1691" s="46" t="b">
        <v>0</v>
      </c>
      <c r="AA1691" s="46" t="b">
        <v>0</v>
      </c>
    </row>
    <row r="1692">
      <c r="A1692" s="157" t="s">
        <v>554</v>
      </c>
      <c r="B1692" s="158">
        <v>2.0</v>
      </c>
      <c r="C1692" s="157" t="s">
        <v>916</v>
      </c>
      <c r="D1692" s="157" t="s">
        <v>3487</v>
      </c>
      <c r="E1692" s="157" t="s">
        <v>3488</v>
      </c>
      <c r="F1692" s="157" t="s">
        <v>5162</v>
      </c>
      <c r="G1692" s="157" t="s">
        <v>5163</v>
      </c>
      <c r="H1692" s="157"/>
      <c r="I1692" s="158">
        <v>17.12562</v>
      </c>
      <c r="J1692" s="158">
        <v>58.67695</v>
      </c>
      <c r="K1692" s="157" t="s">
        <v>5164</v>
      </c>
      <c r="L1692" s="157" t="s">
        <v>648</v>
      </c>
      <c r="M1692" s="158">
        <v>2022.0</v>
      </c>
      <c r="N1692" s="157" t="s">
        <v>549</v>
      </c>
      <c r="O1692" s="157" t="s">
        <v>3491</v>
      </c>
      <c r="P1692" s="161" t="b">
        <v>1</v>
      </c>
      <c r="Q1692" s="158">
        <v>1.63</v>
      </c>
      <c r="R1692" s="158">
        <v>0.0</v>
      </c>
      <c r="S1692" s="158">
        <v>1.63</v>
      </c>
      <c r="T1692" s="157" t="s">
        <v>549</v>
      </c>
      <c r="U1692" s="46" t="s">
        <v>651</v>
      </c>
      <c r="V1692" s="46" t="b">
        <v>1</v>
      </c>
      <c r="W1692" s="46">
        <v>0.95</v>
      </c>
      <c r="X1692" s="46">
        <v>0.0</v>
      </c>
      <c r="Y1692" s="46" t="s">
        <v>640</v>
      </c>
      <c r="Z1692" s="46" t="b">
        <v>0</v>
      </c>
      <c r="AA1692" s="46" t="b">
        <v>0</v>
      </c>
    </row>
    <row r="1693">
      <c r="A1693" s="157" t="s">
        <v>554</v>
      </c>
      <c r="B1693" s="158">
        <v>2.0</v>
      </c>
      <c r="C1693" s="157" t="s">
        <v>916</v>
      </c>
      <c r="D1693" s="157" t="s">
        <v>3487</v>
      </c>
      <c r="E1693" s="157" t="s">
        <v>3488</v>
      </c>
      <c r="F1693" s="157" t="s">
        <v>5165</v>
      </c>
      <c r="G1693" s="157" t="s">
        <v>5166</v>
      </c>
      <c r="H1693" s="157"/>
      <c r="I1693" s="158">
        <v>22.21426</v>
      </c>
      <c r="J1693" s="158">
        <v>65.56204</v>
      </c>
      <c r="K1693" s="157" t="s">
        <v>5167</v>
      </c>
      <c r="L1693" s="157" t="s">
        <v>648</v>
      </c>
      <c r="M1693" s="158">
        <v>2022.0</v>
      </c>
      <c r="N1693" s="157" t="s">
        <v>549</v>
      </c>
      <c r="O1693" s="157" t="s">
        <v>3491</v>
      </c>
      <c r="P1693" s="161" t="b">
        <v>1</v>
      </c>
      <c r="Q1693" s="158">
        <v>1.56</v>
      </c>
      <c r="R1693" s="158">
        <v>0.0</v>
      </c>
      <c r="S1693" s="158">
        <v>1.56</v>
      </c>
      <c r="T1693" s="157" t="s">
        <v>549</v>
      </c>
      <c r="U1693" s="46" t="s">
        <v>651</v>
      </c>
      <c r="V1693" s="46" t="b">
        <v>1</v>
      </c>
      <c r="W1693" s="46">
        <v>0.95</v>
      </c>
      <c r="X1693" s="46">
        <v>0.0</v>
      </c>
      <c r="Y1693" s="46" t="s">
        <v>640</v>
      </c>
      <c r="Z1693" s="46" t="b">
        <v>0</v>
      </c>
      <c r="AA1693" s="46" t="b">
        <v>0</v>
      </c>
    </row>
    <row r="1694">
      <c r="A1694" s="157" t="s">
        <v>554</v>
      </c>
      <c r="B1694" s="158">
        <v>2.0</v>
      </c>
      <c r="C1694" s="157" t="s">
        <v>916</v>
      </c>
      <c r="D1694" s="157" t="s">
        <v>3487</v>
      </c>
      <c r="E1694" s="157" t="s">
        <v>3488</v>
      </c>
      <c r="F1694" s="157" t="s">
        <v>5168</v>
      </c>
      <c r="G1694" s="157" t="s">
        <v>5169</v>
      </c>
      <c r="H1694" s="157"/>
      <c r="I1694" s="158">
        <v>16.18031</v>
      </c>
      <c r="J1694" s="158">
        <v>60.13507</v>
      </c>
      <c r="K1694" s="157" t="s">
        <v>5170</v>
      </c>
      <c r="L1694" s="157" t="s">
        <v>648</v>
      </c>
      <c r="M1694" s="158">
        <v>2022.0</v>
      </c>
      <c r="N1694" s="157" t="s">
        <v>549</v>
      </c>
      <c r="O1694" s="157" t="s">
        <v>3491</v>
      </c>
      <c r="P1694" s="161" t="b">
        <v>1</v>
      </c>
      <c r="Q1694" s="158">
        <v>0.123</v>
      </c>
      <c r="R1694" s="158">
        <v>0.0</v>
      </c>
      <c r="S1694" s="158">
        <v>0.123</v>
      </c>
      <c r="T1694" s="157" t="s">
        <v>549</v>
      </c>
      <c r="U1694" s="46" t="s">
        <v>651</v>
      </c>
      <c r="V1694" s="46" t="b">
        <v>1</v>
      </c>
      <c r="W1694" s="46">
        <v>0.95</v>
      </c>
      <c r="X1694" s="46">
        <v>0.0</v>
      </c>
      <c r="Y1694" s="46" t="s">
        <v>640</v>
      </c>
      <c r="Z1694" s="46" t="b">
        <v>0</v>
      </c>
      <c r="AA1694" s="46" t="b">
        <v>0</v>
      </c>
    </row>
    <row r="1695">
      <c r="A1695" s="157" t="s">
        <v>567</v>
      </c>
      <c r="B1695" s="158">
        <v>2.0</v>
      </c>
      <c r="C1695" s="157" t="s">
        <v>916</v>
      </c>
      <c r="D1695" s="157" t="s">
        <v>3487</v>
      </c>
      <c r="E1695" s="157" t="s">
        <v>3488</v>
      </c>
      <c r="F1695" s="157" t="s">
        <v>5171</v>
      </c>
      <c r="G1695" s="157" t="s">
        <v>5172</v>
      </c>
      <c r="H1695" s="157"/>
      <c r="I1695" s="158">
        <v>6.55428</v>
      </c>
      <c r="J1695" s="158">
        <v>60.1151352</v>
      </c>
      <c r="K1695" s="157" t="s">
        <v>5173</v>
      </c>
      <c r="L1695" s="157" t="s">
        <v>648</v>
      </c>
      <c r="M1695" s="158">
        <v>2017.0</v>
      </c>
      <c r="N1695" s="157" t="s">
        <v>549</v>
      </c>
      <c r="O1695" s="157" t="s">
        <v>3491</v>
      </c>
      <c r="P1695" s="161" t="b">
        <v>1</v>
      </c>
      <c r="Q1695" s="158">
        <v>0.261</v>
      </c>
      <c r="R1695" s="158">
        <v>0.0</v>
      </c>
      <c r="S1695" s="158">
        <v>0.261</v>
      </c>
      <c r="T1695" s="157" t="s">
        <v>549</v>
      </c>
      <c r="U1695" s="46" t="s">
        <v>651</v>
      </c>
      <c r="V1695" s="46" t="b">
        <v>1</v>
      </c>
      <c r="W1695" s="46">
        <v>0.95</v>
      </c>
      <c r="X1695" s="46">
        <v>0.0</v>
      </c>
      <c r="Y1695" s="46">
        <v>98.3220427311575</v>
      </c>
      <c r="Z1695" s="46" t="b">
        <v>0</v>
      </c>
      <c r="AA1695" s="46" t="b">
        <v>1</v>
      </c>
    </row>
    <row r="1696">
      <c r="A1696" s="157" t="s">
        <v>581</v>
      </c>
      <c r="B1696" s="158">
        <v>6.0</v>
      </c>
      <c r="C1696" s="157" t="s">
        <v>659</v>
      </c>
      <c r="D1696" s="157" t="s">
        <v>660</v>
      </c>
      <c r="E1696" s="157" t="s">
        <v>661</v>
      </c>
      <c r="F1696" s="157" t="s">
        <v>5174</v>
      </c>
      <c r="G1696" s="157" t="s">
        <v>5175</v>
      </c>
      <c r="H1696" s="157"/>
      <c r="I1696" s="158">
        <v>25.305538</v>
      </c>
      <c r="J1696" s="158">
        <v>43.639465</v>
      </c>
      <c r="K1696" s="157" t="s">
        <v>5176</v>
      </c>
      <c r="L1696" s="157" t="s">
        <v>648</v>
      </c>
      <c r="M1696" s="158">
        <v>2021.0</v>
      </c>
      <c r="N1696" s="157" t="s">
        <v>123</v>
      </c>
      <c r="O1696" s="157" t="s">
        <v>665</v>
      </c>
      <c r="P1696" s="161" t="b">
        <v>1</v>
      </c>
      <c r="Q1696" s="158">
        <v>0.41598419</v>
      </c>
      <c r="R1696" s="158">
        <v>0.0</v>
      </c>
      <c r="S1696" s="158">
        <v>0.41598419</v>
      </c>
      <c r="T1696" s="157" t="s">
        <v>123</v>
      </c>
      <c r="U1696" s="46" t="s">
        <v>651</v>
      </c>
      <c r="V1696" s="46" t="b">
        <v>1</v>
      </c>
      <c r="W1696" s="46">
        <v>0.95</v>
      </c>
      <c r="X1696" s="46">
        <v>0.0</v>
      </c>
      <c r="Y1696" s="46" t="s">
        <v>640</v>
      </c>
      <c r="Z1696" s="46" t="b">
        <v>0</v>
      </c>
      <c r="AA1696" s="46" t="b">
        <v>0</v>
      </c>
    </row>
    <row r="1697">
      <c r="A1697" s="157" t="s">
        <v>557</v>
      </c>
      <c r="B1697" s="158">
        <v>6.0</v>
      </c>
      <c r="C1697" s="157" t="s">
        <v>659</v>
      </c>
      <c r="D1697" s="157" t="s">
        <v>660</v>
      </c>
      <c r="E1697" s="157" t="s">
        <v>661</v>
      </c>
      <c r="F1697" s="162" t="s">
        <v>5177</v>
      </c>
      <c r="G1697" s="157" t="s">
        <v>5178</v>
      </c>
      <c r="H1697" s="157"/>
      <c r="I1697" s="158">
        <v>12.0058630649957</v>
      </c>
      <c r="J1697" s="158">
        <v>52.7282712565063</v>
      </c>
      <c r="K1697" s="157" t="s">
        <v>5179</v>
      </c>
      <c r="L1697" s="157" t="s">
        <v>648</v>
      </c>
      <c r="M1697" s="158">
        <v>2022.0</v>
      </c>
      <c r="N1697" s="157" t="s">
        <v>123</v>
      </c>
      <c r="O1697" s="157" t="s">
        <v>665</v>
      </c>
      <c r="P1697" s="161" t="b">
        <v>1</v>
      </c>
      <c r="Q1697" s="158">
        <v>1.74</v>
      </c>
      <c r="R1697" s="158">
        <v>0.0</v>
      </c>
      <c r="S1697" s="158">
        <v>1.74</v>
      </c>
      <c r="T1697" s="157" t="s">
        <v>123</v>
      </c>
      <c r="U1697" s="46" t="s">
        <v>651</v>
      </c>
      <c r="V1697" s="46" t="b">
        <v>1</v>
      </c>
      <c r="W1697" s="46">
        <v>0.95</v>
      </c>
      <c r="X1697" s="46">
        <v>0.0</v>
      </c>
      <c r="Y1697" s="46">
        <v>63.4649857054426</v>
      </c>
      <c r="Z1697" s="46" t="b">
        <v>0</v>
      </c>
      <c r="AA1697" s="46" t="b">
        <v>1</v>
      </c>
    </row>
    <row r="1698">
      <c r="A1698" s="157" t="s">
        <v>554</v>
      </c>
      <c r="B1698" s="158">
        <v>6.0</v>
      </c>
      <c r="C1698" s="157" t="s">
        <v>659</v>
      </c>
      <c r="D1698" s="157" t="s">
        <v>660</v>
      </c>
      <c r="E1698" s="157" t="s">
        <v>661</v>
      </c>
      <c r="F1698" s="157" t="s">
        <v>5180</v>
      </c>
      <c r="G1698" s="157" t="s">
        <v>5181</v>
      </c>
      <c r="H1698" s="157"/>
      <c r="I1698" s="158">
        <v>14.47983</v>
      </c>
      <c r="J1698" s="158">
        <v>56.04379</v>
      </c>
      <c r="K1698" s="157" t="s">
        <v>5182</v>
      </c>
      <c r="L1698" s="157" t="s">
        <v>648</v>
      </c>
      <c r="M1698" s="158">
        <v>2022.0</v>
      </c>
      <c r="N1698" s="157" t="s">
        <v>123</v>
      </c>
      <c r="O1698" s="157" t="s">
        <v>665</v>
      </c>
      <c r="P1698" s="161" t="b">
        <v>1</v>
      </c>
      <c r="Q1698" s="158">
        <v>0.746</v>
      </c>
      <c r="R1698" s="158">
        <v>0.0</v>
      </c>
      <c r="S1698" s="158">
        <v>0.746</v>
      </c>
      <c r="T1698" s="157" t="s">
        <v>123</v>
      </c>
      <c r="U1698" s="46" t="s">
        <v>651</v>
      </c>
      <c r="V1698" s="46" t="b">
        <v>1</v>
      </c>
      <c r="W1698" s="46">
        <v>0.95</v>
      </c>
      <c r="X1698" s="46">
        <v>0.0</v>
      </c>
      <c r="Y1698" s="46">
        <v>124.009631148158</v>
      </c>
      <c r="Z1698" s="46" t="b">
        <v>0</v>
      </c>
      <c r="AA1698" s="46" t="b">
        <v>0</v>
      </c>
    </row>
    <row r="1699">
      <c r="A1699" s="157" t="s">
        <v>563</v>
      </c>
      <c r="B1699" s="158">
        <v>6.0</v>
      </c>
      <c r="C1699" s="157" t="s">
        <v>659</v>
      </c>
      <c r="D1699" s="157" t="s">
        <v>660</v>
      </c>
      <c r="E1699" s="157" t="s">
        <v>661</v>
      </c>
      <c r="F1699" s="157" t="s">
        <v>5183</v>
      </c>
      <c r="G1699" s="157" t="s">
        <v>5184</v>
      </c>
      <c r="H1699" s="157"/>
      <c r="I1699" s="158">
        <v>0.38603075</v>
      </c>
      <c r="J1699" s="158">
        <v>52.733809</v>
      </c>
      <c r="K1699" s="157" t="s">
        <v>5185</v>
      </c>
      <c r="L1699" s="157" t="s">
        <v>648</v>
      </c>
      <c r="M1699" s="158">
        <v>2019.0</v>
      </c>
      <c r="N1699" s="157" t="s">
        <v>123</v>
      </c>
      <c r="O1699" s="157" t="s">
        <v>665</v>
      </c>
      <c r="P1699" s="161" t="b">
        <v>1</v>
      </c>
      <c r="Q1699" s="158">
        <v>0.139</v>
      </c>
      <c r="R1699" s="158">
        <v>0.0</v>
      </c>
      <c r="S1699" s="158">
        <v>0.139</v>
      </c>
      <c r="T1699" s="157" t="s">
        <v>123</v>
      </c>
      <c r="U1699" s="46" t="s">
        <v>651</v>
      </c>
      <c r="V1699" s="46" t="b">
        <v>1</v>
      </c>
      <c r="W1699" s="46">
        <v>0.95</v>
      </c>
      <c r="X1699" s="46">
        <v>0.0</v>
      </c>
      <c r="Y1699" s="46">
        <v>72.9904976461317</v>
      </c>
      <c r="Z1699" s="46" t="b">
        <v>0</v>
      </c>
      <c r="AA1699" s="46" t="b">
        <v>1</v>
      </c>
    </row>
    <row r="1700">
      <c r="A1700" s="157" t="s">
        <v>581</v>
      </c>
      <c r="B1700" s="158">
        <v>1.0</v>
      </c>
      <c r="C1700" s="157" t="s">
        <v>642</v>
      </c>
      <c r="D1700" s="157" t="s">
        <v>643</v>
      </c>
      <c r="E1700" s="157" t="s">
        <v>644</v>
      </c>
      <c r="F1700" s="157" t="s">
        <v>5186</v>
      </c>
      <c r="G1700" s="157" t="s">
        <v>5187</v>
      </c>
      <c r="H1700" s="157"/>
      <c r="I1700" s="158">
        <v>26.132015</v>
      </c>
      <c r="J1700" s="158">
        <v>42.25642</v>
      </c>
      <c r="K1700" s="157" t="s">
        <v>5188</v>
      </c>
      <c r="L1700" s="157" t="s">
        <v>648</v>
      </c>
      <c r="M1700" s="158">
        <v>2021.0</v>
      </c>
      <c r="N1700" s="157" t="s">
        <v>649</v>
      </c>
      <c r="O1700" s="157" t="s">
        <v>650</v>
      </c>
      <c r="P1700" s="161" t="b">
        <v>0</v>
      </c>
      <c r="Q1700" s="158">
        <v>6.673429</v>
      </c>
      <c r="R1700" s="158">
        <v>0.0</v>
      </c>
      <c r="S1700" s="158">
        <v>6.673429</v>
      </c>
      <c r="T1700" s="157" t="s">
        <v>594</v>
      </c>
      <c r="U1700" s="46" t="s">
        <v>651</v>
      </c>
      <c r="V1700" s="46" t="b">
        <v>1</v>
      </c>
      <c r="W1700" s="46">
        <v>0.95</v>
      </c>
      <c r="X1700" s="46">
        <v>0.0</v>
      </c>
      <c r="Y1700" s="46">
        <v>155.232600940693</v>
      </c>
      <c r="Z1700" s="46" t="b">
        <v>0</v>
      </c>
      <c r="AA1700" s="46" t="b">
        <v>0</v>
      </c>
    </row>
    <row r="1701">
      <c r="A1701" s="157" t="s">
        <v>581</v>
      </c>
      <c r="B1701" s="158">
        <v>1.0</v>
      </c>
      <c r="C1701" s="157" t="s">
        <v>642</v>
      </c>
      <c r="D1701" s="157" t="s">
        <v>643</v>
      </c>
      <c r="E1701" s="157" t="s">
        <v>644</v>
      </c>
      <c r="F1701" s="157" t="s">
        <v>5189</v>
      </c>
      <c r="G1701" s="157" t="s">
        <v>5190</v>
      </c>
      <c r="H1701" s="157"/>
      <c r="I1701" s="158">
        <v>26.002517</v>
      </c>
      <c r="J1701" s="158">
        <v>42.144905</v>
      </c>
      <c r="K1701" s="157" t="s">
        <v>5191</v>
      </c>
      <c r="L1701" s="157" t="s">
        <v>648</v>
      </c>
      <c r="M1701" s="158">
        <v>2021.0</v>
      </c>
      <c r="N1701" s="157" t="s">
        <v>649</v>
      </c>
      <c r="O1701" s="157" t="s">
        <v>650</v>
      </c>
      <c r="P1701" s="161" t="b">
        <v>0</v>
      </c>
      <c r="Q1701" s="158">
        <v>6.37728</v>
      </c>
      <c r="R1701" s="158">
        <v>0.0</v>
      </c>
      <c r="S1701" s="158">
        <v>6.37728</v>
      </c>
      <c r="T1701" s="157" t="s">
        <v>594</v>
      </c>
      <c r="U1701" s="46" t="s">
        <v>651</v>
      </c>
      <c r="V1701" s="46" t="b">
        <v>1</v>
      </c>
      <c r="W1701" s="46">
        <v>0.95</v>
      </c>
      <c r="X1701" s="46">
        <v>0.0</v>
      </c>
      <c r="Y1701" s="46">
        <v>171.584277623974</v>
      </c>
      <c r="Z1701" s="46" t="b">
        <v>0</v>
      </c>
      <c r="AA1701" s="46" t="b">
        <v>0</v>
      </c>
    </row>
    <row r="1702">
      <c r="A1702" s="157" t="s">
        <v>581</v>
      </c>
      <c r="B1702" s="158">
        <v>1.0</v>
      </c>
      <c r="C1702" s="157" t="s">
        <v>642</v>
      </c>
      <c r="D1702" s="157" t="s">
        <v>643</v>
      </c>
      <c r="E1702" s="157" t="s">
        <v>644</v>
      </c>
      <c r="F1702" s="157" t="s">
        <v>5192</v>
      </c>
      <c r="G1702" s="157" t="s">
        <v>5193</v>
      </c>
      <c r="H1702" s="157"/>
      <c r="I1702" s="158">
        <v>25.908917</v>
      </c>
      <c r="J1702" s="158">
        <v>42.159083</v>
      </c>
      <c r="K1702" s="157" t="s">
        <v>5194</v>
      </c>
      <c r="L1702" s="157" t="s">
        <v>648</v>
      </c>
      <c r="M1702" s="158">
        <v>2021.0</v>
      </c>
      <c r="N1702" s="157" t="s">
        <v>649</v>
      </c>
      <c r="O1702" s="157" t="s">
        <v>650</v>
      </c>
      <c r="P1702" s="161" t="b">
        <v>0</v>
      </c>
      <c r="Q1702" s="158">
        <v>4.429287</v>
      </c>
      <c r="R1702" s="158">
        <v>0.0</v>
      </c>
      <c r="S1702" s="158">
        <v>4.429287</v>
      </c>
      <c r="T1702" s="157" t="s">
        <v>594</v>
      </c>
      <c r="U1702" s="46" t="s">
        <v>651</v>
      </c>
      <c r="V1702" s="46" t="b">
        <v>1</v>
      </c>
      <c r="W1702" s="46">
        <v>0.95</v>
      </c>
      <c r="X1702" s="46">
        <v>0.0</v>
      </c>
      <c r="Y1702" s="46" t="s">
        <v>640</v>
      </c>
      <c r="Z1702" s="46" t="b">
        <v>0</v>
      </c>
      <c r="AA1702" s="46" t="b">
        <v>0</v>
      </c>
    </row>
    <row r="1703">
      <c r="A1703" s="157" t="s">
        <v>581</v>
      </c>
      <c r="B1703" s="158">
        <v>1.0</v>
      </c>
      <c r="C1703" s="157" t="s">
        <v>642</v>
      </c>
      <c r="D1703" s="157" t="s">
        <v>643</v>
      </c>
      <c r="E1703" s="157" t="s">
        <v>644</v>
      </c>
      <c r="F1703" s="157" t="s">
        <v>5195</v>
      </c>
      <c r="G1703" s="157" t="s">
        <v>5196</v>
      </c>
      <c r="H1703" s="157"/>
      <c r="I1703" s="158">
        <v>23.0344</v>
      </c>
      <c r="J1703" s="158">
        <v>42.285164</v>
      </c>
      <c r="K1703" s="157" t="s">
        <v>5197</v>
      </c>
      <c r="L1703" s="157" t="s">
        <v>3646</v>
      </c>
      <c r="M1703" s="158">
        <v>2021.0</v>
      </c>
      <c r="N1703" s="157" t="s">
        <v>649</v>
      </c>
      <c r="O1703" s="157" t="s">
        <v>650</v>
      </c>
      <c r="P1703" s="161" t="b">
        <v>0</v>
      </c>
      <c r="Q1703" s="158">
        <v>0.752943</v>
      </c>
      <c r="R1703" s="158">
        <v>0.0</v>
      </c>
      <c r="S1703" s="158">
        <v>0.752943</v>
      </c>
      <c r="T1703" s="157" t="s">
        <v>594</v>
      </c>
      <c r="U1703" s="46" t="s">
        <v>651</v>
      </c>
      <c r="V1703" s="46" t="b">
        <v>1</v>
      </c>
      <c r="W1703" s="46">
        <v>0.95</v>
      </c>
      <c r="X1703" s="46">
        <v>0.0</v>
      </c>
      <c r="Y1703" s="46" t="s">
        <v>640</v>
      </c>
      <c r="Z1703" s="46" t="b">
        <v>0</v>
      </c>
      <c r="AA1703" s="46" t="b">
        <v>0</v>
      </c>
    </row>
    <row r="1704">
      <c r="A1704" s="157" t="s">
        <v>581</v>
      </c>
      <c r="B1704" s="158">
        <v>1.0</v>
      </c>
      <c r="C1704" s="157" t="s">
        <v>642</v>
      </c>
      <c r="D1704" s="157" t="s">
        <v>643</v>
      </c>
      <c r="E1704" s="157" t="s">
        <v>644</v>
      </c>
      <c r="F1704" s="157" t="s">
        <v>5198</v>
      </c>
      <c r="G1704" s="157" t="s">
        <v>5199</v>
      </c>
      <c r="H1704" s="157"/>
      <c r="I1704" s="158">
        <v>23.414279</v>
      </c>
      <c r="J1704" s="158">
        <v>42.65044</v>
      </c>
      <c r="K1704" s="157" t="s">
        <v>5200</v>
      </c>
      <c r="L1704" s="157" t="s">
        <v>648</v>
      </c>
      <c r="M1704" s="158">
        <v>2021.0</v>
      </c>
      <c r="N1704" s="157" t="s">
        <v>649</v>
      </c>
      <c r="O1704" s="157" t="s">
        <v>650</v>
      </c>
      <c r="P1704" s="161" t="b">
        <v>0</v>
      </c>
      <c r="Q1704" s="158">
        <v>0.677168</v>
      </c>
      <c r="R1704" s="158">
        <v>0.0</v>
      </c>
      <c r="S1704" s="158">
        <v>0.677168</v>
      </c>
      <c r="T1704" s="157" t="s">
        <v>594</v>
      </c>
      <c r="U1704" s="46" t="s">
        <v>651</v>
      </c>
      <c r="V1704" s="46" t="b">
        <v>1</v>
      </c>
      <c r="W1704" s="46">
        <v>0.95</v>
      </c>
      <c r="X1704" s="46">
        <v>0.0</v>
      </c>
      <c r="Y1704" s="46" t="s">
        <v>640</v>
      </c>
      <c r="Z1704" s="46" t="b">
        <v>0</v>
      </c>
      <c r="AA1704" s="46" t="b">
        <v>0</v>
      </c>
    </row>
    <row r="1705">
      <c r="A1705" s="157" t="s">
        <v>581</v>
      </c>
      <c r="B1705" s="158">
        <v>1.0</v>
      </c>
      <c r="C1705" s="157" t="s">
        <v>642</v>
      </c>
      <c r="D1705" s="157" t="s">
        <v>643</v>
      </c>
      <c r="E1705" s="157" t="s">
        <v>644</v>
      </c>
      <c r="F1705" s="157" t="s">
        <v>5201</v>
      </c>
      <c r="G1705" s="157" t="s">
        <v>5202</v>
      </c>
      <c r="H1705" s="157"/>
      <c r="I1705" s="158">
        <v>23.0375</v>
      </c>
      <c r="J1705" s="158">
        <v>42.8442</v>
      </c>
      <c r="K1705" s="157" t="s">
        <v>5200</v>
      </c>
      <c r="L1705" s="157" t="s">
        <v>648</v>
      </c>
      <c r="M1705" s="158">
        <v>2021.0</v>
      </c>
      <c r="N1705" s="157" t="s">
        <v>649</v>
      </c>
      <c r="O1705" s="157" t="s">
        <v>650</v>
      </c>
      <c r="P1705" s="161" t="b">
        <v>0</v>
      </c>
      <c r="Q1705" s="158">
        <v>0.418558</v>
      </c>
      <c r="R1705" s="158">
        <v>0.0</v>
      </c>
      <c r="S1705" s="158">
        <v>0.418558</v>
      </c>
      <c r="T1705" s="157" t="s">
        <v>594</v>
      </c>
      <c r="U1705" s="46" t="s">
        <v>651</v>
      </c>
      <c r="V1705" s="46" t="b">
        <v>1</v>
      </c>
      <c r="W1705" s="46">
        <v>0.95</v>
      </c>
      <c r="X1705" s="46">
        <v>0.0</v>
      </c>
      <c r="Y1705" s="46" t="s">
        <v>640</v>
      </c>
      <c r="Z1705" s="46" t="b">
        <v>0</v>
      </c>
      <c r="AA1705" s="46" t="b">
        <v>0</v>
      </c>
    </row>
    <row r="1706">
      <c r="A1706" s="157" t="s">
        <v>581</v>
      </c>
      <c r="B1706" s="158">
        <v>1.0</v>
      </c>
      <c r="C1706" s="157" t="s">
        <v>642</v>
      </c>
      <c r="D1706" s="157" t="s">
        <v>643</v>
      </c>
      <c r="E1706" s="157" t="s">
        <v>644</v>
      </c>
      <c r="F1706" s="157" t="s">
        <v>5203</v>
      </c>
      <c r="G1706" s="157" t="s">
        <v>5204</v>
      </c>
      <c r="H1706" s="157"/>
      <c r="I1706" s="158">
        <v>25.90614</v>
      </c>
      <c r="J1706" s="158">
        <v>42.154472</v>
      </c>
      <c r="K1706" s="157" t="s">
        <v>5194</v>
      </c>
      <c r="L1706" s="157" t="s">
        <v>648</v>
      </c>
      <c r="M1706" s="158">
        <v>2021.0</v>
      </c>
      <c r="N1706" s="157" t="s">
        <v>649</v>
      </c>
      <c r="O1706" s="157" t="s">
        <v>650</v>
      </c>
      <c r="P1706" s="161" t="b">
        <v>0</v>
      </c>
      <c r="Q1706" s="158">
        <v>0.250241</v>
      </c>
      <c r="R1706" s="158">
        <v>0.0</v>
      </c>
      <c r="S1706" s="158">
        <v>0.250241</v>
      </c>
      <c r="T1706" s="157" t="s">
        <v>594</v>
      </c>
      <c r="U1706" s="46" t="s">
        <v>651</v>
      </c>
      <c r="V1706" s="46" t="b">
        <v>1</v>
      </c>
      <c r="W1706" s="46">
        <v>0.95</v>
      </c>
      <c r="X1706" s="46">
        <v>0.0</v>
      </c>
      <c r="Y1706" s="46" t="s">
        <v>640</v>
      </c>
      <c r="Z1706" s="46" t="b">
        <v>0</v>
      </c>
      <c r="AA1706" s="46" t="b">
        <v>0</v>
      </c>
    </row>
    <row r="1707">
      <c r="A1707" s="157" t="s">
        <v>581</v>
      </c>
      <c r="B1707" s="158">
        <v>1.0</v>
      </c>
      <c r="C1707" s="157" t="s">
        <v>642</v>
      </c>
      <c r="D1707" s="157" t="s">
        <v>643</v>
      </c>
      <c r="E1707" s="157" t="s">
        <v>644</v>
      </c>
      <c r="F1707" s="157" t="s">
        <v>5205</v>
      </c>
      <c r="G1707" s="157" t="s">
        <v>5206</v>
      </c>
      <c r="H1707" s="157"/>
      <c r="I1707" s="158">
        <v>26.0</v>
      </c>
      <c r="J1707" s="158">
        <v>43.52</v>
      </c>
      <c r="K1707" s="157" t="s">
        <v>5207</v>
      </c>
      <c r="L1707" s="157" t="s">
        <v>3646</v>
      </c>
      <c r="M1707" s="158">
        <v>2021.0</v>
      </c>
      <c r="N1707" s="157" t="s">
        <v>649</v>
      </c>
      <c r="O1707" s="157" t="s">
        <v>650</v>
      </c>
      <c r="P1707" s="161" t="b">
        <v>0</v>
      </c>
      <c r="Q1707" s="158">
        <v>0.242322</v>
      </c>
      <c r="R1707" s="158">
        <v>0.0</v>
      </c>
      <c r="S1707" s="158">
        <v>0.242322</v>
      </c>
      <c r="T1707" s="157" t="s">
        <v>594</v>
      </c>
      <c r="U1707" s="46" t="s">
        <v>651</v>
      </c>
      <c r="V1707" s="46" t="b">
        <v>1</v>
      </c>
      <c r="W1707" s="46">
        <v>0.95</v>
      </c>
      <c r="X1707" s="46">
        <v>0.0</v>
      </c>
      <c r="Y1707" s="46">
        <v>118.993407892667</v>
      </c>
      <c r="Z1707" s="46" t="b">
        <v>0</v>
      </c>
      <c r="AA1707" s="46" t="b">
        <v>0</v>
      </c>
    </row>
    <row r="1708">
      <c r="A1708" s="157" t="s">
        <v>581</v>
      </c>
      <c r="B1708" s="158">
        <v>1.0</v>
      </c>
      <c r="C1708" s="157" t="s">
        <v>642</v>
      </c>
      <c r="D1708" s="157" t="s">
        <v>643</v>
      </c>
      <c r="E1708" s="157" t="s">
        <v>644</v>
      </c>
      <c r="F1708" s="157" t="s">
        <v>5208</v>
      </c>
      <c r="G1708" s="157" t="s">
        <v>5209</v>
      </c>
      <c r="H1708" s="157"/>
      <c r="I1708" s="158">
        <v>23.28439</v>
      </c>
      <c r="J1708" s="158">
        <v>42.68682</v>
      </c>
      <c r="K1708" s="157" t="s">
        <v>5200</v>
      </c>
      <c r="L1708" s="157" t="s">
        <v>648</v>
      </c>
      <c r="M1708" s="158">
        <v>2021.0</v>
      </c>
      <c r="N1708" s="157" t="s">
        <v>649</v>
      </c>
      <c r="O1708" s="157" t="s">
        <v>650</v>
      </c>
      <c r="P1708" s="161" t="b">
        <v>0</v>
      </c>
      <c r="Q1708" s="158">
        <v>0.174516808</v>
      </c>
      <c r="R1708" s="158">
        <v>0.0</v>
      </c>
      <c r="S1708" s="158">
        <v>0.174516808</v>
      </c>
      <c r="T1708" s="157" t="s">
        <v>594</v>
      </c>
      <c r="U1708" s="46" t="s">
        <v>651</v>
      </c>
      <c r="V1708" s="46" t="b">
        <v>1</v>
      </c>
      <c r="W1708" s="46">
        <v>0.95</v>
      </c>
      <c r="X1708" s="46">
        <v>0.0</v>
      </c>
      <c r="Y1708" s="46" t="s">
        <v>640</v>
      </c>
      <c r="Z1708" s="46" t="b">
        <v>0</v>
      </c>
      <c r="AA1708" s="46" t="b">
        <v>0</v>
      </c>
    </row>
    <row r="1709">
      <c r="A1709" s="157" t="s">
        <v>581</v>
      </c>
      <c r="B1709" s="158">
        <v>1.0</v>
      </c>
      <c r="C1709" s="157" t="s">
        <v>642</v>
      </c>
      <c r="D1709" s="157" t="s">
        <v>643</v>
      </c>
      <c r="E1709" s="157" t="s">
        <v>644</v>
      </c>
      <c r="F1709" s="157" t="s">
        <v>5210</v>
      </c>
      <c r="G1709" s="157" t="s">
        <v>5211</v>
      </c>
      <c r="H1709" s="157"/>
      <c r="I1709" s="158">
        <v>23.078333</v>
      </c>
      <c r="J1709" s="158">
        <v>42.606667</v>
      </c>
      <c r="K1709" s="157" t="s">
        <v>5113</v>
      </c>
      <c r="L1709" s="157" t="s">
        <v>648</v>
      </c>
      <c r="M1709" s="158">
        <v>2021.0</v>
      </c>
      <c r="N1709" s="157" t="s">
        <v>649</v>
      </c>
      <c r="O1709" s="157" t="s">
        <v>650</v>
      </c>
      <c r="P1709" s="161" t="b">
        <v>0</v>
      </c>
      <c r="Q1709" s="158">
        <v>0.159738</v>
      </c>
      <c r="R1709" s="158">
        <v>0.0</v>
      </c>
      <c r="S1709" s="158">
        <v>0.159738</v>
      </c>
      <c r="T1709" s="157" t="s">
        <v>594</v>
      </c>
      <c r="U1709" s="46" t="s">
        <v>651</v>
      </c>
      <c r="V1709" s="46" t="b">
        <v>1</v>
      </c>
      <c r="W1709" s="46">
        <v>0.95</v>
      </c>
      <c r="X1709" s="46">
        <v>0.0</v>
      </c>
      <c r="Y1709" s="46" t="s">
        <v>640</v>
      </c>
      <c r="Z1709" s="46" t="b">
        <v>0</v>
      </c>
      <c r="AA1709" s="46" t="b">
        <v>0</v>
      </c>
    </row>
    <row r="1710">
      <c r="A1710" s="157" t="s">
        <v>581</v>
      </c>
      <c r="B1710" s="158">
        <v>1.0</v>
      </c>
      <c r="C1710" s="157" t="s">
        <v>642</v>
      </c>
      <c r="D1710" s="157" t="s">
        <v>643</v>
      </c>
      <c r="E1710" s="157" t="s">
        <v>644</v>
      </c>
      <c r="F1710" s="157" t="s">
        <v>5212</v>
      </c>
      <c r="G1710" s="157" t="s">
        <v>5213</v>
      </c>
      <c r="H1710" s="157"/>
      <c r="I1710" s="158">
        <v>24.740972</v>
      </c>
      <c r="J1710" s="158">
        <v>42.183806</v>
      </c>
      <c r="K1710" s="157" t="s">
        <v>4190</v>
      </c>
      <c r="L1710" s="157" t="s">
        <v>648</v>
      </c>
      <c r="M1710" s="158">
        <v>2021.0</v>
      </c>
      <c r="N1710" s="157" t="s">
        <v>649</v>
      </c>
      <c r="O1710" s="157" t="s">
        <v>650</v>
      </c>
      <c r="P1710" s="161" t="b">
        <v>0</v>
      </c>
      <c r="Q1710" s="158">
        <v>0.129365</v>
      </c>
      <c r="R1710" s="158">
        <v>0.0</v>
      </c>
      <c r="S1710" s="158">
        <v>0.129365</v>
      </c>
      <c r="T1710" s="157" t="s">
        <v>594</v>
      </c>
      <c r="U1710" s="46" t="s">
        <v>651</v>
      </c>
      <c r="V1710" s="46" t="b">
        <v>1</v>
      </c>
      <c r="W1710" s="46">
        <v>0.95</v>
      </c>
      <c r="X1710" s="46">
        <v>0.0</v>
      </c>
      <c r="Y1710" s="46" t="s">
        <v>640</v>
      </c>
      <c r="Z1710" s="46" t="b">
        <v>0</v>
      </c>
      <c r="AA1710" s="46" t="b">
        <v>0</v>
      </c>
    </row>
    <row r="1711">
      <c r="A1711" s="157" t="s">
        <v>578</v>
      </c>
      <c r="B1711" s="158">
        <v>1.0</v>
      </c>
      <c r="C1711" s="157" t="s">
        <v>642</v>
      </c>
      <c r="D1711" s="157" t="s">
        <v>643</v>
      </c>
      <c r="E1711" s="157" t="s">
        <v>644</v>
      </c>
      <c r="F1711" s="157" t="s">
        <v>5214</v>
      </c>
      <c r="G1711" s="157" t="s">
        <v>5215</v>
      </c>
      <c r="H1711" s="157"/>
      <c r="I1711" s="158">
        <v>33.2898</v>
      </c>
      <c r="J1711" s="158">
        <v>34.7285</v>
      </c>
      <c r="K1711" s="157" t="s">
        <v>1375</v>
      </c>
      <c r="L1711" s="157" t="s">
        <v>648</v>
      </c>
      <c r="M1711" s="158">
        <v>2022.0</v>
      </c>
      <c r="N1711" s="157" t="s">
        <v>649</v>
      </c>
      <c r="O1711" s="157" t="s">
        <v>650</v>
      </c>
      <c r="P1711" s="161" t="b">
        <v>0</v>
      </c>
      <c r="Q1711" s="158">
        <v>1.95</v>
      </c>
      <c r="R1711" s="158">
        <v>0.0</v>
      </c>
      <c r="S1711" s="158">
        <v>1.95</v>
      </c>
      <c r="T1711" s="157" t="s">
        <v>594</v>
      </c>
      <c r="U1711" s="46" t="s">
        <v>651</v>
      </c>
      <c r="V1711" s="46" t="b">
        <v>1</v>
      </c>
      <c r="W1711" s="46">
        <v>0.95</v>
      </c>
      <c r="X1711" s="46">
        <v>0.0</v>
      </c>
      <c r="Y1711" s="46" t="s">
        <v>640</v>
      </c>
      <c r="Z1711" s="46" t="b">
        <v>0</v>
      </c>
      <c r="AA1711" s="46" t="b">
        <v>0</v>
      </c>
    </row>
    <row r="1712">
      <c r="A1712" s="157" t="s">
        <v>578</v>
      </c>
      <c r="B1712" s="158">
        <v>1.0</v>
      </c>
      <c r="C1712" s="157" t="s">
        <v>642</v>
      </c>
      <c r="D1712" s="157" t="s">
        <v>643</v>
      </c>
      <c r="E1712" s="157" t="s">
        <v>644</v>
      </c>
      <c r="F1712" s="157" t="s">
        <v>5216</v>
      </c>
      <c r="G1712" s="157" t="s">
        <v>5217</v>
      </c>
      <c r="H1712" s="157"/>
      <c r="I1712" s="158">
        <v>33.7462</v>
      </c>
      <c r="J1712" s="158">
        <v>34.9801</v>
      </c>
      <c r="K1712" s="157" t="s">
        <v>1375</v>
      </c>
      <c r="L1712" s="157" t="s">
        <v>648</v>
      </c>
      <c r="M1712" s="158">
        <v>2022.0</v>
      </c>
      <c r="N1712" s="157" t="s">
        <v>649</v>
      </c>
      <c r="O1712" s="157" t="s">
        <v>650</v>
      </c>
      <c r="P1712" s="161" t="b">
        <v>0</v>
      </c>
      <c r="Q1712" s="158">
        <v>1.13</v>
      </c>
      <c r="R1712" s="158">
        <v>0.0</v>
      </c>
      <c r="S1712" s="158">
        <v>1.13</v>
      </c>
      <c r="T1712" s="157" t="s">
        <v>594</v>
      </c>
      <c r="U1712" s="46" t="s">
        <v>651</v>
      </c>
      <c r="V1712" s="46" t="b">
        <v>1</v>
      </c>
      <c r="W1712" s="46">
        <v>0.95</v>
      </c>
      <c r="X1712" s="46">
        <v>0.0</v>
      </c>
      <c r="Y1712" s="46" t="s">
        <v>640</v>
      </c>
      <c r="Z1712" s="46" t="b">
        <v>0</v>
      </c>
      <c r="AA1712" s="46" t="b">
        <v>0</v>
      </c>
    </row>
    <row r="1713">
      <c r="A1713" s="157" t="s">
        <v>565</v>
      </c>
      <c r="B1713" s="158">
        <v>1.0</v>
      </c>
      <c r="C1713" s="157" t="s">
        <v>642</v>
      </c>
      <c r="D1713" s="157" t="s">
        <v>643</v>
      </c>
      <c r="E1713" s="157" t="s">
        <v>644</v>
      </c>
      <c r="F1713" s="157" t="s">
        <v>5218</v>
      </c>
      <c r="G1713" s="157" t="s">
        <v>5219</v>
      </c>
      <c r="H1713" s="157"/>
      <c r="I1713" s="158">
        <v>13.67737464</v>
      </c>
      <c r="J1713" s="158">
        <v>50.42667116</v>
      </c>
      <c r="K1713" s="157" t="s">
        <v>5220</v>
      </c>
      <c r="L1713" s="157" t="s">
        <v>648</v>
      </c>
      <c r="M1713" s="158">
        <v>2020.0</v>
      </c>
      <c r="N1713" s="157" t="s">
        <v>649</v>
      </c>
      <c r="O1713" s="157" t="s">
        <v>650</v>
      </c>
      <c r="P1713" s="161" t="b">
        <v>0</v>
      </c>
      <c r="Q1713" s="158">
        <v>4.554399771</v>
      </c>
      <c r="R1713" s="158">
        <v>0.0</v>
      </c>
      <c r="S1713" s="158">
        <v>4.554399771</v>
      </c>
      <c r="T1713" s="157" t="s">
        <v>594</v>
      </c>
      <c r="U1713" s="46" t="s">
        <v>651</v>
      </c>
      <c r="V1713" s="46" t="b">
        <v>1</v>
      </c>
      <c r="W1713" s="46">
        <v>0.95</v>
      </c>
      <c r="X1713" s="46">
        <v>0.0</v>
      </c>
      <c r="Y1713" s="46">
        <v>28.1673061494726</v>
      </c>
      <c r="Z1713" s="46" t="b">
        <v>1</v>
      </c>
      <c r="AA1713" s="46" t="b">
        <v>1</v>
      </c>
    </row>
    <row r="1714">
      <c r="A1714" s="157" t="s">
        <v>565</v>
      </c>
      <c r="B1714" s="158">
        <v>1.0</v>
      </c>
      <c r="C1714" s="157" t="s">
        <v>642</v>
      </c>
      <c r="D1714" s="157" t="s">
        <v>643</v>
      </c>
      <c r="E1714" s="157" t="s">
        <v>644</v>
      </c>
      <c r="F1714" s="157" t="s">
        <v>5221</v>
      </c>
      <c r="G1714" s="157" t="s">
        <v>5222</v>
      </c>
      <c r="H1714" s="157"/>
      <c r="I1714" s="158">
        <v>13.33814444</v>
      </c>
      <c r="J1714" s="158">
        <v>50.38259722</v>
      </c>
      <c r="K1714" s="157" t="s">
        <v>5223</v>
      </c>
      <c r="L1714" s="157" t="s">
        <v>648</v>
      </c>
      <c r="M1714" s="158">
        <v>2020.0</v>
      </c>
      <c r="N1714" s="157" t="s">
        <v>649</v>
      </c>
      <c r="O1714" s="157" t="s">
        <v>650</v>
      </c>
      <c r="P1714" s="161" t="b">
        <v>0</v>
      </c>
      <c r="Q1714" s="158">
        <v>3.729125353</v>
      </c>
      <c r="R1714" s="158">
        <v>0.0</v>
      </c>
      <c r="S1714" s="158">
        <v>3.729125353</v>
      </c>
      <c r="T1714" s="157" t="s">
        <v>594</v>
      </c>
      <c r="U1714" s="46" t="s">
        <v>651</v>
      </c>
      <c r="V1714" s="46" t="b">
        <v>1</v>
      </c>
      <c r="W1714" s="46">
        <v>0.95</v>
      </c>
      <c r="X1714" s="46">
        <v>0.0</v>
      </c>
      <c r="Y1714" s="46">
        <v>4.97076343899313</v>
      </c>
      <c r="Z1714" s="46" t="b">
        <v>1</v>
      </c>
      <c r="AA1714" s="46" t="b">
        <v>1</v>
      </c>
    </row>
    <row r="1715">
      <c r="A1715" s="157" t="s">
        <v>565</v>
      </c>
      <c r="B1715" s="158">
        <v>1.0</v>
      </c>
      <c r="C1715" s="157" t="s">
        <v>642</v>
      </c>
      <c r="D1715" s="157" t="s">
        <v>643</v>
      </c>
      <c r="E1715" s="157" t="s">
        <v>644</v>
      </c>
      <c r="F1715" s="157" t="s">
        <v>5224</v>
      </c>
      <c r="G1715" s="157" t="s">
        <v>5225</v>
      </c>
      <c r="H1715" s="157"/>
      <c r="I1715" s="158">
        <v>13.25870278</v>
      </c>
      <c r="J1715" s="158">
        <v>50.41871111</v>
      </c>
      <c r="K1715" s="157" t="s">
        <v>5223</v>
      </c>
      <c r="L1715" s="157" t="s">
        <v>648</v>
      </c>
      <c r="M1715" s="158">
        <v>2020.0</v>
      </c>
      <c r="N1715" s="157" t="s">
        <v>649</v>
      </c>
      <c r="O1715" s="157" t="s">
        <v>650</v>
      </c>
      <c r="P1715" s="161" t="b">
        <v>0</v>
      </c>
      <c r="Q1715" s="158">
        <v>3.435525451</v>
      </c>
      <c r="R1715" s="158">
        <v>0.0</v>
      </c>
      <c r="S1715" s="158">
        <v>3.435525451</v>
      </c>
      <c r="T1715" s="157" t="s">
        <v>594</v>
      </c>
      <c r="U1715" s="46" t="s">
        <v>651</v>
      </c>
      <c r="V1715" s="46" t="b">
        <v>1</v>
      </c>
      <c r="W1715" s="46">
        <v>0.95</v>
      </c>
      <c r="X1715" s="46">
        <v>0.0</v>
      </c>
      <c r="Y1715" s="46">
        <v>1.16996528275678</v>
      </c>
      <c r="Z1715" s="46" t="b">
        <v>1</v>
      </c>
      <c r="AA1715" s="46" t="b">
        <v>1</v>
      </c>
    </row>
    <row r="1716">
      <c r="A1716" s="157" t="s">
        <v>565</v>
      </c>
      <c r="B1716" s="158">
        <v>1.0</v>
      </c>
      <c r="C1716" s="157" t="s">
        <v>642</v>
      </c>
      <c r="D1716" s="157" t="s">
        <v>643</v>
      </c>
      <c r="E1716" s="157" t="s">
        <v>644</v>
      </c>
      <c r="F1716" s="157" t="s">
        <v>5226</v>
      </c>
      <c r="G1716" s="157" t="s">
        <v>5227</v>
      </c>
      <c r="H1716" s="157"/>
      <c r="I1716" s="158">
        <v>12.69636069</v>
      </c>
      <c r="J1716" s="158">
        <v>50.25595177</v>
      </c>
      <c r="K1716" s="157" t="s">
        <v>5228</v>
      </c>
      <c r="L1716" s="157" t="s">
        <v>648</v>
      </c>
      <c r="M1716" s="158">
        <v>2020.0</v>
      </c>
      <c r="N1716" s="157" t="s">
        <v>649</v>
      </c>
      <c r="O1716" s="157" t="s">
        <v>650</v>
      </c>
      <c r="P1716" s="161" t="b">
        <v>0</v>
      </c>
      <c r="Q1716" s="158">
        <v>3.264758</v>
      </c>
      <c r="R1716" s="158">
        <v>0.0</v>
      </c>
      <c r="S1716" s="158">
        <v>3.264758</v>
      </c>
      <c r="T1716" s="157" t="s">
        <v>594</v>
      </c>
      <c r="U1716" s="46" t="s">
        <v>651</v>
      </c>
      <c r="V1716" s="46" t="b">
        <v>1</v>
      </c>
      <c r="W1716" s="46">
        <v>0.95</v>
      </c>
      <c r="X1716" s="46">
        <v>0.0</v>
      </c>
      <c r="Y1716" s="46">
        <v>39.9802695601749</v>
      </c>
      <c r="Z1716" s="46" t="b">
        <v>1</v>
      </c>
      <c r="AA1716" s="46" t="b">
        <v>1</v>
      </c>
    </row>
    <row r="1717">
      <c r="A1717" s="157" t="s">
        <v>565</v>
      </c>
      <c r="B1717" s="158">
        <v>1.0</v>
      </c>
      <c r="C1717" s="157" t="s">
        <v>642</v>
      </c>
      <c r="D1717" s="157" t="s">
        <v>643</v>
      </c>
      <c r="E1717" s="157" t="s">
        <v>644</v>
      </c>
      <c r="F1717" s="157" t="s">
        <v>5229</v>
      </c>
      <c r="G1717" s="157" t="s">
        <v>5230</v>
      </c>
      <c r="H1717" s="157"/>
      <c r="I1717" s="158">
        <v>14.41332782</v>
      </c>
      <c r="J1717" s="158">
        <v>50.41451601</v>
      </c>
      <c r="K1717" s="157" t="s">
        <v>5231</v>
      </c>
      <c r="L1717" s="157" t="s">
        <v>648</v>
      </c>
      <c r="M1717" s="158">
        <v>2020.0</v>
      </c>
      <c r="N1717" s="157" t="s">
        <v>649</v>
      </c>
      <c r="O1717" s="157" t="s">
        <v>650</v>
      </c>
      <c r="P1717" s="161" t="b">
        <v>0</v>
      </c>
      <c r="Q1717" s="158">
        <v>2.931880006</v>
      </c>
      <c r="R1717" s="158">
        <v>0.0</v>
      </c>
      <c r="S1717" s="158">
        <v>2.931880006</v>
      </c>
      <c r="T1717" s="157" t="s">
        <v>594</v>
      </c>
      <c r="U1717" s="46" t="s">
        <v>651</v>
      </c>
      <c r="V1717" s="46" t="b">
        <v>1</v>
      </c>
      <c r="W1717" s="46">
        <v>0.95</v>
      </c>
      <c r="X1717" s="46">
        <v>0.0</v>
      </c>
      <c r="Y1717" s="46">
        <v>80.0895532656765</v>
      </c>
      <c r="Z1717" s="46" t="b">
        <v>0</v>
      </c>
      <c r="AA1717" s="46" t="b">
        <v>1</v>
      </c>
    </row>
    <row r="1718">
      <c r="A1718" s="157" t="s">
        <v>565</v>
      </c>
      <c r="B1718" s="158">
        <v>1.0</v>
      </c>
      <c r="C1718" s="157" t="s">
        <v>642</v>
      </c>
      <c r="D1718" s="157" t="s">
        <v>643</v>
      </c>
      <c r="E1718" s="157" t="s">
        <v>644</v>
      </c>
      <c r="F1718" s="157" t="s">
        <v>5232</v>
      </c>
      <c r="G1718" s="157" t="s">
        <v>5233</v>
      </c>
      <c r="H1718" s="157"/>
      <c r="I1718" s="158">
        <v>13.78065556</v>
      </c>
      <c r="J1718" s="158">
        <v>50.576475</v>
      </c>
      <c r="K1718" s="157" t="s">
        <v>5234</v>
      </c>
      <c r="L1718" s="157" t="s">
        <v>648</v>
      </c>
      <c r="M1718" s="158">
        <v>2020.0</v>
      </c>
      <c r="N1718" s="157" t="s">
        <v>649</v>
      </c>
      <c r="O1718" s="157" t="s">
        <v>650</v>
      </c>
      <c r="P1718" s="161" t="b">
        <v>0</v>
      </c>
      <c r="Q1718" s="158">
        <v>2.744308902</v>
      </c>
      <c r="R1718" s="158">
        <v>0.0</v>
      </c>
      <c r="S1718" s="158">
        <v>2.744308902</v>
      </c>
      <c r="T1718" s="157" t="s">
        <v>594</v>
      </c>
      <c r="U1718" s="46" t="s">
        <v>651</v>
      </c>
      <c r="V1718" s="46" t="b">
        <v>1</v>
      </c>
      <c r="W1718" s="46">
        <v>0.95</v>
      </c>
      <c r="X1718" s="46">
        <v>0.0</v>
      </c>
      <c r="Y1718" s="46">
        <v>33.0575210325217</v>
      </c>
      <c r="Z1718" s="46" t="b">
        <v>1</v>
      </c>
      <c r="AA1718" s="46" t="b">
        <v>1</v>
      </c>
    </row>
    <row r="1719">
      <c r="A1719" s="157" t="s">
        <v>565</v>
      </c>
      <c r="B1719" s="158">
        <v>1.0</v>
      </c>
      <c r="C1719" s="157" t="s">
        <v>642</v>
      </c>
      <c r="D1719" s="157" t="s">
        <v>643</v>
      </c>
      <c r="E1719" s="157" t="s">
        <v>644</v>
      </c>
      <c r="F1719" s="157" t="s">
        <v>5235</v>
      </c>
      <c r="G1719" s="157" t="s">
        <v>5236</v>
      </c>
      <c r="H1719" s="157"/>
      <c r="I1719" s="158">
        <v>15.453</v>
      </c>
      <c r="J1719" s="158">
        <v>50.02839417</v>
      </c>
      <c r="K1719" s="157" t="s">
        <v>5237</v>
      </c>
      <c r="L1719" s="157" t="s">
        <v>648</v>
      </c>
      <c r="M1719" s="158">
        <v>2020.0</v>
      </c>
      <c r="N1719" s="157" t="s">
        <v>649</v>
      </c>
      <c r="O1719" s="157" t="s">
        <v>650</v>
      </c>
      <c r="P1719" s="161" t="b">
        <v>0</v>
      </c>
      <c r="Q1719" s="158">
        <v>2.242402097</v>
      </c>
      <c r="R1719" s="158">
        <v>0.0</v>
      </c>
      <c r="S1719" s="158">
        <v>2.242402097</v>
      </c>
      <c r="T1719" s="157" t="s">
        <v>594</v>
      </c>
      <c r="U1719" s="46" t="s">
        <v>651</v>
      </c>
      <c r="V1719" s="46" t="b">
        <v>1</v>
      </c>
      <c r="W1719" s="46">
        <v>0.95</v>
      </c>
      <c r="X1719" s="46">
        <v>0.0</v>
      </c>
      <c r="Y1719" s="46" t="s">
        <v>640</v>
      </c>
      <c r="Z1719" s="46" t="b">
        <v>0</v>
      </c>
      <c r="AA1719" s="46" t="b">
        <v>0</v>
      </c>
    </row>
    <row r="1720">
      <c r="A1720" s="157" t="s">
        <v>565</v>
      </c>
      <c r="B1720" s="158">
        <v>1.0</v>
      </c>
      <c r="C1720" s="157" t="s">
        <v>642</v>
      </c>
      <c r="D1720" s="157" t="s">
        <v>643</v>
      </c>
      <c r="E1720" s="157" t="s">
        <v>644</v>
      </c>
      <c r="F1720" s="157" t="s">
        <v>5238</v>
      </c>
      <c r="G1720" s="157" t="s">
        <v>5239</v>
      </c>
      <c r="H1720" s="157"/>
      <c r="I1720" s="158">
        <v>18.31420993</v>
      </c>
      <c r="J1720" s="158">
        <v>49.79442884</v>
      </c>
      <c r="K1720" s="157" t="s">
        <v>5119</v>
      </c>
      <c r="L1720" s="157" t="s">
        <v>648</v>
      </c>
      <c r="M1720" s="158">
        <v>2020.0</v>
      </c>
      <c r="N1720" s="157" t="s">
        <v>649</v>
      </c>
      <c r="O1720" s="157" t="s">
        <v>650</v>
      </c>
      <c r="P1720" s="161" t="b">
        <v>0</v>
      </c>
      <c r="Q1720" s="158">
        <v>1.649122</v>
      </c>
      <c r="R1720" s="158">
        <v>0.0</v>
      </c>
      <c r="S1720" s="158">
        <v>1.649122</v>
      </c>
      <c r="T1720" s="157" t="s">
        <v>594</v>
      </c>
      <c r="U1720" s="46" t="s">
        <v>651</v>
      </c>
      <c r="V1720" s="46" t="b">
        <v>1</v>
      </c>
      <c r="W1720" s="46">
        <v>0.95</v>
      </c>
      <c r="X1720" s="46">
        <v>0.0</v>
      </c>
      <c r="Y1720" s="46" t="s">
        <v>640</v>
      </c>
      <c r="Z1720" s="46" t="b">
        <v>0</v>
      </c>
      <c r="AA1720" s="46" t="b">
        <v>0</v>
      </c>
    </row>
    <row r="1721">
      <c r="A1721" s="157" t="s">
        <v>565</v>
      </c>
      <c r="B1721" s="158">
        <v>1.0</v>
      </c>
      <c r="C1721" s="157" t="s">
        <v>642</v>
      </c>
      <c r="D1721" s="157" t="s">
        <v>643</v>
      </c>
      <c r="E1721" s="157" t="s">
        <v>644</v>
      </c>
      <c r="F1721" s="157" t="s">
        <v>5240</v>
      </c>
      <c r="G1721" s="157" t="s">
        <v>5241</v>
      </c>
      <c r="H1721" s="157"/>
      <c r="I1721" s="158">
        <v>18.64454782</v>
      </c>
      <c r="J1721" s="158">
        <v>49.69528249</v>
      </c>
      <c r="K1721" s="157" t="s">
        <v>5116</v>
      </c>
      <c r="L1721" s="157" t="s">
        <v>648</v>
      </c>
      <c r="M1721" s="158">
        <v>2020.0</v>
      </c>
      <c r="N1721" s="157" t="s">
        <v>649</v>
      </c>
      <c r="O1721" s="157" t="s">
        <v>650</v>
      </c>
      <c r="P1721" s="161" t="b">
        <v>0</v>
      </c>
      <c r="Q1721" s="158">
        <v>1.545462</v>
      </c>
      <c r="R1721" s="158">
        <v>0.0</v>
      </c>
      <c r="S1721" s="158">
        <v>1.545462</v>
      </c>
      <c r="T1721" s="157" t="s">
        <v>594</v>
      </c>
      <c r="U1721" s="46" t="s">
        <v>651</v>
      </c>
      <c r="V1721" s="46" t="b">
        <v>1</v>
      </c>
      <c r="W1721" s="46">
        <v>0.95</v>
      </c>
      <c r="X1721" s="46">
        <v>0.0</v>
      </c>
      <c r="Y1721" s="46" t="s">
        <v>640</v>
      </c>
      <c r="Z1721" s="46" t="b">
        <v>0</v>
      </c>
      <c r="AA1721" s="46" t="b">
        <v>0</v>
      </c>
    </row>
    <row r="1722">
      <c r="A1722" s="157" t="s">
        <v>565</v>
      </c>
      <c r="B1722" s="158">
        <v>1.0</v>
      </c>
      <c r="C1722" s="157" t="s">
        <v>642</v>
      </c>
      <c r="D1722" s="157" t="s">
        <v>643</v>
      </c>
      <c r="E1722" s="157" t="s">
        <v>644</v>
      </c>
      <c r="F1722" s="157" t="s">
        <v>5242</v>
      </c>
      <c r="G1722" s="157" t="s">
        <v>5243</v>
      </c>
      <c r="H1722" s="157"/>
      <c r="I1722" s="158">
        <v>15.79189458</v>
      </c>
      <c r="J1722" s="158">
        <v>50.12707297</v>
      </c>
      <c r="K1722" s="157" t="s">
        <v>5244</v>
      </c>
      <c r="L1722" s="157" t="s">
        <v>648</v>
      </c>
      <c r="M1722" s="158">
        <v>2020.0</v>
      </c>
      <c r="N1722" s="157" t="s">
        <v>649</v>
      </c>
      <c r="O1722" s="157" t="s">
        <v>650</v>
      </c>
      <c r="P1722" s="161" t="b">
        <v>0</v>
      </c>
      <c r="Q1722" s="158">
        <v>1.455373</v>
      </c>
      <c r="R1722" s="158">
        <v>0.0</v>
      </c>
      <c r="S1722" s="158">
        <v>1.455373</v>
      </c>
      <c r="T1722" s="157" t="s">
        <v>594</v>
      </c>
      <c r="U1722" s="46" t="s">
        <v>651</v>
      </c>
      <c r="V1722" s="46" t="b">
        <v>1</v>
      </c>
      <c r="W1722" s="46">
        <v>0.95</v>
      </c>
      <c r="X1722" s="46">
        <v>0.0</v>
      </c>
      <c r="Y1722" s="46" t="s">
        <v>640</v>
      </c>
      <c r="Z1722" s="46" t="b">
        <v>0</v>
      </c>
      <c r="AA1722" s="46" t="b">
        <v>0</v>
      </c>
    </row>
    <row r="1723">
      <c r="A1723" s="157" t="s">
        <v>565</v>
      </c>
      <c r="B1723" s="158">
        <v>1.0</v>
      </c>
      <c r="C1723" s="157" t="s">
        <v>642</v>
      </c>
      <c r="D1723" s="157" t="s">
        <v>643</v>
      </c>
      <c r="E1723" s="157" t="s">
        <v>644</v>
      </c>
      <c r="F1723" s="157" t="s">
        <v>5245</v>
      </c>
      <c r="G1723" s="157" t="s">
        <v>5246</v>
      </c>
      <c r="H1723" s="157"/>
      <c r="I1723" s="158">
        <v>13.67677778</v>
      </c>
      <c r="J1723" s="158">
        <v>50.42935833</v>
      </c>
      <c r="K1723" s="157" t="s">
        <v>5220</v>
      </c>
      <c r="L1723" s="157" t="s">
        <v>648</v>
      </c>
      <c r="M1723" s="158">
        <v>2020.0</v>
      </c>
      <c r="N1723" s="157" t="s">
        <v>649</v>
      </c>
      <c r="O1723" s="157" t="s">
        <v>650</v>
      </c>
      <c r="P1723" s="161" t="b">
        <v>0</v>
      </c>
      <c r="Q1723" s="158">
        <v>1.25670707</v>
      </c>
      <c r="R1723" s="158">
        <v>0.0</v>
      </c>
      <c r="S1723" s="158">
        <v>1.25670707</v>
      </c>
      <c r="T1723" s="157" t="s">
        <v>594</v>
      </c>
      <c r="U1723" s="46" t="s">
        <v>651</v>
      </c>
      <c r="V1723" s="46" t="b">
        <v>1</v>
      </c>
      <c r="W1723" s="46">
        <v>0.95</v>
      </c>
      <c r="X1723" s="46">
        <v>0.0</v>
      </c>
      <c r="Y1723" s="46">
        <v>28.0831793610371</v>
      </c>
      <c r="Z1723" s="46" t="b">
        <v>1</v>
      </c>
      <c r="AA1723" s="46" t="b">
        <v>1</v>
      </c>
    </row>
    <row r="1724">
      <c r="A1724" s="157" t="s">
        <v>565</v>
      </c>
      <c r="B1724" s="158">
        <v>1.0</v>
      </c>
      <c r="C1724" s="157" t="s">
        <v>642</v>
      </c>
      <c r="D1724" s="157" t="s">
        <v>643</v>
      </c>
      <c r="E1724" s="157" t="s">
        <v>644</v>
      </c>
      <c r="F1724" s="157" t="s">
        <v>5247</v>
      </c>
      <c r="G1724" s="157" t="s">
        <v>5248</v>
      </c>
      <c r="H1724" s="157"/>
      <c r="I1724" s="158">
        <v>18.21054444</v>
      </c>
      <c r="J1724" s="158">
        <v>49.83176111</v>
      </c>
      <c r="K1724" s="157" t="s">
        <v>5249</v>
      </c>
      <c r="L1724" s="157" t="s">
        <v>648</v>
      </c>
      <c r="M1724" s="158">
        <v>2020.0</v>
      </c>
      <c r="N1724" s="157" t="s">
        <v>649</v>
      </c>
      <c r="O1724" s="157" t="s">
        <v>650</v>
      </c>
      <c r="P1724" s="161" t="b">
        <v>0</v>
      </c>
      <c r="Q1724" s="158">
        <v>0.753284806</v>
      </c>
      <c r="R1724" s="158">
        <v>0.0</v>
      </c>
      <c r="S1724" s="158">
        <v>0.753284806</v>
      </c>
      <c r="T1724" s="157" t="s">
        <v>594</v>
      </c>
      <c r="U1724" s="46" t="s">
        <v>651</v>
      </c>
      <c r="V1724" s="46" t="b">
        <v>1</v>
      </c>
      <c r="W1724" s="46">
        <v>0.95</v>
      </c>
      <c r="X1724" s="46">
        <v>0.0</v>
      </c>
      <c r="Y1724" s="46" t="s">
        <v>640</v>
      </c>
      <c r="Z1724" s="46" t="b">
        <v>0</v>
      </c>
      <c r="AA1724" s="46" t="b">
        <v>0</v>
      </c>
    </row>
    <row r="1725">
      <c r="A1725" s="157" t="s">
        <v>565</v>
      </c>
      <c r="B1725" s="158">
        <v>1.0</v>
      </c>
      <c r="C1725" s="157" t="s">
        <v>642</v>
      </c>
      <c r="D1725" s="157" t="s">
        <v>643</v>
      </c>
      <c r="E1725" s="157" t="s">
        <v>644</v>
      </c>
      <c r="F1725" s="157" t="s">
        <v>5250</v>
      </c>
      <c r="G1725" s="157" t="s">
        <v>5251</v>
      </c>
      <c r="H1725" s="157"/>
      <c r="I1725" s="158">
        <v>13.98540938</v>
      </c>
      <c r="J1725" s="158">
        <v>50.64622167</v>
      </c>
      <c r="K1725" s="157" t="s">
        <v>5252</v>
      </c>
      <c r="L1725" s="157" t="s">
        <v>648</v>
      </c>
      <c r="M1725" s="158">
        <v>2020.0</v>
      </c>
      <c r="N1725" s="157" t="s">
        <v>649</v>
      </c>
      <c r="O1725" s="157" t="s">
        <v>650</v>
      </c>
      <c r="P1725" s="161" t="b">
        <v>0</v>
      </c>
      <c r="Q1725" s="158">
        <v>0.429086769</v>
      </c>
      <c r="R1725" s="158">
        <v>0.0</v>
      </c>
      <c r="S1725" s="158">
        <v>0.429086769</v>
      </c>
      <c r="T1725" s="157" t="s">
        <v>594</v>
      </c>
      <c r="U1725" s="46" t="s">
        <v>651</v>
      </c>
      <c r="V1725" s="46" t="b">
        <v>1</v>
      </c>
      <c r="W1725" s="46">
        <v>0.95</v>
      </c>
      <c r="X1725" s="46">
        <v>0.0</v>
      </c>
      <c r="Y1725" s="46">
        <v>46.2802769510019</v>
      </c>
      <c r="Z1725" s="46" t="b">
        <v>1</v>
      </c>
      <c r="AA1725" s="46" t="b">
        <v>1</v>
      </c>
    </row>
    <row r="1726">
      <c r="A1726" s="157" t="s">
        <v>565</v>
      </c>
      <c r="B1726" s="158">
        <v>1.0</v>
      </c>
      <c r="C1726" s="157" t="s">
        <v>642</v>
      </c>
      <c r="D1726" s="157" t="s">
        <v>643</v>
      </c>
      <c r="E1726" s="157" t="s">
        <v>644</v>
      </c>
      <c r="F1726" s="157" t="s">
        <v>5253</v>
      </c>
      <c r="G1726" s="157" t="s">
        <v>5254</v>
      </c>
      <c r="H1726" s="157"/>
      <c r="I1726" s="158">
        <v>12.61021389</v>
      </c>
      <c r="J1726" s="158">
        <v>50.15217778</v>
      </c>
      <c r="K1726" s="157" t="s">
        <v>5255</v>
      </c>
      <c r="L1726" s="157" t="s">
        <v>648</v>
      </c>
      <c r="M1726" s="158">
        <v>2020.0</v>
      </c>
      <c r="N1726" s="157" t="s">
        <v>649</v>
      </c>
      <c r="O1726" s="157" t="s">
        <v>650</v>
      </c>
      <c r="P1726" s="161" t="b">
        <v>0</v>
      </c>
      <c r="Q1726" s="158">
        <v>0.415770636</v>
      </c>
      <c r="R1726" s="158">
        <v>0.0</v>
      </c>
      <c r="S1726" s="158">
        <v>0.415770636</v>
      </c>
      <c r="T1726" s="157" t="s">
        <v>594</v>
      </c>
      <c r="U1726" s="46" t="s">
        <v>651</v>
      </c>
      <c r="V1726" s="46" t="b">
        <v>1</v>
      </c>
      <c r="W1726" s="46">
        <v>0.95</v>
      </c>
      <c r="X1726" s="46">
        <v>0.0</v>
      </c>
      <c r="Y1726" s="46">
        <v>45.0384239968914</v>
      </c>
      <c r="Z1726" s="46" t="b">
        <v>1</v>
      </c>
      <c r="AA1726" s="46" t="b">
        <v>1</v>
      </c>
    </row>
    <row r="1727">
      <c r="A1727" s="157" t="s">
        <v>565</v>
      </c>
      <c r="B1727" s="158">
        <v>1.0</v>
      </c>
      <c r="C1727" s="157" t="s">
        <v>642</v>
      </c>
      <c r="D1727" s="157" t="s">
        <v>643</v>
      </c>
      <c r="E1727" s="157" t="s">
        <v>644</v>
      </c>
      <c r="F1727" s="157" t="s">
        <v>5256</v>
      </c>
      <c r="G1727" s="157" t="s">
        <v>5257</v>
      </c>
      <c r="H1727" s="157"/>
      <c r="I1727" s="158">
        <v>13.39895888</v>
      </c>
      <c r="J1727" s="158">
        <v>49.75448223</v>
      </c>
      <c r="K1727" s="157" t="s">
        <v>5258</v>
      </c>
      <c r="L1727" s="157" t="s">
        <v>648</v>
      </c>
      <c r="M1727" s="158">
        <v>2020.0</v>
      </c>
      <c r="N1727" s="157" t="s">
        <v>649</v>
      </c>
      <c r="O1727" s="157" t="s">
        <v>650</v>
      </c>
      <c r="P1727" s="161" t="b">
        <v>0</v>
      </c>
      <c r="Q1727" s="158">
        <v>0.399137</v>
      </c>
      <c r="R1727" s="158">
        <v>0.0</v>
      </c>
      <c r="S1727" s="158">
        <v>0.399137</v>
      </c>
      <c r="T1727" s="157" t="s">
        <v>594</v>
      </c>
      <c r="U1727" s="46" t="s">
        <v>651</v>
      </c>
      <c r="V1727" s="46" t="b">
        <v>1</v>
      </c>
      <c r="W1727" s="46">
        <v>0.95</v>
      </c>
      <c r="X1727" s="46">
        <v>0.0</v>
      </c>
      <c r="Y1727" s="46">
        <v>27.3500076157119</v>
      </c>
      <c r="Z1727" s="46" t="b">
        <v>1</v>
      </c>
      <c r="AA1727" s="46" t="b">
        <v>1</v>
      </c>
    </row>
    <row r="1728">
      <c r="A1728" s="157" t="s">
        <v>565</v>
      </c>
      <c r="B1728" s="158">
        <v>1.0</v>
      </c>
      <c r="C1728" s="157" t="s">
        <v>642</v>
      </c>
      <c r="D1728" s="157" t="s">
        <v>643</v>
      </c>
      <c r="E1728" s="157" t="s">
        <v>644</v>
      </c>
      <c r="F1728" s="157" t="s">
        <v>5259</v>
      </c>
      <c r="G1728" s="157" t="s">
        <v>5260</v>
      </c>
      <c r="H1728" s="157"/>
      <c r="I1728" s="158">
        <v>14.33015417</v>
      </c>
      <c r="J1728" s="158">
        <v>50.25429833</v>
      </c>
      <c r="K1728" s="157" t="s">
        <v>4487</v>
      </c>
      <c r="L1728" s="157" t="s">
        <v>648</v>
      </c>
      <c r="M1728" s="158">
        <v>2020.0</v>
      </c>
      <c r="N1728" s="157" t="s">
        <v>649</v>
      </c>
      <c r="O1728" s="157" t="s">
        <v>650</v>
      </c>
      <c r="P1728" s="161" t="b">
        <v>0</v>
      </c>
      <c r="Q1728" s="158">
        <v>0.397481082</v>
      </c>
      <c r="R1728" s="158">
        <v>0.0</v>
      </c>
      <c r="S1728" s="158">
        <v>0.397481082</v>
      </c>
      <c r="T1728" s="157" t="s">
        <v>594</v>
      </c>
      <c r="U1728" s="46" t="s">
        <v>651</v>
      </c>
      <c r="V1728" s="46" t="b">
        <v>1</v>
      </c>
      <c r="W1728" s="46">
        <v>0.95</v>
      </c>
      <c r="X1728" s="46">
        <v>0.0</v>
      </c>
      <c r="Y1728" s="46">
        <v>76.9152245905299</v>
      </c>
      <c r="Z1728" s="46" t="b">
        <v>0</v>
      </c>
      <c r="AA1728" s="46" t="b">
        <v>1</v>
      </c>
    </row>
    <row r="1729">
      <c r="A1729" s="157" t="s">
        <v>565</v>
      </c>
      <c r="B1729" s="158">
        <v>1.0</v>
      </c>
      <c r="C1729" s="157" t="s">
        <v>642</v>
      </c>
      <c r="D1729" s="157" t="s">
        <v>643</v>
      </c>
      <c r="E1729" s="157" t="s">
        <v>644</v>
      </c>
      <c r="F1729" s="157" t="s">
        <v>5261</v>
      </c>
      <c r="G1729" s="157" t="s">
        <v>5262</v>
      </c>
      <c r="H1729" s="157"/>
      <c r="I1729" s="158">
        <v>18.46560278</v>
      </c>
      <c r="J1729" s="158">
        <v>49.90636667</v>
      </c>
      <c r="K1729" s="157" t="s">
        <v>5263</v>
      </c>
      <c r="L1729" s="157" t="s">
        <v>648</v>
      </c>
      <c r="M1729" s="158">
        <v>2020.0</v>
      </c>
      <c r="N1729" s="157" t="s">
        <v>649</v>
      </c>
      <c r="O1729" s="157" t="s">
        <v>650</v>
      </c>
      <c r="P1729" s="161" t="b">
        <v>0</v>
      </c>
      <c r="Q1729" s="158">
        <v>0.376213581</v>
      </c>
      <c r="R1729" s="158">
        <v>0.0</v>
      </c>
      <c r="S1729" s="158">
        <v>0.376213581</v>
      </c>
      <c r="T1729" s="157" t="s">
        <v>594</v>
      </c>
      <c r="U1729" s="46" t="s">
        <v>651</v>
      </c>
      <c r="V1729" s="46" t="b">
        <v>1</v>
      </c>
      <c r="W1729" s="46">
        <v>0.95</v>
      </c>
      <c r="X1729" s="46">
        <v>0.0</v>
      </c>
      <c r="Y1729" s="46" t="s">
        <v>640</v>
      </c>
      <c r="Z1729" s="46" t="b">
        <v>0</v>
      </c>
      <c r="AA1729" s="46" t="b">
        <v>0</v>
      </c>
    </row>
    <row r="1730">
      <c r="A1730" s="157" t="s">
        <v>565</v>
      </c>
      <c r="B1730" s="158">
        <v>1.0</v>
      </c>
      <c r="C1730" s="157" t="s">
        <v>642</v>
      </c>
      <c r="D1730" s="157" t="s">
        <v>643</v>
      </c>
      <c r="E1730" s="157" t="s">
        <v>644</v>
      </c>
      <c r="F1730" s="157" t="s">
        <v>5264</v>
      </c>
      <c r="G1730" s="157" t="s">
        <v>5265</v>
      </c>
      <c r="H1730" s="157"/>
      <c r="I1730" s="158">
        <v>13.34546117</v>
      </c>
      <c r="J1730" s="158">
        <v>49.73952909</v>
      </c>
      <c r="K1730" s="157" t="s">
        <v>5266</v>
      </c>
      <c r="L1730" s="157" t="s">
        <v>648</v>
      </c>
      <c r="M1730" s="158">
        <v>2020.0</v>
      </c>
      <c r="N1730" s="157" t="s">
        <v>649</v>
      </c>
      <c r="O1730" s="157" t="s">
        <v>650</v>
      </c>
      <c r="P1730" s="161" t="b">
        <v>0</v>
      </c>
      <c r="Q1730" s="158">
        <v>0.365548</v>
      </c>
      <c r="R1730" s="158">
        <v>0.0</v>
      </c>
      <c r="S1730" s="158">
        <v>0.365548</v>
      </c>
      <c r="T1730" s="157" t="s">
        <v>594</v>
      </c>
      <c r="U1730" s="46" t="s">
        <v>651</v>
      </c>
      <c r="V1730" s="46" t="b">
        <v>1</v>
      </c>
      <c r="W1730" s="46">
        <v>0.95</v>
      </c>
      <c r="X1730" s="46">
        <v>0.0</v>
      </c>
      <c r="Y1730" s="46">
        <v>24.6518386413594</v>
      </c>
      <c r="Z1730" s="46" t="b">
        <v>1</v>
      </c>
      <c r="AA1730" s="46" t="b">
        <v>1</v>
      </c>
    </row>
    <row r="1731">
      <c r="A1731" s="157" t="s">
        <v>565</v>
      </c>
      <c r="B1731" s="158">
        <v>1.0</v>
      </c>
      <c r="C1731" s="157" t="s">
        <v>642</v>
      </c>
      <c r="D1731" s="157" t="s">
        <v>643</v>
      </c>
      <c r="E1731" s="157" t="s">
        <v>644</v>
      </c>
      <c r="F1731" s="157" t="s">
        <v>5267</v>
      </c>
      <c r="G1731" s="157" t="s">
        <v>5268</v>
      </c>
      <c r="H1731" s="157"/>
      <c r="I1731" s="158">
        <v>14.4855011</v>
      </c>
      <c r="J1731" s="158">
        <v>48.9673896</v>
      </c>
      <c r="K1731" s="157" t="s">
        <v>5269</v>
      </c>
      <c r="L1731" s="157" t="s">
        <v>648</v>
      </c>
      <c r="M1731" s="158">
        <v>2020.0</v>
      </c>
      <c r="N1731" s="157" t="s">
        <v>649</v>
      </c>
      <c r="O1731" s="157" t="s">
        <v>650</v>
      </c>
      <c r="P1731" s="161" t="b">
        <v>0</v>
      </c>
      <c r="Q1731" s="158">
        <v>0.28747</v>
      </c>
      <c r="R1731" s="158">
        <v>0.0</v>
      </c>
      <c r="S1731" s="158">
        <v>0.28747</v>
      </c>
      <c r="T1731" s="157" t="s">
        <v>594</v>
      </c>
      <c r="U1731" s="46" t="s">
        <v>651</v>
      </c>
      <c r="V1731" s="46" t="b">
        <v>1</v>
      </c>
      <c r="W1731" s="46">
        <v>0.95</v>
      </c>
      <c r="X1731" s="46">
        <v>0.0</v>
      </c>
      <c r="Y1731" s="46">
        <v>117.814044529846</v>
      </c>
      <c r="Z1731" s="46" t="b">
        <v>0</v>
      </c>
      <c r="AA1731" s="46" t="b">
        <v>0</v>
      </c>
    </row>
    <row r="1732">
      <c r="A1732" s="157" t="s">
        <v>565</v>
      </c>
      <c r="B1732" s="158">
        <v>1.0</v>
      </c>
      <c r="C1732" s="157" t="s">
        <v>642</v>
      </c>
      <c r="D1732" s="157" t="s">
        <v>643</v>
      </c>
      <c r="E1732" s="157" t="s">
        <v>644</v>
      </c>
      <c r="F1732" s="157" t="s">
        <v>5270</v>
      </c>
      <c r="G1732" s="157" t="s">
        <v>5271</v>
      </c>
      <c r="H1732" s="157"/>
      <c r="I1732" s="158">
        <v>16.60640497</v>
      </c>
      <c r="J1732" s="158">
        <v>49.21585934</v>
      </c>
      <c r="K1732" s="157" t="s">
        <v>5272</v>
      </c>
      <c r="L1732" s="157" t="s">
        <v>648</v>
      </c>
      <c r="M1732" s="158">
        <v>2020.0</v>
      </c>
      <c r="N1732" s="157" t="s">
        <v>649</v>
      </c>
      <c r="O1732" s="157" t="s">
        <v>650</v>
      </c>
      <c r="P1732" s="161" t="b">
        <v>0</v>
      </c>
      <c r="Q1732" s="158">
        <v>0.14801</v>
      </c>
      <c r="R1732" s="158">
        <v>0.0</v>
      </c>
      <c r="S1732" s="158">
        <v>0.14801</v>
      </c>
      <c r="T1732" s="157" t="s">
        <v>594</v>
      </c>
      <c r="U1732" s="46" t="s">
        <v>651</v>
      </c>
      <c r="V1732" s="46" t="b">
        <v>1</v>
      </c>
      <c r="W1732" s="46">
        <v>0.95</v>
      </c>
      <c r="X1732" s="46">
        <v>0.0</v>
      </c>
      <c r="Y1732" s="46" t="s">
        <v>640</v>
      </c>
      <c r="Z1732" s="46" t="b">
        <v>0</v>
      </c>
      <c r="AA1732" s="46" t="b">
        <v>0</v>
      </c>
    </row>
    <row r="1733">
      <c r="A1733" s="157" t="s">
        <v>565</v>
      </c>
      <c r="B1733" s="158">
        <v>1.0</v>
      </c>
      <c r="C1733" s="157" t="s">
        <v>642</v>
      </c>
      <c r="D1733" s="157" t="s">
        <v>643</v>
      </c>
      <c r="E1733" s="157" t="s">
        <v>644</v>
      </c>
      <c r="F1733" s="157" t="s">
        <v>5273</v>
      </c>
      <c r="G1733" s="157" t="s">
        <v>5274</v>
      </c>
      <c r="H1733" s="157"/>
      <c r="I1733" s="158">
        <v>18.27635</v>
      </c>
      <c r="J1733" s="158">
        <v>49.86115</v>
      </c>
      <c r="K1733" s="157" t="s">
        <v>3802</v>
      </c>
      <c r="L1733" s="157" t="s">
        <v>648</v>
      </c>
      <c r="M1733" s="158">
        <v>2020.0</v>
      </c>
      <c r="N1733" s="157" t="s">
        <v>649</v>
      </c>
      <c r="O1733" s="157" t="s">
        <v>650</v>
      </c>
      <c r="P1733" s="161" t="b">
        <v>0</v>
      </c>
      <c r="Q1733" s="158">
        <v>0.139341891</v>
      </c>
      <c r="R1733" s="158">
        <v>0.0</v>
      </c>
      <c r="S1733" s="158">
        <v>0.139341891</v>
      </c>
      <c r="T1733" s="157" t="s">
        <v>594</v>
      </c>
      <c r="U1733" s="46" t="s">
        <v>651</v>
      </c>
      <c r="V1733" s="46" t="b">
        <v>1</v>
      </c>
      <c r="W1733" s="46">
        <v>0.95</v>
      </c>
      <c r="X1733" s="46">
        <v>0.0</v>
      </c>
      <c r="Y1733" s="46" t="s">
        <v>640</v>
      </c>
      <c r="Z1733" s="46" t="b">
        <v>0</v>
      </c>
      <c r="AA1733" s="46" t="b">
        <v>0</v>
      </c>
    </row>
    <row r="1734">
      <c r="A1734" s="157" t="s">
        <v>565</v>
      </c>
      <c r="B1734" s="158">
        <v>1.0</v>
      </c>
      <c r="C1734" s="157" t="s">
        <v>642</v>
      </c>
      <c r="D1734" s="157" t="s">
        <v>643</v>
      </c>
      <c r="E1734" s="157" t="s">
        <v>644</v>
      </c>
      <c r="F1734" s="157" t="s">
        <v>5275</v>
      </c>
      <c r="G1734" s="157" t="s">
        <v>5276</v>
      </c>
      <c r="H1734" s="157"/>
      <c r="I1734" s="158">
        <v>14.70002942</v>
      </c>
      <c r="J1734" s="158">
        <v>49.36673727</v>
      </c>
      <c r="K1734" s="157" t="s">
        <v>5277</v>
      </c>
      <c r="L1734" s="157" t="s">
        <v>648</v>
      </c>
      <c r="M1734" s="158">
        <v>2020.0</v>
      </c>
      <c r="N1734" s="157" t="s">
        <v>649</v>
      </c>
      <c r="O1734" s="157" t="s">
        <v>650</v>
      </c>
      <c r="P1734" s="161" t="b">
        <v>0</v>
      </c>
      <c r="Q1734" s="158">
        <v>0.12548</v>
      </c>
      <c r="R1734" s="158">
        <v>0.0</v>
      </c>
      <c r="S1734" s="158">
        <v>0.12548</v>
      </c>
      <c r="T1734" s="157" t="s">
        <v>594</v>
      </c>
      <c r="U1734" s="46" t="s">
        <v>651</v>
      </c>
      <c r="V1734" s="46" t="b">
        <v>1</v>
      </c>
      <c r="W1734" s="46">
        <v>0.95</v>
      </c>
      <c r="X1734" s="46">
        <v>0.0</v>
      </c>
      <c r="Y1734" s="46">
        <v>130.848371356828</v>
      </c>
      <c r="Z1734" s="46" t="b">
        <v>0</v>
      </c>
      <c r="AA1734" s="46" t="b">
        <v>0</v>
      </c>
    </row>
    <row r="1735">
      <c r="A1735" s="157" t="s">
        <v>565</v>
      </c>
      <c r="B1735" s="158">
        <v>1.0</v>
      </c>
      <c r="C1735" s="157" t="s">
        <v>642</v>
      </c>
      <c r="D1735" s="157" t="s">
        <v>643</v>
      </c>
      <c r="E1735" s="157" t="s">
        <v>644</v>
      </c>
      <c r="F1735" s="157" t="s">
        <v>5278</v>
      </c>
      <c r="G1735" s="157" t="s">
        <v>5279</v>
      </c>
      <c r="H1735" s="157"/>
      <c r="I1735" s="158">
        <v>16.62002715</v>
      </c>
      <c r="J1735" s="158">
        <v>49.19558912</v>
      </c>
      <c r="K1735" s="157" t="s">
        <v>5280</v>
      </c>
      <c r="L1735" s="157" t="s">
        <v>648</v>
      </c>
      <c r="M1735" s="158">
        <v>2020.0</v>
      </c>
      <c r="N1735" s="157" t="s">
        <v>649</v>
      </c>
      <c r="O1735" s="157" t="s">
        <v>650</v>
      </c>
      <c r="P1735" s="161" t="b">
        <v>0</v>
      </c>
      <c r="Q1735" s="158">
        <v>0.061991</v>
      </c>
      <c r="R1735" s="158">
        <v>0.0</v>
      </c>
      <c r="S1735" s="158">
        <v>0.061991</v>
      </c>
      <c r="T1735" s="157" t="s">
        <v>594</v>
      </c>
      <c r="U1735" s="46" t="s">
        <v>651</v>
      </c>
      <c r="V1735" s="46" t="b">
        <v>0</v>
      </c>
      <c r="W1735" s="46">
        <v>0.95</v>
      </c>
      <c r="X1735" s="46">
        <v>0.0</v>
      </c>
      <c r="Y1735" s="46" t="s">
        <v>640</v>
      </c>
      <c r="Z1735" s="46" t="b">
        <v>0</v>
      </c>
      <c r="AA1735" s="46" t="b">
        <v>0</v>
      </c>
    </row>
    <row r="1736">
      <c r="A1736" s="157" t="s">
        <v>568</v>
      </c>
      <c r="B1736" s="158">
        <v>1.0</v>
      </c>
      <c r="C1736" s="157" t="s">
        <v>642</v>
      </c>
      <c r="D1736" s="157" t="s">
        <v>643</v>
      </c>
      <c r="E1736" s="157" t="s">
        <v>644</v>
      </c>
      <c r="F1736" s="157" t="s">
        <v>5281</v>
      </c>
      <c r="G1736" s="157" t="s">
        <v>5282</v>
      </c>
      <c r="H1736" s="157"/>
      <c r="I1736" s="158">
        <v>8.45534222</v>
      </c>
      <c r="J1736" s="158">
        <v>55.4563196401896</v>
      </c>
      <c r="K1736" s="157" t="s">
        <v>5283</v>
      </c>
      <c r="L1736" s="157" t="s">
        <v>648</v>
      </c>
      <c r="M1736" s="158">
        <v>2022.0</v>
      </c>
      <c r="N1736" s="157" t="s">
        <v>649</v>
      </c>
      <c r="O1736" s="157" t="s">
        <v>650</v>
      </c>
      <c r="P1736" s="161" t="b">
        <v>0</v>
      </c>
      <c r="Q1736" s="158">
        <v>1.322885</v>
      </c>
      <c r="R1736" s="158">
        <v>0.0</v>
      </c>
      <c r="S1736" s="158">
        <v>1.322885</v>
      </c>
      <c r="T1736" s="157" t="s">
        <v>594</v>
      </c>
      <c r="U1736" s="46" t="s">
        <v>651</v>
      </c>
      <c r="V1736" s="46" t="b">
        <v>1</v>
      </c>
      <c r="W1736" s="46">
        <v>0.95</v>
      </c>
      <c r="X1736" s="46">
        <v>0.0</v>
      </c>
      <c r="Y1736" s="46">
        <v>52.7993410864217</v>
      </c>
      <c r="Z1736" s="46" t="b">
        <v>0</v>
      </c>
      <c r="AA1736" s="46" t="b">
        <v>1</v>
      </c>
    </row>
    <row r="1737">
      <c r="A1737" s="157" t="s">
        <v>568</v>
      </c>
      <c r="B1737" s="158">
        <v>1.0</v>
      </c>
      <c r="C1737" s="157" t="s">
        <v>642</v>
      </c>
      <c r="D1737" s="157" t="s">
        <v>643</v>
      </c>
      <c r="E1737" s="157" t="s">
        <v>644</v>
      </c>
      <c r="F1737" s="157" t="s">
        <v>5284</v>
      </c>
      <c r="G1737" s="157" t="s">
        <v>5285</v>
      </c>
      <c r="H1737" s="157"/>
      <c r="I1737" s="158">
        <v>10.0426097376164</v>
      </c>
      <c r="J1737" s="158">
        <v>57.0725571243971</v>
      </c>
      <c r="K1737" s="157" t="s">
        <v>5286</v>
      </c>
      <c r="L1737" s="157" t="s">
        <v>648</v>
      </c>
      <c r="M1737" s="158">
        <v>2022.0</v>
      </c>
      <c r="N1737" s="157" t="s">
        <v>649</v>
      </c>
      <c r="O1737" s="157" t="s">
        <v>650</v>
      </c>
      <c r="P1737" s="161" t="b">
        <v>0</v>
      </c>
      <c r="Q1737" s="158">
        <v>0.99526493</v>
      </c>
      <c r="R1737" s="158">
        <v>0.0</v>
      </c>
      <c r="S1737" s="158">
        <v>0.99526493</v>
      </c>
      <c r="T1737" s="157" t="s">
        <v>594</v>
      </c>
      <c r="U1737" s="46" t="s">
        <v>651</v>
      </c>
      <c r="V1737" s="46" t="b">
        <v>1</v>
      </c>
      <c r="W1737" s="46">
        <v>0.95</v>
      </c>
      <c r="X1737" s="46">
        <v>0.0</v>
      </c>
      <c r="Y1737" s="164">
        <v>9.24039144425963E-8</v>
      </c>
      <c r="Z1737" s="46" t="b">
        <v>1</v>
      </c>
      <c r="AA1737" s="46" t="b">
        <v>1</v>
      </c>
    </row>
    <row r="1738">
      <c r="A1738" s="157" t="s">
        <v>568</v>
      </c>
      <c r="B1738" s="158">
        <v>1.0</v>
      </c>
      <c r="C1738" s="157" t="s">
        <v>642</v>
      </c>
      <c r="D1738" s="157" t="s">
        <v>643</v>
      </c>
      <c r="E1738" s="157" t="s">
        <v>644</v>
      </c>
      <c r="F1738" s="157" t="s">
        <v>5287</v>
      </c>
      <c r="G1738" s="157" t="s">
        <v>5288</v>
      </c>
      <c r="H1738" s="157"/>
      <c r="I1738" s="158">
        <v>10.3435359704572</v>
      </c>
      <c r="J1738" s="158">
        <v>56.2513918756196</v>
      </c>
      <c r="K1738" s="157" t="s">
        <v>5289</v>
      </c>
      <c r="L1738" s="157" t="s">
        <v>648</v>
      </c>
      <c r="M1738" s="158">
        <v>2022.0</v>
      </c>
      <c r="N1738" s="157" t="s">
        <v>649</v>
      </c>
      <c r="O1738" s="157" t="s">
        <v>650</v>
      </c>
      <c r="P1738" s="161" t="b">
        <v>0</v>
      </c>
      <c r="Q1738" s="158">
        <v>0.893934801</v>
      </c>
      <c r="R1738" s="158">
        <v>0.0</v>
      </c>
      <c r="S1738" s="158">
        <v>0.893934801</v>
      </c>
      <c r="T1738" s="157" t="s">
        <v>594</v>
      </c>
      <c r="U1738" s="46" t="s">
        <v>651</v>
      </c>
      <c r="V1738" s="46" t="b">
        <v>1</v>
      </c>
      <c r="W1738" s="46">
        <v>0.95</v>
      </c>
      <c r="X1738" s="46">
        <v>0.0</v>
      </c>
      <c r="Y1738" s="46">
        <v>38.1528090365084</v>
      </c>
      <c r="Z1738" s="46" t="b">
        <v>1</v>
      </c>
      <c r="AA1738" s="46" t="b">
        <v>1</v>
      </c>
    </row>
    <row r="1739">
      <c r="A1739" s="157" t="s">
        <v>568</v>
      </c>
      <c r="B1739" s="158">
        <v>1.0</v>
      </c>
      <c r="C1739" s="157" t="s">
        <v>642</v>
      </c>
      <c r="D1739" s="157" t="s">
        <v>643</v>
      </c>
      <c r="E1739" s="157" t="s">
        <v>644</v>
      </c>
      <c r="F1739" s="157" t="s">
        <v>5290</v>
      </c>
      <c r="G1739" s="157" t="s">
        <v>5291</v>
      </c>
      <c r="H1739" s="157"/>
      <c r="I1739" s="158">
        <v>10.4052116611815</v>
      </c>
      <c r="J1739" s="158">
        <v>55.4278210281727</v>
      </c>
      <c r="K1739" s="157" t="s">
        <v>4327</v>
      </c>
      <c r="L1739" s="157" t="s">
        <v>648</v>
      </c>
      <c r="M1739" s="158">
        <v>2022.0</v>
      </c>
      <c r="N1739" s="157" t="s">
        <v>649</v>
      </c>
      <c r="O1739" s="157" t="s">
        <v>650</v>
      </c>
      <c r="P1739" s="161" t="b">
        <v>0</v>
      </c>
      <c r="Q1739" s="158">
        <v>0.501345386</v>
      </c>
      <c r="R1739" s="158">
        <v>0.0</v>
      </c>
      <c r="S1739" s="158">
        <v>0.501345386</v>
      </c>
      <c r="T1739" s="157" t="s">
        <v>594</v>
      </c>
      <c r="U1739" s="46" t="s">
        <v>651</v>
      </c>
      <c r="V1739" s="46" t="b">
        <v>1</v>
      </c>
      <c r="W1739" s="46">
        <v>0.95</v>
      </c>
      <c r="X1739" s="46">
        <v>0.0</v>
      </c>
      <c r="Y1739" s="46">
        <v>7.31425316748166</v>
      </c>
      <c r="Z1739" s="46" t="b">
        <v>1</v>
      </c>
      <c r="AA1739" s="46" t="b">
        <v>1</v>
      </c>
    </row>
    <row r="1740">
      <c r="A1740" s="157" t="s">
        <v>568</v>
      </c>
      <c r="B1740" s="158">
        <v>1.0</v>
      </c>
      <c r="C1740" s="157" t="s">
        <v>642</v>
      </c>
      <c r="D1740" s="157" t="s">
        <v>643</v>
      </c>
      <c r="E1740" s="157" t="s">
        <v>644</v>
      </c>
      <c r="F1740" s="157" t="s">
        <v>5292</v>
      </c>
      <c r="G1740" s="157" t="s">
        <v>5293</v>
      </c>
      <c r="H1740" s="157"/>
      <c r="I1740" s="158">
        <v>5.1088522</v>
      </c>
      <c r="J1740" s="158">
        <v>55.4807992</v>
      </c>
      <c r="K1740" s="157" t="s">
        <v>5283</v>
      </c>
      <c r="L1740" s="157" t="s">
        <v>648</v>
      </c>
      <c r="M1740" s="158">
        <v>2022.0</v>
      </c>
      <c r="N1740" s="157" t="s">
        <v>649</v>
      </c>
      <c r="O1740" s="157" t="s">
        <v>650</v>
      </c>
      <c r="P1740" s="161" t="b">
        <v>0</v>
      </c>
      <c r="Q1740" s="158">
        <v>0.298</v>
      </c>
      <c r="R1740" s="158">
        <v>0.0</v>
      </c>
      <c r="S1740" s="158">
        <v>0.298</v>
      </c>
      <c r="T1740" s="157" t="s">
        <v>594</v>
      </c>
      <c r="U1740" s="46" t="s">
        <v>651</v>
      </c>
      <c r="V1740" s="46" t="b">
        <v>1</v>
      </c>
      <c r="W1740" s="46">
        <v>0.95</v>
      </c>
      <c r="X1740" s="46">
        <v>0.0</v>
      </c>
      <c r="Y1740" s="46">
        <v>50.031527744866</v>
      </c>
      <c r="Z1740" s="46" t="b">
        <v>0</v>
      </c>
      <c r="AA1740" s="46" t="b">
        <v>1</v>
      </c>
    </row>
    <row r="1741">
      <c r="A1741" s="157" t="s">
        <v>568</v>
      </c>
      <c r="B1741" s="158">
        <v>1.0</v>
      </c>
      <c r="C1741" s="157" t="s">
        <v>642</v>
      </c>
      <c r="D1741" s="157" t="s">
        <v>643</v>
      </c>
      <c r="E1741" s="157" t="s">
        <v>644</v>
      </c>
      <c r="F1741" s="157" t="s">
        <v>5294</v>
      </c>
      <c r="G1741" s="157" t="s">
        <v>5295</v>
      </c>
      <c r="H1741" s="157"/>
      <c r="I1741" s="158">
        <v>10.1580121341436</v>
      </c>
      <c r="J1741" s="158">
        <v>56.2276273295549</v>
      </c>
      <c r="K1741" s="157" t="s">
        <v>1529</v>
      </c>
      <c r="L1741" s="157" t="s">
        <v>3646</v>
      </c>
      <c r="M1741" s="158">
        <v>2022.0</v>
      </c>
      <c r="N1741" s="157" t="s">
        <v>649</v>
      </c>
      <c r="O1741" s="157" t="s">
        <v>650</v>
      </c>
      <c r="P1741" s="161" t="b">
        <v>0</v>
      </c>
      <c r="Q1741" s="158">
        <v>0.268149</v>
      </c>
      <c r="R1741" s="158">
        <v>0.0</v>
      </c>
      <c r="S1741" s="158">
        <v>0.268149</v>
      </c>
      <c r="T1741" s="157" t="s">
        <v>594</v>
      </c>
      <c r="U1741" s="46" t="s">
        <v>651</v>
      </c>
      <c r="V1741" s="46" t="b">
        <v>1</v>
      </c>
      <c r="W1741" s="46">
        <v>0.95</v>
      </c>
      <c r="X1741" s="46">
        <v>0.0</v>
      </c>
      <c r="Y1741" s="46">
        <v>29.9686016920282</v>
      </c>
      <c r="Z1741" s="46" t="b">
        <v>1</v>
      </c>
      <c r="AA1741" s="46" t="b">
        <v>1</v>
      </c>
    </row>
    <row r="1742">
      <c r="A1742" s="157" t="s">
        <v>568</v>
      </c>
      <c r="B1742" s="158">
        <v>1.0</v>
      </c>
      <c r="C1742" s="157" t="s">
        <v>642</v>
      </c>
      <c r="D1742" s="157" t="s">
        <v>643</v>
      </c>
      <c r="E1742" s="157" t="s">
        <v>644</v>
      </c>
      <c r="F1742" s="157" t="s">
        <v>5296</v>
      </c>
      <c r="G1742" s="157" t="s">
        <v>5297</v>
      </c>
      <c r="H1742" s="157"/>
      <c r="I1742" s="158">
        <v>4.76022128</v>
      </c>
      <c r="J1742" s="158">
        <v>55.5815499</v>
      </c>
      <c r="K1742" s="157" t="s">
        <v>5283</v>
      </c>
      <c r="L1742" s="157" t="s">
        <v>648</v>
      </c>
      <c r="M1742" s="158">
        <v>2022.0</v>
      </c>
      <c r="N1742" s="157" t="s">
        <v>649</v>
      </c>
      <c r="O1742" s="157" t="s">
        <v>650</v>
      </c>
      <c r="P1742" s="161" t="b">
        <v>0</v>
      </c>
      <c r="Q1742" s="158">
        <v>0.231</v>
      </c>
      <c r="R1742" s="158">
        <v>0.0</v>
      </c>
      <c r="S1742" s="158">
        <v>0.231</v>
      </c>
      <c r="T1742" s="157" t="s">
        <v>594</v>
      </c>
      <c r="U1742" s="46" t="s">
        <v>651</v>
      </c>
      <c r="V1742" s="46" t="b">
        <v>1</v>
      </c>
      <c r="W1742" s="46">
        <v>0.95</v>
      </c>
      <c r="X1742" s="46">
        <v>0.0</v>
      </c>
      <c r="Y1742" s="46">
        <v>32.7316000467004</v>
      </c>
      <c r="Z1742" s="46" t="b">
        <v>1</v>
      </c>
      <c r="AA1742" s="46" t="b">
        <v>1</v>
      </c>
    </row>
    <row r="1743">
      <c r="A1743" s="157" t="s">
        <v>568</v>
      </c>
      <c r="B1743" s="158">
        <v>1.0</v>
      </c>
      <c r="C1743" s="157" t="s">
        <v>642</v>
      </c>
      <c r="D1743" s="157" t="s">
        <v>643</v>
      </c>
      <c r="E1743" s="157" t="s">
        <v>644</v>
      </c>
      <c r="F1743" s="157" t="s">
        <v>5298</v>
      </c>
      <c r="G1743" s="157" t="s">
        <v>5299</v>
      </c>
      <c r="H1743" s="157"/>
      <c r="I1743" s="158">
        <v>12.4815277703147</v>
      </c>
      <c r="J1743" s="158">
        <v>55.6039988651181</v>
      </c>
      <c r="K1743" s="157" t="s">
        <v>4996</v>
      </c>
      <c r="L1743" s="157" t="s">
        <v>648</v>
      </c>
      <c r="M1743" s="158">
        <v>2022.0</v>
      </c>
      <c r="N1743" s="157" t="s">
        <v>649</v>
      </c>
      <c r="O1743" s="157" t="s">
        <v>650</v>
      </c>
      <c r="P1743" s="161" t="b">
        <v>0</v>
      </c>
      <c r="Q1743" s="158">
        <v>0.162358173</v>
      </c>
      <c r="R1743" s="158">
        <v>0.0</v>
      </c>
      <c r="S1743" s="158">
        <v>0.162358173</v>
      </c>
      <c r="T1743" s="157" t="s">
        <v>594</v>
      </c>
      <c r="U1743" s="46" t="s">
        <v>651</v>
      </c>
      <c r="V1743" s="46" t="b">
        <v>1</v>
      </c>
      <c r="W1743" s="46">
        <v>0.95</v>
      </c>
      <c r="X1743" s="46">
        <v>0.0</v>
      </c>
      <c r="Y1743" s="46">
        <v>8.31465695862358</v>
      </c>
      <c r="Z1743" s="46" t="b">
        <v>1</v>
      </c>
      <c r="AA1743" s="46" t="b">
        <v>1</v>
      </c>
    </row>
    <row r="1744">
      <c r="A1744" s="157" t="s">
        <v>568</v>
      </c>
      <c r="B1744" s="158">
        <v>1.0</v>
      </c>
      <c r="C1744" s="157" t="s">
        <v>642</v>
      </c>
      <c r="D1744" s="157" t="s">
        <v>643</v>
      </c>
      <c r="E1744" s="157" t="s">
        <v>644</v>
      </c>
      <c r="F1744" s="157" t="s">
        <v>5300</v>
      </c>
      <c r="G1744" s="157" t="s">
        <v>5301</v>
      </c>
      <c r="H1744" s="157"/>
      <c r="I1744" s="158">
        <v>5.03127702</v>
      </c>
      <c r="J1744" s="158">
        <v>55.53891287</v>
      </c>
      <c r="K1744" s="157" t="s">
        <v>5283</v>
      </c>
      <c r="L1744" s="157" t="s">
        <v>648</v>
      </c>
      <c r="M1744" s="158">
        <v>2022.0</v>
      </c>
      <c r="N1744" s="157" t="s">
        <v>649</v>
      </c>
      <c r="O1744" s="157" t="s">
        <v>650</v>
      </c>
      <c r="P1744" s="161" t="b">
        <v>0</v>
      </c>
      <c r="Q1744" s="158">
        <v>0.112</v>
      </c>
      <c r="R1744" s="158">
        <v>0.0</v>
      </c>
      <c r="S1744" s="158">
        <v>0.112</v>
      </c>
      <c r="T1744" s="157" t="s">
        <v>594</v>
      </c>
      <c r="U1744" s="46" t="s">
        <v>651</v>
      </c>
      <c r="V1744" s="46" t="b">
        <v>1</v>
      </c>
      <c r="W1744" s="46">
        <v>0.95</v>
      </c>
      <c r="X1744" s="46">
        <v>0.0</v>
      </c>
      <c r="Y1744" s="46">
        <v>50.1282740462519</v>
      </c>
      <c r="Z1744" s="46" t="b">
        <v>0</v>
      </c>
      <c r="AA1744" s="46" t="b">
        <v>1</v>
      </c>
    </row>
    <row r="1745">
      <c r="A1745" s="157" t="s">
        <v>568</v>
      </c>
      <c r="B1745" s="158">
        <v>1.0</v>
      </c>
      <c r="C1745" s="157" t="s">
        <v>642</v>
      </c>
      <c r="D1745" s="157" t="s">
        <v>643</v>
      </c>
      <c r="E1745" s="157" t="s">
        <v>644</v>
      </c>
      <c r="F1745" s="157" t="s">
        <v>5302</v>
      </c>
      <c r="G1745" s="157" t="s">
        <v>5303</v>
      </c>
      <c r="H1745" s="157"/>
      <c r="I1745" s="158">
        <v>9.55985867206483</v>
      </c>
      <c r="J1745" s="158">
        <v>56.2007151210932</v>
      </c>
      <c r="K1745" s="157" t="s">
        <v>5304</v>
      </c>
      <c r="L1745" s="157" t="s">
        <v>648</v>
      </c>
      <c r="M1745" s="158">
        <v>2022.0</v>
      </c>
      <c r="N1745" s="157" t="s">
        <v>649</v>
      </c>
      <c r="O1745" s="157" t="s">
        <v>650</v>
      </c>
      <c r="P1745" s="161" t="b">
        <v>0</v>
      </c>
      <c r="Q1745" s="158">
        <v>0.088553252</v>
      </c>
      <c r="R1745" s="158">
        <v>0.0</v>
      </c>
      <c r="S1745" s="158">
        <v>0.088553252</v>
      </c>
      <c r="T1745" s="157" t="s">
        <v>594</v>
      </c>
      <c r="U1745" s="46" t="s">
        <v>651</v>
      </c>
      <c r="V1745" s="46" t="b">
        <v>0</v>
      </c>
      <c r="W1745" s="46">
        <v>0.95</v>
      </c>
      <c r="X1745" s="46">
        <v>0.0</v>
      </c>
      <c r="Y1745" s="46">
        <v>0.408895052798541</v>
      </c>
      <c r="Z1745" s="46" t="b">
        <v>1</v>
      </c>
      <c r="AA1745" s="46" t="b">
        <v>1</v>
      </c>
    </row>
    <row r="1746">
      <c r="A1746" s="157" t="s">
        <v>568</v>
      </c>
      <c r="B1746" s="158">
        <v>1.0</v>
      </c>
      <c r="C1746" s="157" t="s">
        <v>642</v>
      </c>
      <c r="D1746" s="157" t="s">
        <v>643</v>
      </c>
      <c r="E1746" s="157" t="s">
        <v>644</v>
      </c>
      <c r="F1746" s="157" t="s">
        <v>5305</v>
      </c>
      <c r="G1746" s="157" t="s">
        <v>5306</v>
      </c>
      <c r="H1746" s="157"/>
      <c r="I1746" s="158">
        <v>5.00729211</v>
      </c>
      <c r="J1746" s="158">
        <v>55.53202066</v>
      </c>
      <c r="K1746" s="157" t="s">
        <v>5283</v>
      </c>
      <c r="L1746" s="157" t="s">
        <v>648</v>
      </c>
      <c r="M1746" s="158">
        <v>2022.0</v>
      </c>
      <c r="N1746" s="157" t="s">
        <v>649</v>
      </c>
      <c r="O1746" s="157" t="s">
        <v>650</v>
      </c>
      <c r="P1746" s="161" t="b">
        <v>0</v>
      </c>
      <c r="Q1746" s="158">
        <v>0.065</v>
      </c>
      <c r="R1746" s="158">
        <v>0.0</v>
      </c>
      <c r="S1746" s="158">
        <v>0.065</v>
      </c>
      <c r="T1746" s="157" t="s">
        <v>594</v>
      </c>
      <c r="U1746" s="46" t="s">
        <v>651</v>
      </c>
      <c r="V1746" s="46" t="b">
        <v>0</v>
      </c>
      <c r="W1746" s="46">
        <v>0.95</v>
      </c>
      <c r="X1746" s="46">
        <v>0.0</v>
      </c>
      <c r="Y1746" s="46">
        <v>48.6748458356011</v>
      </c>
      <c r="Z1746" s="46" t="b">
        <v>1</v>
      </c>
      <c r="AA1746" s="46" t="b">
        <v>1</v>
      </c>
    </row>
    <row r="1747">
      <c r="A1747" s="157" t="s">
        <v>568</v>
      </c>
      <c r="B1747" s="158">
        <v>1.0</v>
      </c>
      <c r="C1747" s="157" t="s">
        <v>642</v>
      </c>
      <c r="D1747" s="157" t="s">
        <v>643</v>
      </c>
      <c r="E1747" s="157" t="s">
        <v>644</v>
      </c>
      <c r="F1747" s="157" t="s">
        <v>5307</v>
      </c>
      <c r="G1747" s="157" t="s">
        <v>5308</v>
      </c>
      <c r="H1747" s="157"/>
      <c r="I1747" s="158">
        <v>9.41488862836177</v>
      </c>
      <c r="J1747" s="158">
        <v>56.4738797807563</v>
      </c>
      <c r="K1747" s="157" t="s">
        <v>5309</v>
      </c>
      <c r="L1747" s="157" t="s">
        <v>648</v>
      </c>
      <c r="M1747" s="158">
        <v>2022.0</v>
      </c>
      <c r="N1747" s="157" t="s">
        <v>649</v>
      </c>
      <c r="O1747" s="157" t="s">
        <v>650</v>
      </c>
      <c r="P1747" s="161" t="b">
        <v>0</v>
      </c>
      <c r="Q1747" s="158">
        <v>0.061540756</v>
      </c>
      <c r="R1747" s="158">
        <v>0.0</v>
      </c>
      <c r="S1747" s="158">
        <v>0.061540756</v>
      </c>
      <c r="T1747" s="157" t="s">
        <v>594</v>
      </c>
      <c r="U1747" s="46" t="s">
        <v>651</v>
      </c>
      <c r="V1747" s="46" t="b">
        <v>0</v>
      </c>
      <c r="W1747" s="46">
        <v>0.95</v>
      </c>
      <c r="X1747" s="46">
        <v>0.0</v>
      </c>
      <c r="Y1747" s="46">
        <v>23.4860192878314</v>
      </c>
      <c r="Z1747" s="46" t="b">
        <v>1</v>
      </c>
      <c r="AA1747" s="46" t="b">
        <v>1</v>
      </c>
    </row>
    <row r="1748">
      <c r="A1748" s="157" t="s">
        <v>568</v>
      </c>
      <c r="B1748" s="158">
        <v>1.0</v>
      </c>
      <c r="C1748" s="157" t="s">
        <v>642</v>
      </c>
      <c r="D1748" s="157" t="s">
        <v>643</v>
      </c>
      <c r="E1748" s="157" t="s">
        <v>644</v>
      </c>
      <c r="F1748" s="157" t="s">
        <v>5310</v>
      </c>
      <c r="G1748" s="157" t="s">
        <v>5311</v>
      </c>
      <c r="H1748" s="157"/>
      <c r="I1748" s="158">
        <v>11.8789513589375</v>
      </c>
      <c r="J1748" s="158">
        <v>55.8098045183403</v>
      </c>
      <c r="K1748" s="157" t="s">
        <v>5312</v>
      </c>
      <c r="L1748" s="157" t="s">
        <v>648</v>
      </c>
      <c r="M1748" s="158">
        <v>2022.0</v>
      </c>
      <c r="N1748" s="157" t="s">
        <v>649</v>
      </c>
      <c r="O1748" s="157" t="s">
        <v>650</v>
      </c>
      <c r="P1748" s="161" t="b">
        <v>0</v>
      </c>
      <c r="Q1748" s="158">
        <v>0.028760364</v>
      </c>
      <c r="R1748" s="158">
        <v>0.0</v>
      </c>
      <c r="S1748" s="158">
        <v>0.028760364</v>
      </c>
      <c r="T1748" s="157" t="s">
        <v>594</v>
      </c>
      <c r="U1748" s="46" t="s">
        <v>651</v>
      </c>
      <c r="V1748" s="46" t="b">
        <v>0</v>
      </c>
      <c r="W1748" s="46">
        <v>0.95</v>
      </c>
      <c r="X1748" s="46">
        <v>0.0</v>
      </c>
      <c r="Y1748" s="46">
        <v>27.3954618759729</v>
      </c>
      <c r="Z1748" s="46" t="b">
        <v>1</v>
      </c>
      <c r="AA1748" s="46" t="b">
        <v>1</v>
      </c>
    </row>
    <row r="1749">
      <c r="A1749" s="157" t="s">
        <v>568</v>
      </c>
      <c r="B1749" s="158">
        <v>1.0</v>
      </c>
      <c r="C1749" s="157" t="s">
        <v>642</v>
      </c>
      <c r="D1749" s="157" t="s">
        <v>643</v>
      </c>
      <c r="E1749" s="157" t="s">
        <v>644</v>
      </c>
      <c r="F1749" s="157" t="s">
        <v>5313</v>
      </c>
      <c r="G1749" s="157" t="s">
        <v>5314</v>
      </c>
      <c r="H1749" s="157"/>
      <c r="I1749" s="158">
        <v>12.3112114625818</v>
      </c>
      <c r="J1749" s="158">
        <v>55.9074524754179</v>
      </c>
      <c r="K1749" s="157" t="s">
        <v>5315</v>
      </c>
      <c r="L1749" s="157" t="s">
        <v>648</v>
      </c>
      <c r="M1749" s="158">
        <v>2022.0</v>
      </c>
      <c r="N1749" s="157" t="s">
        <v>649</v>
      </c>
      <c r="O1749" s="157" t="s">
        <v>650</v>
      </c>
      <c r="P1749" s="161" t="b">
        <v>0</v>
      </c>
      <c r="Q1749" s="158">
        <v>0.025177</v>
      </c>
      <c r="R1749" s="158">
        <v>0.0</v>
      </c>
      <c r="S1749" s="158">
        <v>0.025177</v>
      </c>
      <c r="T1749" s="157" t="s">
        <v>594</v>
      </c>
      <c r="U1749" s="46" t="s">
        <v>651</v>
      </c>
      <c r="V1749" s="46" t="b">
        <v>0</v>
      </c>
      <c r="W1749" s="46">
        <v>0.95</v>
      </c>
      <c r="X1749" s="46">
        <v>0.0</v>
      </c>
      <c r="Y1749" s="46">
        <v>26.8891540080615</v>
      </c>
      <c r="Z1749" s="46" t="b">
        <v>1</v>
      </c>
      <c r="AA1749" s="46" t="b">
        <v>1</v>
      </c>
    </row>
    <row r="1750">
      <c r="A1750" s="157" t="s">
        <v>568</v>
      </c>
      <c r="B1750" s="158">
        <v>1.0</v>
      </c>
      <c r="C1750" s="157" t="s">
        <v>642</v>
      </c>
      <c r="D1750" s="157" t="s">
        <v>643</v>
      </c>
      <c r="E1750" s="157" t="s">
        <v>644</v>
      </c>
      <c r="F1750" s="157" t="s">
        <v>5316</v>
      </c>
      <c r="G1750" s="157" t="s">
        <v>5317</v>
      </c>
      <c r="H1750" s="157"/>
      <c r="I1750" s="158">
        <v>14.6969535713226</v>
      </c>
      <c r="J1750" s="158">
        <v>55.0925794018651</v>
      </c>
      <c r="K1750" s="157" t="s">
        <v>5318</v>
      </c>
      <c r="L1750" s="157" t="s">
        <v>648</v>
      </c>
      <c r="M1750" s="158">
        <v>2022.0</v>
      </c>
      <c r="N1750" s="157" t="s">
        <v>649</v>
      </c>
      <c r="O1750" s="157" t="s">
        <v>650</v>
      </c>
      <c r="P1750" s="161" t="b">
        <v>0</v>
      </c>
      <c r="Q1750" s="158">
        <v>0.017246</v>
      </c>
      <c r="R1750" s="158">
        <v>0.0</v>
      </c>
      <c r="S1750" s="158">
        <v>0.017246</v>
      </c>
      <c r="T1750" s="157" t="s">
        <v>594</v>
      </c>
      <c r="U1750" s="46" t="s">
        <v>651</v>
      </c>
      <c r="V1750" s="46" t="b">
        <v>0</v>
      </c>
      <c r="W1750" s="46">
        <v>0.95</v>
      </c>
      <c r="X1750" s="46">
        <v>0.0</v>
      </c>
      <c r="Y1750" s="46" t="s">
        <v>640</v>
      </c>
      <c r="Z1750" s="46" t="b">
        <v>0</v>
      </c>
      <c r="AA1750" s="46" t="b">
        <v>0</v>
      </c>
    </row>
    <row r="1751">
      <c r="A1751" s="157" t="s">
        <v>568</v>
      </c>
      <c r="B1751" s="158">
        <v>1.0</v>
      </c>
      <c r="C1751" s="157" t="s">
        <v>642</v>
      </c>
      <c r="D1751" s="157" t="s">
        <v>643</v>
      </c>
      <c r="E1751" s="157" t="s">
        <v>644</v>
      </c>
      <c r="F1751" s="157" t="s">
        <v>5319</v>
      </c>
      <c r="G1751" s="157" t="s">
        <v>5320</v>
      </c>
      <c r="H1751" s="157"/>
      <c r="I1751" s="158">
        <v>12.5576397431265</v>
      </c>
      <c r="J1751" s="158">
        <v>55.6573555206265</v>
      </c>
      <c r="K1751" s="157" t="s">
        <v>5321</v>
      </c>
      <c r="L1751" s="157" t="s">
        <v>648</v>
      </c>
      <c r="M1751" s="158">
        <v>2022.0</v>
      </c>
      <c r="N1751" s="157" t="s">
        <v>649</v>
      </c>
      <c r="O1751" s="157" t="s">
        <v>650</v>
      </c>
      <c r="P1751" s="161" t="b">
        <v>0</v>
      </c>
      <c r="Q1751" s="158">
        <v>0.015820517</v>
      </c>
      <c r="R1751" s="158">
        <v>0.0</v>
      </c>
      <c r="S1751" s="158">
        <v>0.015820517</v>
      </c>
      <c r="T1751" s="157" t="s">
        <v>594</v>
      </c>
      <c r="U1751" s="46" t="s">
        <v>651</v>
      </c>
      <c r="V1751" s="46" t="b">
        <v>0</v>
      </c>
      <c r="W1751" s="46">
        <v>0.95</v>
      </c>
      <c r="X1751" s="46">
        <v>0.0</v>
      </c>
      <c r="Y1751" s="46">
        <v>4.8388267688286</v>
      </c>
      <c r="Z1751" s="46" t="b">
        <v>1</v>
      </c>
      <c r="AA1751" s="46" t="b">
        <v>1</v>
      </c>
    </row>
    <row r="1752">
      <c r="A1752" s="157" t="s">
        <v>568</v>
      </c>
      <c r="B1752" s="158">
        <v>1.0</v>
      </c>
      <c r="C1752" s="157" t="s">
        <v>642</v>
      </c>
      <c r="D1752" s="157" t="s">
        <v>643</v>
      </c>
      <c r="E1752" s="157" t="s">
        <v>644</v>
      </c>
      <c r="F1752" s="157" t="s">
        <v>5322</v>
      </c>
      <c r="G1752" s="157" t="s">
        <v>5323</v>
      </c>
      <c r="H1752" s="157"/>
      <c r="I1752" s="158">
        <v>12.5875466768677</v>
      </c>
      <c r="J1752" s="158">
        <v>55.7124321803388</v>
      </c>
      <c r="K1752" s="157" t="s">
        <v>5324</v>
      </c>
      <c r="L1752" s="157" t="s">
        <v>648</v>
      </c>
      <c r="M1752" s="158">
        <v>2022.0</v>
      </c>
      <c r="N1752" s="157" t="s">
        <v>649</v>
      </c>
      <c r="O1752" s="157" t="s">
        <v>650</v>
      </c>
      <c r="P1752" s="161" t="b">
        <v>0</v>
      </c>
      <c r="Q1752" s="158">
        <v>0.012391</v>
      </c>
      <c r="R1752" s="158">
        <v>0.0</v>
      </c>
      <c r="S1752" s="158">
        <v>0.012391</v>
      </c>
      <c r="T1752" s="157" t="s">
        <v>594</v>
      </c>
      <c r="U1752" s="46" t="s">
        <v>651</v>
      </c>
      <c r="V1752" s="46" t="b">
        <v>0</v>
      </c>
      <c r="W1752" s="46">
        <v>0.95</v>
      </c>
      <c r="X1752" s="46">
        <v>0.0</v>
      </c>
      <c r="Y1752" s="164">
        <v>2.68947806858436E-7</v>
      </c>
      <c r="Z1752" s="46" t="b">
        <v>1</v>
      </c>
      <c r="AA1752" s="46" t="b">
        <v>1</v>
      </c>
    </row>
    <row r="1753">
      <c r="A1753" s="157" t="s">
        <v>568</v>
      </c>
      <c r="B1753" s="158">
        <v>1.0</v>
      </c>
      <c r="C1753" s="157" t="s">
        <v>642</v>
      </c>
      <c r="D1753" s="157" t="s">
        <v>643</v>
      </c>
      <c r="E1753" s="157" t="s">
        <v>644</v>
      </c>
      <c r="F1753" s="157" t="s">
        <v>5325</v>
      </c>
      <c r="G1753" s="157" t="s">
        <v>5326</v>
      </c>
      <c r="H1753" s="157"/>
      <c r="I1753" s="158">
        <v>12.5231101925944</v>
      </c>
      <c r="J1753" s="158">
        <v>55.78489538</v>
      </c>
      <c r="K1753" s="157" t="s">
        <v>5327</v>
      </c>
      <c r="L1753" s="157" t="s">
        <v>648</v>
      </c>
      <c r="M1753" s="158">
        <v>2022.0</v>
      </c>
      <c r="N1753" s="157" t="s">
        <v>649</v>
      </c>
      <c r="O1753" s="157" t="s">
        <v>650</v>
      </c>
      <c r="P1753" s="161" t="b">
        <v>0</v>
      </c>
      <c r="Q1753" s="158">
        <v>0.011416</v>
      </c>
      <c r="R1753" s="158">
        <v>0.0</v>
      </c>
      <c r="S1753" s="158">
        <v>0.011416</v>
      </c>
      <c r="T1753" s="157" t="s">
        <v>594</v>
      </c>
      <c r="U1753" s="46" t="s">
        <v>651</v>
      </c>
      <c r="V1753" s="46" t="b">
        <v>0</v>
      </c>
      <c r="W1753" s="46">
        <v>0.95</v>
      </c>
      <c r="X1753" s="46">
        <v>0.0</v>
      </c>
      <c r="Y1753" s="46">
        <v>9.01503126687409</v>
      </c>
      <c r="Z1753" s="46" t="b">
        <v>1</v>
      </c>
      <c r="AA1753" s="46" t="b">
        <v>1</v>
      </c>
    </row>
    <row r="1754">
      <c r="A1754" s="157" t="s">
        <v>568</v>
      </c>
      <c r="B1754" s="158">
        <v>1.0</v>
      </c>
      <c r="C1754" s="157" t="s">
        <v>642</v>
      </c>
      <c r="D1754" s="157" t="s">
        <v>643</v>
      </c>
      <c r="E1754" s="157" t="s">
        <v>644</v>
      </c>
      <c r="F1754" s="157" t="s">
        <v>5328</v>
      </c>
      <c r="G1754" s="157" t="s">
        <v>5329</v>
      </c>
      <c r="H1754" s="157"/>
      <c r="I1754" s="158">
        <v>9.952268447</v>
      </c>
      <c r="J1754" s="158">
        <v>57.072005052473</v>
      </c>
      <c r="K1754" s="157" t="s">
        <v>5330</v>
      </c>
      <c r="L1754" s="157" t="s">
        <v>648</v>
      </c>
      <c r="M1754" s="158">
        <v>2022.0</v>
      </c>
      <c r="N1754" s="157" t="s">
        <v>649</v>
      </c>
      <c r="O1754" s="157" t="s">
        <v>650</v>
      </c>
      <c r="P1754" s="161" t="b">
        <v>0</v>
      </c>
      <c r="Q1754" s="158">
        <v>0.010372206</v>
      </c>
      <c r="R1754" s="158">
        <v>0.0</v>
      </c>
      <c r="S1754" s="158">
        <v>0.010372206</v>
      </c>
      <c r="T1754" s="157" t="s">
        <v>594</v>
      </c>
      <c r="U1754" s="46" t="s">
        <v>651</v>
      </c>
      <c r="V1754" s="46" t="b">
        <v>0</v>
      </c>
      <c r="W1754" s="46">
        <v>0.95</v>
      </c>
      <c r="X1754" s="46">
        <v>0.0</v>
      </c>
      <c r="Y1754" s="46">
        <v>5.47798755788159</v>
      </c>
      <c r="Z1754" s="46" t="b">
        <v>1</v>
      </c>
      <c r="AA1754" s="46" t="b">
        <v>1</v>
      </c>
    </row>
    <row r="1755">
      <c r="A1755" s="157" t="s">
        <v>568</v>
      </c>
      <c r="B1755" s="158">
        <v>1.0</v>
      </c>
      <c r="C1755" s="157" t="s">
        <v>642</v>
      </c>
      <c r="D1755" s="157" t="s">
        <v>643</v>
      </c>
      <c r="E1755" s="157" t="s">
        <v>644</v>
      </c>
      <c r="F1755" s="157" t="s">
        <v>5331</v>
      </c>
      <c r="G1755" s="157" t="s">
        <v>5332</v>
      </c>
      <c r="H1755" s="157"/>
      <c r="I1755" s="158">
        <v>9.61816228428842</v>
      </c>
      <c r="J1755" s="158">
        <v>55.5125263253121</v>
      </c>
      <c r="K1755" s="157" t="s">
        <v>3924</v>
      </c>
      <c r="L1755" s="157" t="s">
        <v>648</v>
      </c>
      <c r="M1755" s="158">
        <v>2022.0</v>
      </c>
      <c r="N1755" s="157" t="s">
        <v>649</v>
      </c>
      <c r="O1755" s="157" t="s">
        <v>650</v>
      </c>
      <c r="P1755" s="161" t="b">
        <v>0</v>
      </c>
      <c r="Q1755" s="158">
        <v>0.009500277</v>
      </c>
      <c r="R1755" s="158">
        <v>0.0</v>
      </c>
      <c r="S1755" s="158">
        <v>0.009500277</v>
      </c>
      <c r="T1755" s="157" t="s">
        <v>594</v>
      </c>
      <c r="U1755" s="46" t="s">
        <v>651</v>
      </c>
      <c r="V1755" s="46" t="b">
        <v>0</v>
      </c>
      <c r="W1755" s="46">
        <v>0.95</v>
      </c>
      <c r="X1755" s="46">
        <v>0.0</v>
      </c>
      <c r="Y1755" s="46">
        <v>17.7879485440159</v>
      </c>
      <c r="Z1755" s="46" t="b">
        <v>1</v>
      </c>
      <c r="AA1755" s="46" t="b">
        <v>1</v>
      </c>
    </row>
    <row r="1756">
      <c r="A1756" s="157" t="s">
        <v>568</v>
      </c>
      <c r="B1756" s="158">
        <v>1.0</v>
      </c>
      <c r="C1756" s="157" t="s">
        <v>642</v>
      </c>
      <c r="D1756" s="157" t="s">
        <v>643</v>
      </c>
      <c r="E1756" s="157" t="s">
        <v>644</v>
      </c>
      <c r="F1756" s="157" t="s">
        <v>5333</v>
      </c>
      <c r="G1756" s="157" t="s">
        <v>5303</v>
      </c>
      <c r="H1756" s="157"/>
      <c r="I1756" s="158">
        <v>9.55689420241627</v>
      </c>
      <c r="J1756" s="158">
        <v>56.1819976587143</v>
      </c>
      <c r="K1756" s="157" t="s">
        <v>5304</v>
      </c>
      <c r="L1756" s="157" t="s">
        <v>648</v>
      </c>
      <c r="M1756" s="158">
        <v>2022.0</v>
      </c>
      <c r="N1756" s="157" t="s">
        <v>649</v>
      </c>
      <c r="O1756" s="157" t="s">
        <v>650</v>
      </c>
      <c r="P1756" s="161" t="b">
        <v>0</v>
      </c>
      <c r="Q1756" s="158">
        <v>0.008966332</v>
      </c>
      <c r="R1756" s="158">
        <v>0.0</v>
      </c>
      <c r="S1756" s="158">
        <v>0.008966332</v>
      </c>
      <c r="T1756" s="157" t="s">
        <v>594</v>
      </c>
      <c r="U1756" s="46" t="s">
        <v>651</v>
      </c>
      <c r="V1756" s="46" t="b">
        <v>0</v>
      </c>
      <c r="W1756" s="46">
        <v>0.95</v>
      </c>
      <c r="X1756" s="46">
        <v>0.0</v>
      </c>
      <c r="Y1756" s="46">
        <v>1.37493829954669</v>
      </c>
      <c r="Z1756" s="46" t="b">
        <v>1</v>
      </c>
      <c r="AA1756" s="46" t="b">
        <v>1</v>
      </c>
    </row>
    <row r="1757">
      <c r="A1757" s="157" t="s">
        <v>568</v>
      </c>
      <c r="B1757" s="158">
        <v>1.0</v>
      </c>
      <c r="C1757" s="157" t="s">
        <v>642</v>
      </c>
      <c r="D1757" s="157" t="s">
        <v>643</v>
      </c>
      <c r="E1757" s="157" t="s">
        <v>644</v>
      </c>
      <c r="F1757" s="157" t="s">
        <v>5334</v>
      </c>
      <c r="G1757" s="157" t="s">
        <v>5335</v>
      </c>
      <c r="H1757" s="157"/>
      <c r="I1757" s="158">
        <v>9.94932453511674</v>
      </c>
      <c r="J1757" s="158">
        <v>57.0470938158833</v>
      </c>
      <c r="K1757" s="157" t="s">
        <v>5336</v>
      </c>
      <c r="L1757" s="157" t="s">
        <v>648</v>
      </c>
      <c r="M1757" s="158">
        <v>2022.0</v>
      </c>
      <c r="N1757" s="157" t="s">
        <v>649</v>
      </c>
      <c r="O1757" s="157" t="s">
        <v>650</v>
      </c>
      <c r="P1757" s="161" t="b">
        <v>0</v>
      </c>
      <c r="Q1757" s="158">
        <v>0.00783431</v>
      </c>
      <c r="R1757" s="158">
        <v>0.0</v>
      </c>
      <c r="S1757" s="158">
        <v>0.00783431</v>
      </c>
      <c r="T1757" s="157" t="s">
        <v>594</v>
      </c>
      <c r="U1757" s="46" t="s">
        <v>651</v>
      </c>
      <c r="V1757" s="46" t="b">
        <v>0</v>
      </c>
      <c r="W1757" s="46">
        <v>0.95</v>
      </c>
      <c r="X1757" s="46">
        <v>0.0</v>
      </c>
      <c r="Y1757" s="46">
        <v>6.06471710966206</v>
      </c>
      <c r="Z1757" s="46" t="b">
        <v>1</v>
      </c>
      <c r="AA1757" s="46" t="b">
        <v>1</v>
      </c>
    </row>
    <row r="1758">
      <c r="A1758" s="157" t="s">
        <v>568</v>
      </c>
      <c r="B1758" s="158">
        <v>1.0</v>
      </c>
      <c r="C1758" s="157" t="s">
        <v>642</v>
      </c>
      <c r="D1758" s="157" t="s">
        <v>643</v>
      </c>
      <c r="E1758" s="157" t="s">
        <v>644</v>
      </c>
      <c r="F1758" s="157" t="s">
        <v>5337</v>
      </c>
      <c r="G1758" s="157" t="s">
        <v>5338</v>
      </c>
      <c r="H1758" s="157"/>
      <c r="I1758" s="158">
        <v>11.0796100196811</v>
      </c>
      <c r="J1758" s="158">
        <v>55.6597247272186</v>
      </c>
      <c r="K1758" s="157" t="s">
        <v>4493</v>
      </c>
      <c r="L1758" s="157" t="s">
        <v>3646</v>
      </c>
      <c r="M1758" s="158">
        <v>2022.0</v>
      </c>
      <c r="N1758" s="157" t="s">
        <v>649</v>
      </c>
      <c r="O1758" s="157" t="s">
        <v>650</v>
      </c>
      <c r="P1758" s="161" t="b">
        <v>0</v>
      </c>
      <c r="Q1758" s="158">
        <v>0.005849114</v>
      </c>
      <c r="R1758" s="158">
        <v>0.0</v>
      </c>
      <c r="S1758" s="158">
        <v>0.005849114</v>
      </c>
      <c r="T1758" s="157" t="s">
        <v>594</v>
      </c>
      <c r="U1758" s="46" t="s">
        <v>651</v>
      </c>
      <c r="V1758" s="46" t="b">
        <v>0</v>
      </c>
      <c r="W1758" s="46">
        <v>0.95</v>
      </c>
      <c r="X1758" s="46">
        <v>0.0</v>
      </c>
      <c r="Y1758" s="46">
        <v>26.5013572356271</v>
      </c>
      <c r="Z1758" s="46" t="b">
        <v>1</v>
      </c>
      <c r="AA1758" s="46" t="b">
        <v>1</v>
      </c>
    </row>
    <row r="1759">
      <c r="A1759" s="157" t="s">
        <v>568</v>
      </c>
      <c r="B1759" s="158">
        <v>1.0</v>
      </c>
      <c r="C1759" s="157" t="s">
        <v>642</v>
      </c>
      <c r="D1759" s="157" t="s">
        <v>643</v>
      </c>
      <c r="E1759" s="157" t="s">
        <v>644</v>
      </c>
      <c r="F1759" s="157" t="s">
        <v>5339</v>
      </c>
      <c r="G1759" s="157" t="s">
        <v>5340</v>
      </c>
      <c r="H1759" s="157"/>
      <c r="I1759" s="158">
        <v>9.94731053593146</v>
      </c>
      <c r="J1759" s="158">
        <v>57.030901958585</v>
      </c>
      <c r="K1759" s="157" t="s">
        <v>5336</v>
      </c>
      <c r="L1759" s="157" t="s">
        <v>648</v>
      </c>
      <c r="M1759" s="158">
        <v>2022.0</v>
      </c>
      <c r="N1759" s="157" t="s">
        <v>649</v>
      </c>
      <c r="O1759" s="157" t="s">
        <v>650</v>
      </c>
      <c r="P1759" s="161" t="b">
        <v>0</v>
      </c>
      <c r="Q1759" s="158">
        <v>0.004535279</v>
      </c>
      <c r="R1759" s="158">
        <v>0.0</v>
      </c>
      <c r="S1759" s="158">
        <v>0.004535279</v>
      </c>
      <c r="T1759" s="157" t="s">
        <v>594</v>
      </c>
      <c r="U1759" s="46" t="s">
        <v>651</v>
      </c>
      <c r="V1759" s="46" t="b">
        <v>0</v>
      </c>
      <c r="W1759" s="46">
        <v>0.95</v>
      </c>
      <c r="X1759" s="46">
        <v>0.0</v>
      </c>
      <c r="Y1759" s="46">
        <v>6.4997153853616</v>
      </c>
      <c r="Z1759" s="46" t="b">
        <v>1</v>
      </c>
      <c r="AA1759" s="46" t="b">
        <v>1</v>
      </c>
    </row>
    <row r="1760">
      <c r="A1760" s="157" t="s">
        <v>568</v>
      </c>
      <c r="B1760" s="158">
        <v>1.0</v>
      </c>
      <c r="C1760" s="157" t="s">
        <v>642</v>
      </c>
      <c r="D1760" s="157" t="s">
        <v>643</v>
      </c>
      <c r="E1760" s="157" t="s">
        <v>644</v>
      </c>
      <c r="F1760" s="157" t="s">
        <v>5341</v>
      </c>
      <c r="G1760" s="157" t="s">
        <v>5342</v>
      </c>
      <c r="H1760" s="157"/>
      <c r="I1760" s="158">
        <v>4.27355939</v>
      </c>
      <c r="J1760" s="158">
        <v>56.34715957</v>
      </c>
      <c r="K1760" s="157" t="s">
        <v>5283</v>
      </c>
      <c r="L1760" s="157" t="s">
        <v>648</v>
      </c>
      <c r="M1760" s="158">
        <v>2022.0</v>
      </c>
      <c r="N1760" s="157" t="s">
        <v>649</v>
      </c>
      <c r="O1760" s="157" t="s">
        <v>650</v>
      </c>
      <c r="P1760" s="161" t="b">
        <v>0</v>
      </c>
      <c r="Q1760" s="158">
        <v>0.003</v>
      </c>
      <c r="R1760" s="158">
        <v>0.0</v>
      </c>
      <c r="S1760" s="158">
        <v>0.003</v>
      </c>
      <c r="T1760" s="157" t="s">
        <v>594</v>
      </c>
      <c r="U1760" s="46" t="s">
        <v>651</v>
      </c>
      <c r="V1760" s="46" t="b">
        <v>0</v>
      </c>
      <c r="W1760" s="46">
        <v>0.95</v>
      </c>
      <c r="X1760" s="46">
        <v>0.0</v>
      </c>
      <c r="Y1760" s="46">
        <v>3.25834995024716</v>
      </c>
      <c r="Z1760" s="46" t="b">
        <v>1</v>
      </c>
      <c r="AA1760" s="46" t="b">
        <v>1</v>
      </c>
    </row>
    <row r="1761">
      <c r="A1761" s="157" t="s">
        <v>568</v>
      </c>
      <c r="B1761" s="158">
        <v>1.0</v>
      </c>
      <c r="C1761" s="157" t="s">
        <v>642</v>
      </c>
      <c r="D1761" s="157" t="s">
        <v>643</v>
      </c>
      <c r="E1761" s="157" t="s">
        <v>644</v>
      </c>
      <c r="F1761" s="157" t="s">
        <v>5343</v>
      </c>
      <c r="G1761" s="157" t="s">
        <v>5344</v>
      </c>
      <c r="H1761" s="157"/>
      <c r="I1761" s="158">
        <v>10.0473999109711</v>
      </c>
      <c r="J1761" s="158">
        <v>56.4580142522148</v>
      </c>
      <c r="K1761" s="157" t="s">
        <v>5345</v>
      </c>
      <c r="L1761" s="157" t="s">
        <v>648</v>
      </c>
      <c r="M1761" s="158">
        <v>2022.0</v>
      </c>
      <c r="N1761" s="157" t="s">
        <v>649</v>
      </c>
      <c r="O1761" s="157" t="s">
        <v>650</v>
      </c>
      <c r="P1761" s="161" t="b">
        <v>0</v>
      </c>
      <c r="Q1761" s="158">
        <v>0.001577211</v>
      </c>
      <c r="R1761" s="158">
        <v>0.0</v>
      </c>
      <c r="S1761" s="158">
        <v>0.001577211</v>
      </c>
      <c r="T1761" s="157" t="s">
        <v>594</v>
      </c>
      <c r="U1761" s="46" t="s">
        <v>651</v>
      </c>
      <c r="V1761" s="46" t="b">
        <v>0</v>
      </c>
      <c r="W1761" s="46">
        <v>0.95</v>
      </c>
      <c r="X1761" s="46">
        <v>0.0</v>
      </c>
      <c r="Y1761" s="46">
        <v>10.2635691615733</v>
      </c>
      <c r="Z1761" s="46" t="b">
        <v>1</v>
      </c>
      <c r="AA1761" s="46" t="b">
        <v>1</v>
      </c>
    </row>
    <row r="1762">
      <c r="A1762" s="157" t="s">
        <v>568</v>
      </c>
      <c r="B1762" s="158">
        <v>1.0</v>
      </c>
      <c r="C1762" s="157" t="s">
        <v>642</v>
      </c>
      <c r="D1762" s="157" t="s">
        <v>643</v>
      </c>
      <c r="E1762" s="157" t="s">
        <v>644</v>
      </c>
      <c r="F1762" s="157" t="s">
        <v>5346</v>
      </c>
      <c r="G1762" s="157" t="s">
        <v>5347</v>
      </c>
      <c r="H1762" s="157"/>
      <c r="I1762" s="158">
        <v>10.0187490624934</v>
      </c>
      <c r="J1762" s="158">
        <v>57.02713282</v>
      </c>
      <c r="K1762" s="157" t="s">
        <v>3667</v>
      </c>
      <c r="L1762" s="157" t="s">
        <v>648</v>
      </c>
      <c r="M1762" s="158">
        <v>2022.0</v>
      </c>
      <c r="N1762" s="157" t="s">
        <v>649</v>
      </c>
      <c r="O1762" s="157" t="s">
        <v>650</v>
      </c>
      <c r="P1762" s="161" t="b">
        <v>0</v>
      </c>
      <c r="Q1762" s="158">
        <v>2.8609E-4</v>
      </c>
      <c r="R1762" s="158">
        <v>0.0</v>
      </c>
      <c r="S1762" s="158">
        <v>2.8609E-4</v>
      </c>
      <c r="T1762" s="157" t="s">
        <v>594</v>
      </c>
      <c r="U1762" s="46" t="s">
        <v>651</v>
      </c>
      <c r="V1762" s="46" t="b">
        <v>0</v>
      </c>
      <c r="W1762" s="46">
        <v>0.95</v>
      </c>
      <c r="X1762" s="46">
        <v>0.0</v>
      </c>
      <c r="Y1762" s="46">
        <v>2.30240318220566</v>
      </c>
      <c r="Z1762" s="46" t="b">
        <v>1</v>
      </c>
      <c r="AA1762" s="46" t="b">
        <v>1</v>
      </c>
    </row>
    <row r="1763">
      <c r="A1763" s="157" t="s">
        <v>568</v>
      </c>
      <c r="B1763" s="158">
        <v>1.0</v>
      </c>
      <c r="C1763" s="157" t="s">
        <v>642</v>
      </c>
      <c r="D1763" s="157" t="s">
        <v>643</v>
      </c>
      <c r="E1763" s="157" t="s">
        <v>644</v>
      </c>
      <c r="F1763" s="157" t="s">
        <v>5348</v>
      </c>
      <c r="G1763" s="157" t="s">
        <v>5349</v>
      </c>
      <c r="H1763" s="157"/>
      <c r="I1763" s="158">
        <v>4.80320236</v>
      </c>
      <c r="J1763" s="158">
        <v>55.72320351</v>
      </c>
      <c r="K1763" s="157" t="s">
        <v>5283</v>
      </c>
      <c r="L1763" s="157" t="s">
        <v>648</v>
      </c>
      <c r="M1763" s="158">
        <v>2022.0</v>
      </c>
      <c r="N1763" s="157" t="s">
        <v>649</v>
      </c>
      <c r="O1763" s="157" t="s">
        <v>650</v>
      </c>
      <c r="P1763" s="161" t="b">
        <v>0</v>
      </c>
      <c r="Q1763" s="158">
        <v>0.0</v>
      </c>
      <c r="R1763" s="158">
        <v>0.0</v>
      </c>
      <c r="S1763" s="158">
        <v>0.0</v>
      </c>
      <c r="T1763" s="157" t="s">
        <v>594</v>
      </c>
      <c r="U1763" s="46" t="s">
        <v>651</v>
      </c>
      <c r="V1763" s="46" t="b">
        <v>0</v>
      </c>
      <c r="W1763" s="46">
        <v>0.95</v>
      </c>
      <c r="X1763" s="46">
        <v>0.0</v>
      </c>
      <c r="Y1763" s="46">
        <v>34.3212479434282</v>
      </c>
      <c r="Z1763" s="46" t="b">
        <v>1</v>
      </c>
      <c r="AA1763" s="46" t="b">
        <v>1</v>
      </c>
    </row>
    <row r="1764">
      <c r="A1764" s="157" t="s">
        <v>573</v>
      </c>
      <c r="B1764" s="158">
        <v>1.0</v>
      </c>
      <c r="C1764" s="157" t="s">
        <v>642</v>
      </c>
      <c r="D1764" s="157" t="s">
        <v>643</v>
      </c>
      <c r="E1764" s="157" t="s">
        <v>644</v>
      </c>
      <c r="F1764" s="157" t="s">
        <v>5350</v>
      </c>
      <c r="G1764" s="157" t="s">
        <v>5351</v>
      </c>
      <c r="H1764" s="157"/>
      <c r="I1764" s="158">
        <v>27.90123021</v>
      </c>
      <c r="J1764" s="158">
        <v>59.27437538</v>
      </c>
      <c r="K1764" s="157" t="s">
        <v>983</v>
      </c>
      <c r="L1764" s="157" t="s">
        <v>648</v>
      </c>
      <c r="M1764" s="158">
        <v>2022.0</v>
      </c>
      <c r="N1764" s="157" t="s">
        <v>649</v>
      </c>
      <c r="O1764" s="157" t="s">
        <v>650</v>
      </c>
      <c r="P1764" s="161" t="b">
        <v>0</v>
      </c>
      <c r="Q1764" s="158">
        <v>3.85</v>
      </c>
      <c r="R1764" s="158">
        <v>0.0</v>
      </c>
      <c r="S1764" s="158">
        <v>3.85</v>
      </c>
      <c r="T1764" s="157" t="s">
        <v>594</v>
      </c>
      <c r="U1764" s="46" t="s">
        <v>651</v>
      </c>
      <c r="V1764" s="46" t="b">
        <v>1</v>
      </c>
      <c r="W1764" s="46">
        <v>0.95</v>
      </c>
      <c r="X1764" s="46">
        <v>0.0</v>
      </c>
      <c r="Y1764" s="46" t="s">
        <v>640</v>
      </c>
      <c r="Z1764" s="46" t="b">
        <v>0</v>
      </c>
      <c r="AA1764" s="46" t="b">
        <v>0</v>
      </c>
    </row>
    <row r="1765">
      <c r="A1765" s="157" t="s">
        <v>573</v>
      </c>
      <c r="B1765" s="158">
        <v>1.0</v>
      </c>
      <c r="C1765" s="157" t="s">
        <v>642</v>
      </c>
      <c r="D1765" s="157" t="s">
        <v>643</v>
      </c>
      <c r="E1765" s="157" t="s">
        <v>644</v>
      </c>
      <c r="F1765" s="157" t="s">
        <v>5352</v>
      </c>
      <c r="G1765" s="157" t="s">
        <v>5353</v>
      </c>
      <c r="H1765" s="157"/>
      <c r="I1765" s="158">
        <v>27.2415407</v>
      </c>
      <c r="J1765" s="158">
        <v>59.3949971</v>
      </c>
      <c r="K1765" s="157" t="s">
        <v>4146</v>
      </c>
      <c r="L1765" s="157" t="s">
        <v>648</v>
      </c>
      <c r="M1765" s="158">
        <v>2022.0</v>
      </c>
      <c r="N1765" s="157" t="s">
        <v>649</v>
      </c>
      <c r="O1765" s="157" t="s">
        <v>650</v>
      </c>
      <c r="P1765" s="161" t="b">
        <v>0</v>
      </c>
      <c r="Q1765" s="158">
        <v>0.56</v>
      </c>
      <c r="R1765" s="158">
        <v>0.0</v>
      </c>
      <c r="S1765" s="158">
        <v>0.56</v>
      </c>
      <c r="T1765" s="157" t="s">
        <v>594</v>
      </c>
      <c r="U1765" s="46" t="s">
        <v>651</v>
      </c>
      <c r="V1765" s="46" t="b">
        <v>1</v>
      </c>
      <c r="W1765" s="46">
        <v>0.95</v>
      </c>
      <c r="X1765" s="46">
        <v>0.0</v>
      </c>
      <c r="Y1765" s="46" t="s">
        <v>640</v>
      </c>
      <c r="Z1765" s="46" t="b">
        <v>0</v>
      </c>
      <c r="AA1765" s="46" t="b">
        <v>0</v>
      </c>
    </row>
    <row r="1766">
      <c r="A1766" s="157" t="s">
        <v>573</v>
      </c>
      <c r="B1766" s="158">
        <v>1.0</v>
      </c>
      <c r="C1766" s="157" t="s">
        <v>642</v>
      </c>
      <c r="D1766" s="157" t="s">
        <v>643</v>
      </c>
      <c r="E1766" s="157" t="s">
        <v>644</v>
      </c>
      <c r="F1766" s="157" t="s">
        <v>5354</v>
      </c>
      <c r="G1766" s="157" t="s">
        <v>5355</v>
      </c>
      <c r="H1766" s="157"/>
      <c r="I1766" s="158">
        <v>24.92582896</v>
      </c>
      <c r="J1766" s="158">
        <v>59.45196817</v>
      </c>
      <c r="K1766" s="157" t="s">
        <v>5356</v>
      </c>
      <c r="L1766" s="157" t="s">
        <v>648</v>
      </c>
      <c r="M1766" s="158">
        <v>2022.0</v>
      </c>
      <c r="N1766" s="157" t="s">
        <v>649</v>
      </c>
      <c r="O1766" s="157" t="s">
        <v>650</v>
      </c>
      <c r="P1766" s="161" t="b">
        <v>0</v>
      </c>
      <c r="Q1766" s="158">
        <v>0.129</v>
      </c>
      <c r="R1766" s="158">
        <v>0.0</v>
      </c>
      <c r="S1766" s="158">
        <v>0.129</v>
      </c>
      <c r="T1766" s="157" t="s">
        <v>594</v>
      </c>
      <c r="U1766" s="46" t="s">
        <v>651</v>
      </c>
      <c r="V1766" s="46" t="b">
        <v>1</v>
      </c>
      <c r="W1766" s="46">
        <v>0.95</v>
      </c>
      <c r="X1766" s="46">
        <v>0.0</v>
      </c>
      <c r="Y1766" s="46" t="s">
        <v>640</v>
      </c>
      <c r="Z1766" s="46" t="b">
        <v>0</v>
      </c>
      <c r="AA1766" s="46" t="b">
        <v>0</v>
      </c>
    </row>
    <row r="1767">
      <c r="A1767" s="157" t="s">
        <v>555</v>
      </c>
      <c r="B1767" s="158">
        <v>1.0</v>
      </c>
      <c r="C1767" s="157" t="s">
        <v>642</v>
      </c>
      <c r="D1767" s="157" t="s">
        <v>643</v>
      </c>
      <c r="E1767" s="157" t="s">
        <v>644</v>
      </c>
      <c r="F1767" s="162" t="s">
        <v>5357</v>
      </c>
      <c r="G1767" s="157" t="s">
        <v>5358</v>
      </c>
      <c r="H1767" s="157"/>
      <c r="I1767" s="158">
        <v>24.41754</v>
      </c>
      <c r="J1767" s="158">
        <v>64.6548</v>
      </c>
      <c r="K1767" s="157" t="s">
        <v>5122</v>
      </c>
      <c r="L1767" s="157" t="s">
        <v>648</v>
      </c>
      <c r="M1767" s="158">
        <v>2022.0</v>
      </c>
      <c r="N1767" s="157" t="s">
        <v>649</v>
      </c>
      <c r="O1767" s="157" t="s">
        <v>650</v>
      </c>
      <c r="P1767" s="161" t="b">
        <v>0</v>
      </c>
      <c r="Q1767" s="158">
        <v>1.43</v>
      </c>
      <c r="R1767" s="158">
        <v>0.0</v>
      </c>
      <c r="S1767" s="158">
        <v>1.43</v>
      </c>
      <c r="T1767" s="157" t="s">
        <v>594</v>
      </c>
      <c r="U1767" s="46" t="s">
        <v>651</v>
      </c>
      <c r="V1767" s="46" t="b">
        <v>1</v>
      </c>
      <c r="W1767" s="46">
        <v>0.95</v>
      </c>
      <c r="X1767" s="46">
        <v>0.0</v>
      </c>
      <c r="Y1767" s="46" t="s">
        <v>640</v>
      </c>
      <c r="Z1767" s="46" t="b">
        <v>0</v>
      </c>
      <c r="AA1767" s="46" t="b">
        <v>0</v>
      </c>
    </row>
    <row r="1768">
      <c r="A1768" s="157" t="s">
        <v>555</v>
      </c>
      <c r="B1768" s="158">
        <v>1.0</v>
      </c>
      <c r="C1768" s="157" t="s">
        <v>642</v>
      </c>
      <c r="D1768" s="157" t="s">
        <v>643</v>
      </c>
      <c r="E1768" s="157" t="s">
        <v>644</v>
      </c>
      <c r="F1768" s="162" t="s">
        <v>5359</v>
      </c>
      <c r="G1768" s="157" t="s">
        <v>5360</v>
      </c>
      <c r="H1768" s="157"/>
      <c r="I1768" s="158">
        <v>24.97122</v>
      </c>
      <c r="J1768" s="158">
        <v>60.18363</v>
      </c>
      <c r="K1768" s="157" t="s">
        <v>986</v>
      </c>
      <c r="L1768" s="157" t="s">
        <v>648</v>
      </c>
      <c r="M1768" s="158">
        <v>2022.0</v>
      </c>
      <c r="N1768" s="157" t="s">
        <v>649</v>
      </c>
      <c r="O1768" s="157" t="s">
        <v>650</v>
      </c>
      <c r="P1768" s="161" t="b">
        <v>0</v>
      </c>
      <c r="Q1768" s="158">
        <v>1.29</v>
      </c>
      <c r="R1768" s="158">
        <v>0.0</v>
      </c>
      <c r="S1768" s="158">
        <v>1.29</v>
      </c>
      <c r="T1768" s="157" t="s">
        <v>594</v>
      </c>
      <c r="U1768" s="46" t="s">
        <v>651</v>
      </c>
      <c r="V1768" s="46" t="b">
        <v>1</v>
      </c>
      <c r="W1768" s="46">
        <v>0.95</v>
      </c>
      <c r="X1768" s="46">
        <v>0.0</v>
      </c>
      <c r="Y1768" s="46" t="s">
        <v>640</v>
      </c>
      <c r="Z1768" s="46" t="b">
        <v>0</v>
      </c>
      <c r="AA1768" s="46" t="b">
        <v>0</v>
      </c>
    </row>
    <row r="1769">
      <c r="A1769" s="157" t="s">
        <v>555</v>
      </c>
      <c r="B1769" s="158">
        <v>1.0</v>
      </c>
      <c r="C1769" s="157" t="s">
        <v>642</v>
      </c>
      <c r="D1769" s="157" t="s">
        <v>643</v>
      </c>
      <c r="E1769" s="157" t="s">
        <v>644</v>
      </c>
      <c r="F1769" s="162" t="s">
        <v>5361</v>
      </c>
      <c r="G1769" s="157" t="s">
        <v>5362</v>
      </c>
      <c r="H1769" s="157"/>
      <c r="I1769" s="158">
        <v>24.7174</v>
      </c>
      <c r="J1769" s="158">
        <v>60.14913</v>
      </c>
      <c r="K1769" s="157" t="s">
        <v>980</v>
      </c>
      <c r="L1769" s="157" t="s">
        <v>648</v>
      </c>
      <c r="M1769" s="158">
        <v>2022.0</v>
      </c>
      <c r="N1769" s="157" t="s">
        <v>649</v>
      </c>
      <c r="O1769" s="157" t="s">
        <v>650</v>
      </c>
      <c r="P1769" s="161" t="b">
        <v>0</v>
      </c>
      <c r="Q1769" s="158">
        <v>0.502</v>
      </c>
      <c r="R1769" s="158">
        <v>0.0</v>
      </c>
      <c r="S1769" s="158">
        <v>0.502</v>
      </c>
      <c r="T1769" s="157" t="s">
        <v>594</v>
      </c>
      <c r="U1769" s="46" t="s">
        <v>651</v>
      </c>
      <c r="V1769" s="46" t="b">
        <v>1</v>
      </c>
      <c r="W1769" s="46">
        <v>0.95</v>
      </c>
      <c r="X1769" s="46">
        <v>0.0</v>
      </c>
      <c r="Y1769" s="46" t="s">
        <v>640</v>
      </c>
      <c r="Z1769" s="46" t="b">
        <v>0</v>
      </c>
      <c r="AA1769" s="46" t="b">
        <v>0</v>
      </c>
    </row>
    <row r="1770">
      <c r="A1770" s="157" t="s">
        <v>555</v>
      </c>
      <c r="B1770" s="158">
        <v>1.0</v>
      </c>
      <c r="C1770" s="157" t="s">
        <v>642</v>
      </c>
      <c r="D1770" s="157" t="s">
        <v>643</v>
      </c>
      <c r="E1770" s="157" t="s">
        <v>644</v>
      </c>
      <c r="F1770" s="162" t="s">
        <v>5363</v>
      </c>
      <c r="G1770" s="157" t="s">
        <v>5364</v>
      </c>
      <c r="H1770" s="157"/>
      <c r="I1770" s="158">
        <v>25.73719</v>
      </c>
      <c r="J1770" s="158">
        <v>62.19241</v>
      </c>
      <c r="K1770" s="157" t="s">
        <v>5365</v>
      </c>
      <c r="L1770" s="157" t="s">
        <v>648</v>
      </c>
      <c r="M1770" s="158">
        <v>2022.0</v>
      </c>
      <c r="N1770" s="157" t="s">
        <v>649</v>
      </c>
      <c r="O1770" s="157" t="s">
        <v>650</v>
      </c>
      <c r="P1770" s="161" t="b">
        <v>0</v>
      </c>
      <c r="Q1770" s="158">
        <v>0.308</v>
      </c>
      <c r="R1770" s="158">
        <v>0.0</v>
      </c>
      <c r="S1770" s="158">
        <v>0.308</v>
      </c>
      <c r="T1770" s="157" t="s">
        <v>594</v>
      </c>
      <c r="U1770" s="46" t="s">
        <v>651</v>
      </c>
      <c r="V1770" s="46" t="b">
        <v>1</v>
      </c>
      <c r="W1770" s="46">
        <v>0.95</v>
      </c>
      <c r="X1770" s="46">
        <v>0.0</v>
      </c>
      <c r="Y1770" s="46" t="s">
        <v>640</v>
      </c>
      <c r="Z1770" s="46" t="b">
        <v>0</v>
      </c>
      <c r="AA1770" s="46" t="b">
        <v>0</v>
      </c>
    </row>
    <row r="1771">
      <c r="A1771" s="157" t="s">
        <v>555</v>
      </c>
      <c r="B1771" s="158">
        <v>1.0</v>
      </c>
      <c r="C1771" s="157" t="s">
        <v>642</v>
      </c>
      <c r="D1771" s="157" t="s">
        <v>643</v>
      </c>
      <c r="E1771" s="157" t="s">
        <v>644</v>
      </c>
      <c r="F1771" s="162" t="s">
        <v>5366</v>
      </c>
      <c r="G1771" s="157" t="s">
        <v>5367</v>
      </c>
      <c r="H1771" s="157"/>
      <c r="I1771" s="158">
        <v>21.40476</v>
      </c>
      <c r="J1771" s="158">
        <v>61.63243</v>
      </c>
      <c r="K1771" s="157" t="s">
        <v>885</v>
      </c>
      <c r="L1771" s="157" t="s">
        <v>648</v>
      </c>
      <c r="M1771" s="158">
        <v>2022.0</v>
      </c>
      <c r="N1771" s="157" t="s">
        <v>649</v>
      </c>
      <c r="O1771" s="157" t="s">
        <v>650</v>
      </c>
      <c r="P1771" s="161" t="b">
        <v>0</v>
      </c>
      <c r="Q1771" s="158">
        <v>0.272</v>
      </c>
      <c r="R1771" s="158">
        <v>0.0</v>
      </c>
      <c r="S1771" s="158">
        <v>0.272</v>
      </c>
      <c r="T1771" s="157" t="s">
        <v>594</v>
      </c>
      <c r="U1771" s="46" t="s">
        <v>651</v>
      </c>
      <c r="V1771" s="46" t="b">
        <v>1</v>
      </c>
      <c r="W1771" s="46">
        <v>0.95</v>
      </c>
      <c r="X1771" s="46">
        <v>0.0</v>
      </c>
      <c r="Y1771" s="46" t="s">
        <v>640</v>
      </c>
      <c r="Z1771" s="46" t="b">
        <v>0</v>
      </c>
      <c r="AA1771" s="46" t="b">
        <v>0</v>
      </c>
    </row>
    <row r="1772">
      <c r="A1772" s="157" t="s">
        <v>555</v>
      </c>
      <c r="B1772" s="158">
        <v>1.0</v>
      </c>
      <c r="C1772" s="157" t="s">
        <v>642</v>
      </c>
      <c r="D1772" s="157" t="s">
        <v>643</v>
      </c>
      <c r="E1772" s="157" t="s">
        <v>644</v>
      </c>
      <c r="F1772" s="162" t="s">
        <v>5368</v>
      </c>
      <c r="G1772" s="157" t="s">
        <v>5369</v>
      </c>
      <c r="H1772" s="157"/>
      <c r="I1772" s="158">
        <v>25.17286</v>
      </c>
      <c r="J1772" s="158">
        <v>60.21984</v>
      </c>
      <c r="K1772" s="157" t="s">
        <v>986</v>
      </c>
      <c r="L1772" s="157" t="s">
        <v>648</v>
      </c>
      <c r="M1772" s="158">
        <v>2022.0</v>
      </c>
      <c r="N1772" s="157" t="s">
        <v>649</v>
      </c>
      <c r="O1772" s="157" t="s">
        <v>650</v>
      </c>
      <c r="P1772" s="161" t="b">
        <v>0</v>
      </c>
      <c r="Q1772" s="158">
        <v>0.127</v>
      </c>
      <c r="R1772" s="158">
        <v>0.0</v>
      </c>
      <c r="S1772" s="158">
        <v>0.127</v>
      </c>
      <c r="T1772" s="157" t="s">
        <v>594</v>
      </c>
      <c r="U1772" s="46" t="s">
        <v>651</v>
      </c>
      <c r="V1772" s="46" t="b">
        <v>1</v>
      </c>
      <c r="W1772" s="46">
        <v>0.95</v>
      </c>
      <c r="X1772" s="46">
        <v>0.0</v>
      </c>
      <c r="Y1772" s="46" t="s">
        <v>640</v>
      </c>
      <c r="Z1772" s="46" t="b">
        <v>0</v>
      </c>
      <c r="AA1772" s="46" t="b">
        <v>0</v>
      </c>
    </row>
    <row r="1773">
      <c r="A1773" s="157" t="s">
        <v>557</v>
      </c>
      <c r="B1773" s="158">
        <v>1.0</v>
      </c>
      <c r="C1773" s="157" t="s">
        <v>642</v>
      </c>
      <c r="D1773" s="157" t="s">
        <v>643</v>
      </c>
      <c r="E1773" s="157" t="s">
        <v>644</v>
      </c>
      <c r="F1773" s="162" t="s">
        <v>5370</v>
      </c>
      <c r="G1773" s="157" t="s">
        <v>5371</v>
      </c>
      <c r="H1773" s="157"/>
      <c r="I1773" s="158">
        <v>6.61228868229434</v>
      </c>
      <c r="J1773" s="158">
        <v>51.0376536707744</v>
      </c>
      <c r="K1773" s="157" t="s">
        <v>5372</v>
      </c>
      <c r="L1773" s="157" t="s">
        <v>648</v>
      </c>
      <c r="M1773" s="158">
        <v>2022.0</v>
      </c>
      <c r="N1773" s="157" t="s">
        <v>649</v>
      </c>
      <c r="O1773" s="157" t="s">
        <v>650</v>
      </c>
      <c r="P1773" s="161" t="b">
        <v>0</v>
      </c>
      <c r="Q1773" s="158">
        <v>24.2</v>
      </c>
      <c r="R1773" s="158">
        <v>0.0</v>
      </c>
      <c r="S1773" s="158">
        <v>24.2</v>
      </c>
      <c r="T1773" s="157" t="s">
        <v>594</v>
      </c>
      <c r="U1773" s="46" t="s">
        <v>651</v>
      </c>
      <c r="V1773" s="46" t="b">
        <v>1</v>
      </c>
      <c r="W1773" s="46">
        <v>0.95</v>
      </c>
      <c r="X1773" s="46">
        <v>0.0</v>
      </c>
      <c r="Y1773" s="46">
        <v>12.0228891127154</v>
      </c>
      <c r="Z1773" s="46" t="b">
        <v>1</v>
      </c>
      <c r="AA1773" s="46" t="b">
        <v>1</v>
      </c>
    </row>
    <row r="1774">
      <c r="A1774" s="157" t="s">
        <v>557</v>
      </c>
      <c r="B1774" s="158">
        <v>1.0</v>
      </c>
      <c r="C1774" s="157" t="s">
        <v>642</v>
      </c>
      <c r="D1774" s="157" t="s">
        <v>643</v>
      </c>
      <c r="E1774" s="157" t="s">
        <v>644</v>
      </c>
      <c r="F1774" s="162" t="s">
        <v>5373</v>
      </c>
      <c r="G1774" s="157" t="s">
        <v>5374</v>
      </c>
      <c r="H1774" s="157"/>
      <c r="I1774" s="158">
        <v>14.5743200176594</v>
      </c>
      <c r="J1774" s="158">
        <v>51.4188479814982</v>
      </c>
      <c r="K1774" s="157" t="s">
        <v>5375</v>
      </c>
      <c r="L1774" s="157" t="s">
        <v>648</v>
      </c>
      <c r="M1774" s="158">
        <v>2022.0</v>
      </c>
      <c r="N1774" s="157" t="s">
        <v>649</v>
      </c>
      <c r="O1774" s="157" t="s">
        <v>650</v>
      </c>
      <c r="P1774" s="161" t="b">
        <v>0</v>
      </c>
      <c r="Q1774" s="158">
        <v>19.1</v>
      </c>
      <c r="R1774" s="158">
        <v>0.0</v>
      </c>
      <c r="S1774" s="158">
        <v>19.1</v>
      </c>
      <c r="T1774" s="157" t="s">
        <v>594</v>
      </c>
      <c r="U1774" s="46" t="s">
        <v>651</v>
      </c>
      <c r="V1774" s="46" t="b">
        <v>1</v>
      </c>
      <c r="W1774" s="46">
        <v>0.95</v>
      </c>
      <c r="X1774" s="46">
        <v>0.0</v>
      </c>
      <c r="Y1774" s="46">
        <v>20.0828895190783</v>
      </c>
      <c r="Z1774" s="46" t="b">
        <v>1</v>
      </c>
      <c r="AA1774" s="46" t="b">
        <v>1</v>
      </c>
    </row>
    <row r="1775">
      <c r="A1775" s="157" t="s">
        <v>557</v>
      </c>
      <c r="B1775" s="158">
        <v>1.0</v>
      </c>
      <c r="C1775" s="157" t="s">
        <v>642</v>
      </c>
      <c r="D1775" s="157" t="s">
        <v>643</v>
      </c>
      <c r="E1775" s="157" t="s">
        <v>644</v>
      </c>
      <c r="F1775" s="162" t="s">
        <v>5376</v>
      </c>
      <c r="G1775" s="157" t="s">
        <v>5377</v>
      </c>
      <c r="H1775" s="157"/>
      <c r="I1775" s="158">
        <v>6.66658162215302</v>
      </c>
      <c r="J1775" s="158">
        <v>50.970926824265</v>
      </c>
      <c r="K1775" s="157" t="s">
        <v>3787</v>
      </c>
      <c r="L1775" s="157" t="s">
        <v>648</v>
      </c>
      <c r="M1775" s="158">
        <v>2022.0</v>
      </c>
      <c r="N1775" s="157" t="s">
        <v>649</v>
      </c>
      <c r="O1775" s="157" t="s">
        <v>650</v>
      </c>
      <c r="P1775" s="161" t="b">
        <v>0</v>
      </c>
      <c r="Q1775" s="158">
        <v>17.0</v>
      </c>
      <c r="R1775" s="158">
        <v>0.0</v>
      </c>
      <c r="S1775" s="158">
        <v>17.0</v>
      </c>
      <c r="T1775" s="157" t="s">
        <v>594</v>
      </c>
      <c r="U1775" s="46" t="s">
        <v>651</v>
      </c>
      <c r="V1775" s="46" t="b">
        <v>1</v>
      </c>
      <c r="W1775" s="46">
        <v>0.95</v>
      </c>
      <c r="X1775" s="46">
        <v>0.0</v>
      </c>
      <c r="Y1775" s="46">
        <v>8.74269840964402</v>
      </c>
      <c r="Z1775" s="46" t="b">
        <v>1</v>
      </c>
      <c r="AA1775" s="46" t="b">
        <v>1</v>
      </c>
    </row>
    <row r="1776">
      <c r="A1776" s="157" t="s">
        <v>557</v>
      </c>
      <c r="B1776" s="158">
        <v>1.0</v>
      </c>
      <c r="C1776" s="157" t="s">
        <v>642</v>
      </c>
      <c r="D1776" s="157" t="s">
        <v>643</v>
      </c>
      <c r="E1776" s="157" t="s">
        <v>644</v>
      </c>
      <c r="F1776" s="162" t="s">
        <v>5378</v>
      </c>
      <c r="G1776" s="157" t="s">
        <v>5379</v>
      </c>
      <c r="H1776" s="157"/>
      <c r="I1776" s="158">
        <v>14.4579893421062</v>
      </c>
      <c r="J1776" s="158">
        <v>51.8336010742182</v>
      </c>
      <c r="K1776" s="157" t="s">
        <v>5380</v>
      </c>
      <c r="L1776" s="157" t="s">
        <v>648</v>
      </c>
      <c r="M1776" s="158">
        <v>2022.0</v>
      </c>
      <c r="N1776" s="157" t="s">
        <v>649</v>
      </c>
      <c r="O1776" s="157" t="s">
        <v>650</v>
      </c>
      <c r="P1776" s="161" t="b">
        <v>0</v>
      </c>
      <c r="Q1776" s="158">
        <v>15.5</v>
      </c>
      <c r="R1776" s="158">
        <v>0.0</v>
      </c>
      <c r="S1776" s="158">
        <v>15.5</v>
      </c>
      <c r="T1776" s="157" t="s">
        <v>594</v>
      </c>
      <c r="U1776" s="46" t="s">
        <v>651</v>
      </c>
      <c r="V1776" s="46" t="b">
        <v>1</v>
      </c>
      <c r="W1776" s="46">
        <v>0.95</v>
      </c>
      <c r="X1776" s="46">
        <v>0.0</v>
      </c>
      <c r="Y1776" s="46">
        <v>10.6025982460806</v>
      </c>
      <c r="Z1776" s="46" t="b">
        <v>1</v>
      </c>
      <c r="AA1776" s="46" t="b">
        <v>1</v>
      </c>
    </row>
    <row r="1777">
      <c r="A1777" s="157" t="s">
        <v>557</v>
      </c>
      <c r="B1777" s="158">
        <v>1.0</v>
      </c>
      <c r="C1777" s="157" t="s">
        <v>642</v>
      </c>
      <c r="D1777" s="157" t="s">
        <v>643</v>
      </c>
      <c r="E1777" s="157" t="s">
        <v>644</v>
      </c>
      <c r="F1777" s="162" t="s">
        <v>5381</v>
      </c>
      <c r="G1777" s="157" t="s">
        <v>5382</v>
      </c>
      <c r="H1777" s="157"/>
      <c r="I1777" s="158">
        <v>6.31457811541502</v>
      </c>
      <c r="J1777" s="158">
        <v>50.8331620519569</v>
      </c>
      <c r="K1777" s="157" t="s">
        <v>1236</v>
      </c>
      <c r="L1777" s="157" t="s">
        <v>648</v>
      </c>
      <c r="M1777" s="158">
        <v>2022.0</v>
      </c>
      <c r="N1777" s="157" t="s">
        <v>649</v>
      </c>
      <c r="O1777" s="157" t="s">
        <v>650</v>
      </c>
      <c r="P1777" s="161" t="b">
        <v>0</v>
      </c>
      <c r="Q1777" s="158">
        <v>15.0</v>
      </c>
      <c r="R1777" s="158">
        <v>0.0</v>
      </c>
      <c r="S1777" s="158">
        <v>15.0</v>
      </c>
      <c r="T1777" s="157" t="s">
        <v>594</v>
      </c>
      <c r="U1777" s="46" t="s">
        <v>651</v>
      </c>
      <c r="V1777" s="46" t="b">
        <v>1</v>
      </c>
      <c r="W1777" s="46">
        <v>0.95</v>
      </c>
      <c r="X1777" s="46">
        <v>0.0</v>
      </c>
      <c r="Y1777" s="46">
        <v>0.772966058674886</v>
      </c>
      <c r="Z1777" s="46" t="b">
        <v>1</v>
      </c>
      <c r="AA1777" s="46" t="b">
        <v>1</v>
      </c>
    </row>
    <row r="1778">
      <c r="A1778" s="157" t="s">
        <v>557</v>
      </c>
      <c r="B1778" s="158">
        <v>1.0</v>
      </c>
      <c r="C1778" s="157" t="s">
        <v>642</v>
      </c>
      <c r="D1778" s="157" t="s">
        <v>643</v>
      </c>
      <c r="E1778" s="157" t="s">
        <v>644</v>
      </c>
      <c r="F1778" s="162" t="s">
        <v>5383</v>
      </c>
      <c r="G1778" s="157" t="s">
        <v>5384</v>
      </c>
      <c r="H1778" s="157"/>
      <c r="I1778" s="158">
        <v>12.3716433864114</v>
      </c>
      <c r="J1778" s="158">
        <v>51.1841395368112</v>
      </c>
      <c r="K1778" s="157" t="s">
        <v>5385</v>
      </c>
      <c r="L1778" s="157" t="s">
        <v>648</v>
      </c>
      <c r="M1778" s="158">
        <v>2022.0</v>
      </c>
      <c r="N1778" s="157" t="s">
        <v>649</v>
      </c>
      <c r="O1778" s="157" t="s">
        <v>650</v>
      </c>
      <c r="P1778" s="161" t="b">
        <v>0</v>
      </c>
      <c r="Q1778" s="158">
        <v>11.9</v>
      </c>
      <c r="R1778" s="158">
        <v>0.0</v>
      </c>
      <c r="S1778" s="158">
        <v>11.9</v>
      </c>
      <c r="T1778" s="157" t="s">
        <v>594</v>
      </c>
      <c r="U1778" s="46" t="s">
        <v>651</v>
      </c>
      <c r="V1778" s="46" t="b">
        <v>1</v>
      </c>
      <c r="W1778" s="46">
        <v>0.95</v>
      </c>
      <c r="X1778" s="46">
        <v>0.0</v>
      </c>
      <c r="Y1778" s="46">
        <v>1.35574682847843</v>
      </c>
      <c r="Z1778" s="46" t="b">
        <v>1</v>
      </c>
      <c r="AA1778" s="46" t="b">
        <v>1</v>
      </c>
    </row>
    <row r="1779">
      <c r="A1779" s="157" t="s">
        <v>557</v>
      </c>
      <c r="B1779" s="158">
        <v>1.0</v>
      </c>
      <c r="C1779" s="157" t="s">
        <v>642</v>
      </c>
      <c r="D1779" s="157" t="s">
        <v>643</v>
      </c>
      <c r="E1779" s="157" t="s">
        <v>644</v>
      </c>
      <c r="F1779" s="162" t="s">
        <v>5386</v>
      </c>
      <c r="G1779" s="157" t="s">
        <v>5387</v>
      </c>
      <c r="H1779" s="157"/>
      <c r="I1779" s="158">
        <v>14.3535757297201</v>
      </c>
      <c r="J1779" s="158">
        <v>51.5354973928124</v>
      </c>
      <c r="K1779" s="157" t="s">
        <v>5388</v>
      </c>
      <c r="L1779" s="157" t="s">
        <v>648</v>
      </c>
      <c r="M1779" s="158">
        <v>2022.0</v>
      </c>
      <c r="N1779" s="157" t="s">
        <v>649</v>
      </c>
      <c r="O1779" s="157" t="s">
        <v>650</v>
      </c>
      <c r="P1779" s="161" t="b">
        <v>0</v>
      </c>
      <c r="Q1779" s="158">
        <v>9.64</v>
      </c>
      <c r="R1779" s="158">
        <v>0.0</v>
      </c>
      <c r="S1779" s="158">
        <v>9.64</v>
      </c>
      <c r="T1779" s="157" t="s">
        <v>594</v>
      </c>
      <c r="U1779" s="46" t="s">
        <v>651</v>
      </c>
      <c r="V1779" s="46" t="b">
        <v>1</v>
      </c>
      <c r="W1779" s="46">
        <v>0.95</v>
      </c>
      <c r="X1779" s="46">
        <v>0.0</v>
      </c>
      <c r="Y1779" s="164">
        <v>2.12852069164535E-8</v>
      </c>
      <c r="Z1779" s="46" t="b">
        <v>1</v>
      </c>
      <c r="AA1779" s="46" t="b">
        <v>1</v>
      </c>
    </row>
    <row r="1780">
      <c r="A1780" s="157" t="s">
        <v>557</v>
      </c>
      <c r="B1780" s="158">
        <v>1.0</v>
      </c>
      <c r="C1780" s="157" t="s">
        <v>642</v>
      </c>
      <c r="D1780" s="157" t="s">
        <v>643</v>
      </c>
      <c r="E1780" s="157" t="s">
        <v>644</v>
      </c>
      <c r="F1780" s="162" t="s">
        <v>5389</v>
      </c>
      <c r="G1780" s="157" t="s">
        <v>5390</v>
      </c>
      <c r="H1780" s="157"/>
      <c r="I1780" s="158">
        <v>8.49223926198042</v>
      </c>
      <c r="J1780" s="158">
        <v>49.4457594333568</v>
      </c>
      <c r="K1780" s="157" t="s">
        <v>5391</v>
      </c>
      <c r="L1780" s="157" t="s">
        <v>648</v>
      </c>
      <c r="M1780" s="158">
        <v>2022.0</v>
      </c>
      <c r="N1780" s="157" t="s">
        <v>649</v>
      </c>
      <c r="O1780" s="157" t="s">
        <v>650</v>
      </c>
      <c r="P1780" s="161" t="b">
        <v>0</v>
      </c>
      <c r="Q1780" s="158">
        <v>5.97</v>
      </c>
      <c r="R1780" s="158">
        <v>0.0</v>
      </c>
      <c r="S1780" s="158">
        <v>5.97</v>
      </c>
      <c r="T1780" s="157" t="s">
        <v>594</v>
      </c>
      <c r="U1780" s="46" t="s">
        <v>651</v>
      </c>
      <c r="V1780" s="46" t="b">
        <v>1</v>
      </c>
      <c r="W1780" s="46">
        <v>0.95</v>
      </c>
      <c r="X1780" s="46">
        <v>0.0</v>
      </c>
      <c r="Y1780" s="164">
        <v>4.3370517641466E-9</v>
      </c>
      <c r="Z1780" s="46" t="b">
        <v>1</v>
      </c>
      <c r="AA1780" s="46" t="b">
        <v>1</v>
      </c>
    </row>
    <row r="1781">
      <c r="A1781" s="157" t="s">
        <v>557</v>
      </c>
      <c r="B1781" s="158">
        <v>1.0</v>
      </c>
      <c r="C1781" s="157" t="s">
        <v>642</v>
      </c>
      <c r="D1781" s="157" t="s">
        <v>643</v>
      </c>
      <c r="E1781" s="157" t="s">
        <v>644</v>
      </c>
      <c r="F1781" s="162" t="s">
        <v>5392</v>
      </c>
      <c r="G1781" s="157" t="s">
        <v>5393</v>
      </c>
      <c r="H1781" s="157"/>
      <c r="I1781" s="158">
        <v>8.30421110336022</v>
      </c>
      <c r="J1781" s="158">
        <v>49.0142933297321</v>
      </c>
      <c r="K1781" s="157" t="s">
        <v>925</v>
      </c>
      <c r="L1781" s="157" t="s">
        <v>648</v>
      </c>
      <c r="M1781" s="158">
        <v>2022.0</v>
      </c>
      <c r="N1781" s="157" t="s">
        <v>649</v>
      </c>
      <c r="O1781" s="157" t="s">
        <v>650</v>
      </c>
      <c r="P1781" s="161" t="b">
        <v>0</v>
      </c>
      <c r="Q1781" s="158">
        <v>4.77</v>
      </c>
      <c r="R1781" s="158">
        <v>0.0</v>
      </c>
      <c r="S1781" s="158">
        <v>4.77</v>
      </c>
      <c r="T1781" s="157" t="s">
        <v>594</v>
      </c>
      <c r="U1781" s="46" t="s">
        <v>651</v>
      </c>
      <c r="V1781" s="46" t="b">
        <v>1</v>
      </c>
      <c r="W1781" s="46">
        <v>0.95</v>
      </c>
      <c r="X1781" s="46">
        <v>0.0</v>
      </c>
      <c r="Y1781" s="46">
        <v>2.61294423935332</v>
      </c>
      <c r="Z1781" s="46" t="b">
        <v>1</v>
      </c>
      <c r="AA1781" s="46" t="b">
        <v>1</v>
      </c>
    </row>
    <row r="1782">
      <c r="A1782" s="157" t="s">
        <v>557</v>
      </c>
      <c r="B1782" s="158">
        <v>1.0</v>
      </c>
      <c r="C1782" s="157" t="s">
        <v>642</v>
      </c>
      <c r="D1782" s="157" t="s">
        <v>643</v>
      </c>
      <c r="E1782" s="157" t="s">
        <v>644</v>
      </c>
      <c r="F1782" s="162" t="s">
        <v>5394</v>
      </c>
      <c r="G1782" s="157" t="s">
        <v>5395</v>
      </c>
      <c r="H1782" s="157"/>
      <c r="I1782" s="158">
        <v>11.9503990055343</v>
      </c>
      <c r="J1782" s="158">
        <v>51.3984616395479</v>
      </c>
      <c r="K1782" s="157" t="s">
        <v>4752</v>
      </c>
      <c r="L1782" s="157" t="s">
        <v>648</v>
      </c>
      <c r="M1782" s="158">
        <v>2022.0</v>
      </c>
      <c r="N1782" s="157" t="s">
        <v>649</v>
      </c>
      <c r="O1782" s="157" t="s">
        <v>650</v>
      </c>
      <c r="P1782" s="161" t="b">
        <v>0</v>
      </c>
      <c r="Q1782" s="158">
        <v>4.39</v>
      </c>
      <c r="R1782" s="158">
        <v>0.0</v>
      </c>
      <c r="S1782" s="158">
        <v>4.39</v>
      </c>
      <c r="T1782" s="157" t="s">
        <v>594</v>
      </c>
      <c r="U1782" s="46" t="s">
        <v>651</v>
      </c>
      <c r="V1782" s="46" t="b">
        <v>1</v>
      </c>
      <c r="W1782" s="46">
        <v>0.95</v>
      </c>
      <c r="X1782" s="46">
        <v>0.0</v>
      </c>
      <c r="Y1782" s="164">
        <v>3.31875725666976E-7</v>
      </c>
      <c r="Z1782" s="46" t="b">
        <v>1</v>
      </c>
      <c r="AA1782" s="46" t="b">
        <v>1</v>
      </c>
    </row>
    <row r="1783">
      <c r="A1783" s="157" t="s">
        <v>557</v>
      </c>
      <c r="B1783" s="158">
        <v>1.0</v>
      </c>
      <c r="C1783" s="157" t="s">
        <v>642</v>
      </c>
      <c r="D1783" s="157" t="s">
        <v>643</v>
      </c>
      <c r="E1783" s="157" t="s">
        <v>644</v>
      </c>
      <c r="F1783" s="162" t="s">
        <v>5396</v>
      </c>
      <c r="G1783" s="157" t="s">
        <v>5397</v>
      </c>
      <c r="H1783" s="157"/>
      <c r="I1783" s="158">
        <v>6.72648284165997</v>
      </c>
      <c r="J1783" s="158">
        <v>51.4912500236738</v>
      </c>
      <c r="K1783" s="157" t="s">
        <v>3805</v>
      </c>
      <c r="L1783" s="157" t="s">
        <v>648</v>
      </c>
      <c r="M1783" s="158">
        <v>2022.0</v>
      </c>
      <c r="N1783" s="157" t="s">
        <v>649</v>
      </c>
      <c r="O1783" s="157" t="s">
        <v>650</v>
      </c>
      <c r="P1783" s="161" t="b">
        <v>0</v>
      </c>
      <c r="Q1783" s="158">
        <v>3.94</v>
      </c>
      <c r="R1783" s="158">
        <v>0.0</v>
      </c>
      <c r="S1783" s="158">
        <v>3.94</v>
      </c>
      <c r="T1783" s="157" t="s">
        <v>594</v>
      </c>
      <c r="U1783" s="46" t="s">
        <v>651</v>
      </c>
      <c r="V1783" s="46" t="b">
        <v>1</v>
      </c>
      <c r="W1783" s="46">
        <v>0.95</v>
      </c>
      <c r="X1783" s="46">
        <v>0.0</v>
      </c>
      <c r="Y1783" s="46">
        <v>7.74767077171046</v>
      </c>
      <c r="Z1783" s="46" t="b">
        <v>1</v>
      </c>
      <c r="AA1783" s="46" t="b">
        <v>1</v>
      </c>
    </row>
    <row r="1784">
      <c r="A1784" s="157" t="s">
        <v>557</v>
      </c>
      <c r="B1784" s="158">
        <v>1.0</v>
      </c>
      <c r="C1784" s="157" t="s">
        <v>642</v>
      </c>
      <c r="D1784" s="157" t="s">
        <v>643</v>
      </c>
      <c r="E1784" s="157" t="s">
        <v>644</v>
      </c>
      <c r="F1784" s="162" t="s">
        <v>5398</v>
      </c>
      <c r="G1784" s="157" t="s">
        <v>5399</v>
      </c>
      <c r="H1784" s="157"/>
      <c r="I1784" s="158">
        <v>7.3424789102195</v>
      </c>
      <c r="J1784" s="158">
        <v>51.633091345283</v>
      </c>
      <c r="K1784" s="157" t="s">
        <v>5400</v>
      </c>
      <c r="L1784" s="157" t="s">
        <v>648</v>
      </c>
      <c r="M1784" s="158">
        <v>2022.0</v>
      </c>
      <c r="N1784" s="157" t="s">
        <v>649</v>
      </c>
      <c r="O1784" s="157" t="s">
        <v>650</v>
      </c>
      <c r="P1784" s="161" t="b">
        <v>0</v>
      </c>
      <c r="Q1784" s="158">
        <v>3.82</v>
      </c>
      <c r="R1784" s="158">
        <v>0.0</v>
      </c>
      <c r="S1784" s="158">
        <v>3.82</v>
      </c>
      <c r="T1784" s="157" t="s">
        <v>594</v>
      </c>
      <c r="U1784" s="46" t="s">
        <v>651</v>
      </c>
      <c r="V1784" s="46" t="b">
        <v>1</v>
      </c>
      <c r="W1784" s="46">
        <v>0.95</v>
      </c>
      <c r="X1784" s="46">
        <v>0.0</v>
      </c>
      <c r="Y1784" s="46">
        <v>8.53539291906966</v>
      </c>
      <c r="Z1784" s="46" t="b">
        <v>1</v>
      </c>
      <c r="AA1784" s="46" t="b">
        <v>1</v>
      </c>
    </row>
    <row r="1785">
      <c r="A1785" s="157" t="s">
        <v>557</v>
      </c>
      <c r="B1785" s="158">
        <v>1.0</v>
      </c>
      <c r="C1785" s="157" t="s">
        <v>642</v>
      </c>
      <c r="D1785" s="157" t="s">
        <v>643</v>
      </c>
      <c r="E1785" s="157" t="s">
        <v>644</v>
      </c>
      <c r="F1785" s="162" t="s">
        <v>5401</v>
      </c>
      <c r="G1785" s="157" t="s">
        <v>5402</v>
      </c>
      <c r="H1785" s="157"/>
      <c r="I1785" s="158">
        <v>7.00482392919569</v>
      </c>
      <c r="J1785" s="158">
        <v>51.5973613355292</v>
      </c>
      <c r="K1785" s="157" t="s">
        <v>4503</v>
      </c>
      <c r="L1785" s="157" t="s">
        <v>648</v>
      </c>
      <c r="M1785" s="158">
        <v>2022.0</v>
      </c>
      <c r="N1785" s="157" t="s">
        <v>649</v>
      </c>
      <c r="O1785" s="157" t="s">
        <v>650</v>
      </c>
      <c r="P1785" s="161" t="b">
        <v>0</v>
      </c>
      <c r="Q1785" s="158">
        <v>3.11</v>
      </c>
      <c r="R1785" s="158">
        <v>0.0</v>
      </c>
      <c r="S1785" s="158">
        <v>3.11</v>
      </c>
      <c r="T1785" s="157" t="s">
        <v>594</v>
      </c>
      <c r="U1785" s="46" t="s">
        <v>651</v>
      </c>
      <c r="V1785" s="46" t="b">
        <v>1</v>
      </c>
      <c r="W1785" s="46">
        <v>0.95</v>
      </c>
      <c r="X1785" s="46">
        <v>0.0</v>
      </c>
      <c r="Y1785" s="46">
        <v>20.3303845449387</v>
      </c>
      <c r="Z1785" s="46" t="b">
        <v>1</v>
      </c>
      <c r="AA1785" s="46" t="b">
        <v>1</v>
      </c>
    </row>
    <row r="1786">
      <c r="A1786" s="157" t="s">
        <v>557</v>
      </c>
      <c r="B1786" s="158">
        <v>1.0</v>
      </c>
      <c r="C1786" s="157" t="s">
        <v>642</v>
      </c>
      <c r="D1786" s="157" t="s">
        <v>643</v>
      </c>
      <c r="E1786" s="157" t="s">
        <v>644</v>
      </c>
      <c r="F1786" s="162" t="s">
        <v>5403</v>
      </c>
      <c r="G1786" s="157" t="s">
        <v>5404</v>
      </c>
      <c r="H1786" s="157"/>
      <c r="I1786" s="158">
        <v>7.46523625444889</v>
      </c>
      <c r="J1786" s="158">
        <v>51.61411408</v>
      </c>
      <c r="K1786" s="157" t="s">
        <v>1535</v>
      </c>
      <c r="L1786" s="157" t="s">
        <v>648</v>
      </c>
      <c r="M1786" s="158">
        <v>2022.0</v>
      </c>
      <c r="N1786" s="157" t="s">
        <v>649</v>
      </c>
      <c r="O1786" s="157" t="s">
        <v>650</v>
      </c>
      <c r="P1786" s="161" t="b">
        <v>0</v>
      </c>
      <c r="Q1786" s="158">
        <v>3.11</v>
      </c>
      <c r="R1786" s="158">
        <v>0.0</v>
      </c>
      <c r="S1786" s="158">
        <v>3.11</v>
      </c>
      <c r="T1786" s="157" t="s">
        <v>594</v>
      </c>
      <c r="U1786" s="46" t="s">
        <v>651</v>
      </c>
      <c r="V1786" s="46" t="b">
        <v>1</v>
      </c>
      <c r="W1786" s="46">
        <v>0.95</v>
      </c>
      <c r="X1786" s="46">
        <v>0.0</v>
      </c>
      <c r="Y1786" s="46">
        <v>0.118296896364117</v>
      </c>
      <c r="Z1786" s="46" t="b">
        <v>1</v>
      </c>
      <c r="AA1786" s="46" t="b">
        <v>1</v>
      </c>
    </row>
    <row r="1787">
      <c r="A1787" s="157" t="s">
        <v>557</v>
      </c>
      <c r="B1787" s="158">
        <v>1.0</v>
      </c>
      <c r="C1787" s="157" t="s">
        <v>642</v>
      </c>
      <c r="D1787" s="157" t="s">
        <v>643</v>
      </c>
      <c r="E1787" s="157" t="s">
        <v>644</v>
      </c>
      <c r="F1787" s="162" t="s">
        <v>5405</v>
      </c>
      <c r="G1787" s="157" t="s">
        <v>5406</v>
      </c>
      <c r="H1787" s="157"/>
      <c r="I1787" s="158">
        <v>6.71911732581523</v>
      </c>
      <c r="J1787" s="158">
        <v>51.37090094</v>
      </c>
      <c r="K1787" s="157" t="s">
        <v>3805</v>
      </c>
      <c r="L1787" s="157" t="s">
        <v>648</v>
      </c>
      <c r="M1787" s="158">
        <v>2022.0</v>
      </c>
      <c r="N1787" s="157" t="s">
        <v>649</v>
      </c>
      <c r="O1787" s="157" t="s">
        <v>650</v>
      </c>
      <c r="P1787" s="161" t="b">
        <v>0</v>
      </c>
      <c r="Q1787" s="158">
        <v>2.86</v>
      </c>
      <c r="R1787" s="158">
        <v>0.0</v>
      </c>
      <c r="S1787" s="158">
        <v>2.86</v>
      </c>
      <c r="T1787" s="157" t="s">
        <v>594</v>
      </c>
      <c r="U1787" s="46" t="s">
        <v>651</v>
      </c>
      <c r="V1787" s="46" t="b">
        <v>1</v>
      </c>
      <c r="W1787" s="46">
        <v>0.95</v>
      </c>
      <c r="X1787" s="46">
        <v>0.0</v>
      </c>
      <c r="Y1787" s="46">
        <v>1.98317397516963</v>
      </c>
      <c r="Z1787" s="46" t="b">
        <v>1</v>
      </c>
      <c r="AA1787" s="46" t="b">
        <v>1</v>
      </c>
    </row>
    <row r="1788">
      <c r="A1788" s="157" t="s">
        <v>557</v>
      </c>
      <c r="B1788" s="158">
        <v>1.0</v>
      </c>
      <c r="C1788" s="157" t="s">
        <v>642</v>
      </c>
      <c r="D1788" s="157" t="s">
        <v>643</v>
      </c>
      <c r="E1788" s="157" t="s">
        <v>644</v>
      </c>
      <c r="F1788" s="162" t="s">
        <v>5407</v>
      </c>
      <c r="G1788" s="157" t="s">
        <v>5408</v>
      </c>
      <c r="H1788" s="157"/>
      <c r="I1788" s="158">
        <v>6.71961908206987</v>
      </c>
      <c r="J1788" s="158">
        <v>51.5260017764915</v>
      </c>
      <c r="K1788" s="157" t="s">
        <v>3805</v>
      </c>
      <c r="L1788" s="157" t="s">
        <v>648</v>
      </c>
      <c r="M1788" s="158">
        <v>2022.0</v>
      </c>
      <c r="N1788" s="157" t="s">
        <v>649</v>
      </c>
      <c r="O1788" s="157" t="s">
        <v>650</v>
      </c>
      <c r="P1788" s="161" t="b">
        <v>0</v>
      </c>
      <c r="Q1788" s="158">
        <v>2.78</v>
      </c>
      <c r="R1788" s="158">
        <v>0.0</v>
      </c>
      <c r="S1788" s="158">
        <v>2.78</v>
      </c>
      <c r="T1788" s="157" t="s">
        <v>594</v>
      </c>
      <c r="U1788" s="46" t="s">
        <v>651</v>
      </c>
      <c r="V1788" s="46" t="b">
        <v>1</v>
      </c>
      <c r="W1788" s="46">
        <v>0.95</v>
      </c>
      <c r="X1788" s="46">
        <v>0.0</v>
      </c>
      <c r="Y1788" s="46">
        <v>11.6425939164512</v>
      </c>
      <c r="Z1788" s="46" t="b">
        <v>1</v>
      </c>
      <c r="AA1788" s="46" t="b">
        <v>1</v>
      </c>
    </row>
    <row r="1789">
      <c r="A1789" s="157" t="s">
        <v>557</v>
      </c>
      <c r="B1789" s="158">
        <v>1.0</v>
      </c>
      <c r="C1789" s="157" t="s">
        <v>642</v>
      </c>
      <c r="D1789" s="157" t="s">
        <v>643</v>
      </c>
      <c r="E1789" s="157" t="s">
        <v>644</v>
      </c>
      <c r="F1789" s="162" t="s">
        <v>5409</v>
      </c>
      <c r="G1789" s="157" t="s">
        <v>5410</v>
      </c>
      <c r="H1789" s="157"/>
      <c r="I1789" s="158">
        <v>8.686147976</v>
      </c>
      <c r="J1789" s="158">
        <v>53.1287223856765</v>
      </c>
      <c r="K1789" s="157" t="s">
        <v>899</v>
      </c>
      <c r="L1789" s="157" t="s">
        <v>648</v>
      </c>
      <c r="M1789" s="158">
        <v>2022.0</v>
      </c>
      <c r="N1789" s="157" t="s">
        <v>649</v>
      </c>
      <c r="O1789" s="157" t="s">
        <v>650</v>
      </c>
      <c r="P1789" s="161" t="b">
        <v>0</v>
      </c>
      <c r="Q1789" s="158">
        <v>2.47</v>
      </c>
      <c r="R1789" s="158">
        <v>0.0</v>
      </c>
      <c r="S1789" s="158">
        <v>2.47</v>
      </c>
      <c r="T1789" s="157" t="s">
        <v>594</v>
      </c>
      <c r="U1789" s="46" t="s">
        <v>651</v>
      </c>
      <c r="V1789" s="46" t="b">
        <v>1</v>
      </c>
      <c r="W1789" s="46">
        <v>0.95</v>
      </c>
      <c r="X1789" s="46">
        <v>0.0</v>
      </c>
      <c r="Y1789" s="46">
        <v>9.30750840107642</v>
      </c>
      <c r="Z1789" s="46" t="b">
        <v>1</v>
      </c>
      <c r="AA1789" s="46" t="b">
        <v>1</v>
      </c>
    </row>
    <row r="1790">
      <c r="A1790" s="157" t="s">
        <v>557</v>
      </c>
      <c r="B1790" s="158">
        <v>1.0</v>
      </c>
      <c r="C1790" s="157" t="s">
        <v>642</v>
      </c>
      <c r="D1790" s="157" t="s">
        <v>643</v>
      </c>
      <c r="E1790" s="157" t="s">
        <v>644</v>
      </c>
      <c r="F1790" s="162" t="s">
        <v>5411</v>
      </c>
      <c r="G1790" s="157" t="s">
        <v>5412</v>
      </c>
      <c r="H1790" s="157"/>
      <c r="I1790" s="158">
        <v>6.73103049605836</v>
      </c>
      <c r="J1790" s="158">
        <v>51.4603021102245</v>
      </c>
      <c r="K1790" s="157" t="s">
        <v>3805</v>
      </c>
      <c r="L1790" s="157" t="s">
        <v>648</v>
      </c>
      <c r="M1790" s="158">
        <v>2022.0</v>
      </c>
      <c r="N1790" s="157" t="s">
        <v>649</v>
      </c>
      <c r="O1790" s="157" t="s">
        <v>650</v>
      </c>
      <c r="P1790" s="161" t="b">
        <v>0</v>
      </c>
      <c r="Q1790" s="158">
        <v>2.47</v>
      </c>
      <c r="R1790" s="158">
        <v>0.0</v>
      </c>
      <c r="S1790" s="158">
        <v>2.47</v>
      </c>
      <c r="T1790" s="157" t="s">
        <v>594</v>
      </c>
      <c r="U1790" s="46" t="s">
        <v>651</v>
      </c>
      <c r="V1790" s="46" t="b">
        <v>1</v>
      </c>
      <c r="W1790" s="46">
        <v>0.95</v>
      </c>
      <c r="X1790" s="46">
        <v>0.0</v>
      </c>
      <c r="Y1790" s="46">
        <v>4.2975765718607</v>
      </c>
      <c r="Z1790" s="46" t="b">
        <v>1</v>
      </c>
      <c r="AA1790" s="46" t="b">
        <v>1</v>
      </c>
    </row>
    <row r="1791">
      <c r="A1791" s="157" t="s">
        <v>557</v>
      </c>
      <c r="B1791" s="158">
        <v>1.0</v>
      </c>
      <c r="C1791" s="157" t="s">
        <v>642</v>
      </c>
      <c r="D1791" s="157" t="s">
        <v>643</v>
      </c>
      <c r="E1791" s="157" t="s">
        <v>644</v>
      </c>
      <c r="F1791" s="162" t="s">
        <v>5413</v>
      </c>
      <c r="G1791" s="157" t="s">
        <v>5414</v>
      </c>
      <c r="H1791" s="157"/>
      <c r="I1791" s="158">
        <v>8.95345043811679</v>
      </c>
      <c r="J1791" s="158">
        <v>50.0876757039267</v>
      </c>
      <c r="K1791" s="157" t="s">
        <v>5415</v>
      </c>
      <c r="L1791" s="157" t="s">
        <v>648</v>
      </c>
      <c r="M1791" s="158">
        <v>2022.0</v>
      </c>
      <c r="N1791" s="157" t="s">
        <v>649</v>
      </c>
      <c r="O1791" s="157" t="s">
        <v>650</v>
      </c>
      <c r="P1791" s="161" t="b">
        <v>0</v>
      </c>
      <c r="Q1791" s="158">
        <v>2.08</v>
      </c>
      <c r="R1791" s="158">
        <v>0.0</v>
      </c>
      <c r="S1791" s="158">
        <v>2.08</v>
      </c>
      <c r="T1791" s="157" t="s">
        <v>594</v>
      </c>
      <c r="U1791" s="46" t="s">
        <v>651</v>
      </c>
      <c r="V1791" s="46" t="b">
        <v>1</v>
      </c>
      <c r="W1791" s="46">
        <v>0.95</v>
      </c>
      <c r="X1791" s="46">
        <v>0.0</v>
      </c>
      <c r="Y1791" s="46">
        <v>3.04602867863819</v>
      </c>
      <c r="Z1791" s="46" t="b">
        <v>1</v>
      </c>
      <c r="AA1791" s="46" t="b">
        <v>1</v>
      </c>
    </row>
    <row r="1792">
      <c r="A1792" s="157" t="s">
        <v>557</v>
      </c>
      <c r="B1792" s="158">
        <v>1.0</v>
      </c>
      <c r="C1792" s="157" t="s">
        <v>642</v>
      </c>
      <c r="D1792" s="157" t="s">
        <v>643</v>
      </c>
      <c r="E1792" s="157" t="s">
        <v>644</v>
      </c>
      <c r="F1792" s="162" t="s">
        <v>5416</v>
      </c>
      <c r="G1792" s="157" t="s">
        <v>5417</v>
      </c>
      <c r="H1792" s="157"/>
      <c r="I1792" s="158">
        <v>7.61912788063279</v>
      </c>
      <c r="J1792" s="158">
        <v>51.6371657731015</v>
      </c>
      <c r="K1792" s="157" t="s">
        <v>4004</v>
      </c>
      <c r="L1792" s="157" t="s">
        <v>648</v>
      </c>
      <c r="M1792" s="158">
        <v>2022.0</v>
      </c>
      <c r="N1792" s="157" t="s">
        <v>649</v>
      </c>
      <c r="O1792" s="157" t="s">
        <v>650</v>
      </c>
      <c r="P1792" s="161" t="b">
        <v>0</v>
      </c>
      <c r="Q1792" s="158">
        <v>1.99</v>
      </c>
      <c r="R1792" s="158">
        <v>0.0</v>
      </c>
      <c r="S1792" s="158">
        <v>1.99</v>
      </c>
      <c r="T1792" s="157" t="s">
        <v>594</v>
      </c>
      <c r="U1792" s="46" t="s">
        <v>651</v>
      </c>
      <c r="V1792" s="46" t="b">
        <v>1</v>
      </c>
      <c r="W1792" s="46">
        <v>0.95</v>
      </c>
      <c r="X1792" s="46">
        <v>0.0</v>
      </c>
      <c r="Y1792" s="46">
        <v>1.24796626969111</v>
      </c>
      <c r="Z1792" s="46" t="b">
        <v>1</v>
      </c>
      <c r="AA1792" s="46" t="b">
        <v>1</v>
      </c>
    </row>
    <row r="1793">
      <c r="A1793" s="157" t="s">
        <v>557</v>
      </c>
      <c r="B1793" s="158">
        <v>1.0</v>
      </c>
      <c r="C1793" s="157" t="s">
        <v>642</v>
      </c>
      <c r="D1793" s="157" t="s">
        <v>643</v>
      </c>
      <c r="E1793" s="157" t="s">
        <v>644</v>
      </c>
      <c r="F1793" s="162" t="s">
        <v>5418</v>
      </c>
      <c r="G1793" s="157" t="s">
        <v>5419</v>
      </c>
      <c r="H1793" s="157"/>
      <c r="I1793" s="158">
        <v>9.20758224387619</v>
      </c>
      <c r="J1793" s="158">
        <v>49.175625237201</v>
      </c>
      <c r="K1793" s="157" t="s">
        <v>5420</v>
      </c>
      <c r="L1793" s="157" t="s">
        <v>648</v>
      </c>
      <c r="M1793" s="158">
        <v>2022.0</v>
      </c>
      <c r="N1793" s="157" t="s">
        <v>649</v>
      </c>
      <c r="O1793" s="157" t="s">
        <v>650</v>
      </c>
      <c r="P1793" s="161" t="b">
        <v>0</v>
      </c>
      <c r="Q1793" s="158">
        <v>1.98</v>
      </c>
      <c r="R1793" s="158">
        <v>0.0</v>
      </c>
      <c r="S1793" s="158">
        <v>1.98</v>
      </c>
      <c r="T1793" s="157" t="s">
        <v>594</v>
      </c>
      <c r="U1793" s="46" t="s">
        <v>651</v>
      </c>
      <c r="V1793" s="46" t="b">
        <v>1</v>
      </c>
      <c r="W1793" s="46">
        <v>0.95</v>
      </c>
      <c r="X1793" s="46">
        <v>0.0</v>
      </c>
      <c r="Y1793" s="46">
        <v>37.8588593425657</v>
      </c>
      <c r="Z1793" s="46" t="b">
        <v>1</v>
      </c>
      <c r="AA1793" s="46" t="b">
        <v>1</v>
      </c>
    </row>
    <row r="1794">
      <c r="A1794" s="157" t="s">
        <v>557</v>
      </c>
      <c r="B1794" s="158">
        <v>1.0</v>
      </c>
      <c r="C1794" s="157" t="s">
        <v>642</v>
      </c>
      <c r="D1794" s="157" t="s">
        <v>643</v>
      </c>
      <c r="E1794" s="157" t="s">
        <v>644</v>
      </c>
      <c r="F1794" s="162" t="s">
        <v>5421</v>
      </c>
      <c r="G1794" s="157" t="s">
        <v>5422</v>
      </c>
      <c r="H1794" s="157"/>
      <c r="I1794" s="158">
        <v>10.7683357741011</v>
      </c>
      <c r="J1794" s="158">
        <v>52.4295368855921</v>
      </c>
      <c r="K1794" s="157" t="s">
        <v>5423</v>
      </c>
      <c r="L1794" s="157" t="s">
        <v>648</v>
      </c>
      <c r="M1794" s="158">
        <v>2022.0</v>
      </c>
      <c r="N1794" s="157" t="s">
        <v>649</v>
      </c>
      <c r="O1794" s="157" t="s">
        <v>650</v>
      </c>
      <c r="P1794" s="161" t="b">
        <v>0</v>
      </c>
      <c r="Q1794" s="158">
        <v>1.86</v>
      </c>
      <c r="R1794" s="158">
        <v>0.0</v>
      </c>
      <c r="S1794" s="158">
        <v>1.86</v>
      </c>
      <c r="T1794" s="157" t="s">
        <v>594</v>
      </c>
      <c r="U1794" s="46" t="s">
        <v>651</v>
      </c>
      <c r="V1794" s="46" t="b">
        <v>1</v>
      </c>
      <c r="W1794" s="46">
        <v>0.95</v>
      </c>
      <c r="X1794" s="46">
        <v>0.0</v>
      </c>
      <c r="Y1794" s="46">
        <v>11.6491586251589</v>
      </c>
      <c r="Z1794" s="46" t="b">
        <v>1</v>
      </c>
      <c r="AA1794" s="46" t="b">
        <v>1</v>
      </c>
    </row>
    <row r="1795">
      <c r="A1795" s="157" t="s">
        <v>557</v>
      </c>
      <c r="B1795" s="158">
        <v>1.0</v>
      </c>
      <c r="C1795" s="157" t="s">
        <v>642</v>
      </c>
      <c r="D1795" s="157" t="s">
        <v>643</v>
      </c>
      <c r="E1795" s="157" t="s">
        <v>644</v>
      </c>
      <c r="F1795" s="162" t="s">
        <v>5424</v>
      </c>
      <c r="G1795" s="157" t="s">
        <v>5425</v>
      </c>
      <c r="H1795" s="157"/>
      <c r="I1795" s="158">
        <v>14.6333977168196</v>
      </c>
      <c r="J1795" s="158">
        <v>52.1628098829244</v>
      </c>
      <c r="K1795" s="157" t="s">
        <v>5134</v>
      </c>
      <c r="L1795" s="157" t="s">
        <v>648</v>
      </c>
      <c r="M1795" s="158">
        <v>2022.0</v>
      </c>
      <c r="N1795" s="157" t="s">
        <v>649</v>
      </c>
      <c r="O1795" s="157" t="s">
        <v>650</v>
      </c>
      <c r="P1795" s="161" t="b">
        <v>0</v>
      </c>
      <c r="Q1795" s="158">
        <v>1.81</v>
      </c>
      <c r="R1795" s="158">
        <v>0.0</v>
      </c>
      <c r="S1795" s="158">
        <v>1.81</v>
      </c>
      <c r="T1795" s="157" t="s">
        <v>594</v>
      </c>
      <c r="U1795" s="46" t="s">
        <v>651</v>
      </c>
      <c r="V1795" s="46" t="b">
        <v>1</v>
      </c>
      <c r="W1795" s="46">
        <v>0.95</v>
      </c>
      <c r="X1795" s="46">
        <v>0.0</v>
      </c>
      <c r="Y1795" s="46">
        <v>21.6330213926782</v>
      </c>
      <c r="Z1795" s="46" t="b">
        <v>1</v>
      </c>
      <c r="AA1795" s="46" t="b">
        <v>1</v>
      </c>
    </row>
    <row r="1796">
      <c r="A1796" s="157" t="s">
        <v>557</v>
      </c>
      <c r="B1796" s="158">
        <v>1.0</v>
      </c>
      <c r="C1796" s="157" t="s">
        <v>642</v>
      </c>
      <c r="D1796" s="157" t="s">
        <v>643</v>
      </c>
      <c r="E1796" s="157" t="s">
        <v>644</v>
      </c>
      <c r="F1796" s="162" t="s">
        <v>5426</v>
      </c>
      <c r="G1796" s="157" t="s">
        <v>5427</v>
      </c>
      <c r="H1796" s="157"/>
      <c r="I1796" s="158">
        <v>11.6397995539132</v>
      </c>
      <c r="J1796" s="158">
        <v>48.1811997496463</v>
      </c>
      <c r="K1796" s="157" t="s">
        <v>5428</v>
      </c>
      <c r="L1796" s="157" t="s">
        <v>648</v>
      </c>
      <c r="M1796" s="158">
        <v>2022.0</v>
      </c>
      <c r="N1796" s="157" t="s">
        <v>649</v>
      </c>
      <c r="O1796" s="157" t="s">
        <v>650</v>
      </c>
      <c r="P1796" s="161" t="b">
        <v>0</v>
      </c>
      <c r="Q1796" s="158">
        <v>1.81</v>
      </c>
      <c r="R1796" s="158">
        <v>0.0</v>
      </c>
      <c r="S1796" s="158">
        <v>1.81</v>
      </c>
      <c r="T1796" s="157" t="s">
        <v>594</v>
      </c>
      <c r="U1796" s="46" t="s">
        <v>651</v>
      </c>
      <c r="V1796" s="46" t="b">
        <v>1</v>
      </c>
      <c r="W1796" s="46">
        <v>0.95</v>
      </c>
      <c r="X1796" s="46">
        <v>0.0</v>
      </c>
      <c r="Y1796" s="46">
        <v>24.7579882703756</v>
      </c>
      <c r="Z1796" s="46" t="b">
        <v>1</v>
      </c>
      <c r="AA1796" s="46" t="b">
        <v>1</v>
      </c>
    </row>
    <row r="1797">
      <c r="A1797" s="157" t="s">
        <v>557</v>
      </c>
      <c r="B1797" s="158">
        <v>1.0</v>
      </c>
      <c r="C1797" s="157" t="s">
        <v>642</v>
      </c>
      <c r="D1797" s="157" t="s">
        <v>643</v>
      </c>
      <c r="E1797" s="157" t="s">
        <v>644</v>
      </c>
      <c r="F1797" s="162" t="s">
        <v>5429</v>
      </c>
      <c r="G1797" s="157" t="s">
        <v>5430</v>
      </c>
      <c r="H1797" s="157"/>
      <c r="I1797" s="158">
        <v>12.1329421897267</v>
      </c>
      <c r="J1797" s="158">
        <v>54.1428127980716</v>
      </c>
      <c r="K1797" s="157" t="s">
        <v>5431</v>
      </c>
      <c r="L1797" s="157" t="s">
        <v>648</v>
      </c>
      <c r="M1797" s="158">
        <v>2022.0</v>
      </c>
      <c r="N1797" s="157" t="s">
        <v>649</v>
      </c>
      <c r="O1797" s="157" t="s">
        <v>650</v>
      </c>
      <c r="P1797" s="161" t="b">
        <v>0</v>
      </c>
      <c r="Q1797" s="158">
        <v>1.74</v>
      </c>
      <c r="R1797" s="158">
        <v>0.0</v>
      </c>
      <c r="S1797" s="158">
        <v>1.74</v>
      </c>
      <c r="T1797" s="157" t="s">
        <v>594</v>
      </c>
      <c r="U1797" s="46" t="s">
        <v>651</v>
      </c>
      <c r="V1797" s="46" t="b">
        <v>1</v>
      </c>
      <c r="W1797" s="46">
        <v>0.95</v>
      </c>
      <c r="X1797" s="46">
        <v>0.0</v>
      </c>
      <c r="Y1797" s="46">
        <v>139.145807624838</v>
      </c>
      <c r="Z1797" s="46" t="b">
        <v>0</v>
      </c>
      <c r="AA1797" s="46" t="b">
        <v>0</v>
      </c>
    </row>
    <row r="1798">
      <c r="A1798" s="157" t="s">
        <v>557</v>
      </c>
      <c r="B1798" s="158">
        <v>1.0</v>
      </c>
      <c r="C1798" s="157" t="s">
        <v>642</v>
      </c>
      <c r="D1798" s="157" t="s">
        <v>643</v>
      </c>
      <c r="E1798" s="157" t="s">
        <v>644</v>
      </c>
      <c r="F1798" s="162" t="s">
        <v>5432</v>
      </c>
      <c r="G1798" s="157" t="s">
        <v>5433</v>
      </c>
      <c r="H1798" s="157"/>
      <c r="I1798" s="158">
        <v>9.64759600897811</v>
      </c>
      <c r="J1798" s="158">
        <v>52.42031711</v>
      </c>
      <c r="K1798" s="157" t="s">
        <v>3709</v>
      </c>
      <c r="L1798" s="157" t="s">
        <v>648</v>
      </c>
      <c r="M1798" s="158">
        <v>2022.0</v>
      </c>
      <c r="N1798" s="157" t="s">
        <v>649</v>
      </c>
      <c r="O1798" s="157" t="s">
        <v>650</v>
      </c>
      <c r="P1798" s="161" t="b">
        <v>0</v>
      </c>
      <c r="Q1798" s="158">
        <v>1.7</v>
      </c>
      <c r="R1798" s="158">
        <v>0.0</v>
      </c>
      <c r="S1798" s="158">
        <v>1.7</v>
      </c>
      <c r="T1798" s="157" t="s">
        <v>594</v>
      </c>
      <c r="U1798" s="46" t="s">
        <v>651</v>
      </c>
      <c r="V1798" s="46" t="b">
        <v>1</v>
      </c>
      <c r="W1798" s="46">
        <v>0.95</v>
      </c>
      <c r="X1798" s="46">
        <v>0.0</v>
      </c>
      <c r="Y1798" s="46">
        <v>13.7731986809209</v>
      </c>
      <c r="Z1798" s="46" t="b">
        <v>1</v>
      </c>
      <c r="AA1798" s="46" t="b">
        <v>1</v>
      </c>
    </row>
    <row r="1799">
      <c r="A1799" s="157" t="s">
        <v>557</v>
      </c>
      <c r="B1799" s="158">
        <v>1.0</v>
      </c>
      <c r="C1799" s="157" t="s">
        <v>642</v>
      </c>
      <c r="D1799" s="157" t="s">
        <v>643</v>
      </c>
      <c r="E1799" s="157" t="s">
        <v>644</v>
      </c>
      <c r="F1799" s="162" t="s">
        <v>5434</v>
      </c>
      <c r="G1799" s="157" t="s">
        <v>5435</v>
      </c>
      <c r="H1799" s="157"/>
      <c r="I1799" s="158">
        <v>8.13830210720109</v>
      </c>
      <c r="J1799" s="158">
        <v>53.5735358511467</v>
      </c>
      <c r="K1799" s="157" t="s">
        <v>3652</v>
      </c>
      <c r="L1799" s="157" t="s">
        <v>648</v>
      </c>
      <c r="M1799" s="158">
        <v>2022.0</v>
      </c>
      <c r="N1799" s="157" t="s">
        <v>649</v>
      </c>
      <c r="O1799" s="157" t="s">
        <v>650</v>
      </c>
      <c r="P1799" s="161" t="b">
        <v>0</v>
      </c>
      <c r="Q1799" s="158">
        <v>1.69</v>
      </c>
      <c r="R1799" s="158">
        <v>0.0</v>
      </c>
      <c r="S1799" s="158">
        <v>1.69</v>
      </c>
      <c r="T1799" s="157" t="s">
        <v>594</v>
      </c>
      <c r="U1799" s="46" t="s">
        <v>651</v>
      </c>
      <c r="V1799" s="46" t="b">
        <v>1</v>
      </c>
      <c r="W1799" s="46">
        <v>0.95</v>
      </c>
      <c r="X1799" s="46">
        <v>0.0</v>
      </c>
      <c r="Y1799" s="46">
        <v>1.7297658569645</v>
      </c>
      <c r="Z1799" s="46" t="b">
        <v>1</v>
      </c>
      <c r="AA1799" s="46" t="b">
        <v>1</v>
      </c>
    </row>
    <row r="1800">
      <c r="A1800" s="157" t="s">
        <v>557</v>
      </c>
      <c r="B1800" s="158">
        <v>1.0</v>
      </c>
      <c r="C1800" s="157" t="s">
        <v>642</v>
      </c>
      <c r="D1800" s="157" t="s">
        <v>643</v>
      </c>
      <c r="E1800" s="157" t="s">
        <v>644</v>
      </c>
      <c r="F1800" s="162" t="s">
        <v>5436</v>
      </c>
      <c r="G1800" s="157" t="s">
        <v>5437</v>
      </c>
      <c r="H1800" s="157"/>
      <c r="I1800" s="158">
        <v>7.18745829017412</v>
      </c>
      <c r="J1800" s="158">
        <v>51.5507389418603</v>
      </c>
      <c r="K1800" s="157" t="s">
        <v>5438</v>
      </c>
      <c r="L1800" s="157" t="s">
        <v>648</v>
      </c>
      <c r="M1800" s="158">
        <v>2022.0</v>
      </c>
      <c r="N1800" s="157" t="s">
        <v>649</v>
      </c>
      <c r="O1800" s="157" t="s">
        <v>650</v>
      </c>
      <c r="P1800" s="161" t="b">
        <v>0</v>
      </c>
      <c r="Q1800" s="158">
        <v>1.66</v>
      </c>
      <c r="R1800" s="158">
        <v>0.0</v>
      </c>
      <c r="S1800" s="158">
        <v>1.66</v>
      </c>
      <c r="T1800" s="157" t="s">
        <v>594</v>
      </c>
      <c r="U1800" s="46" t="s">
        <v>651</v>
      </c>
      <c r="V1800" s="46" t="b">
        <v>1</v>
      </c>
      <c r="W1800" s="46">
        <v>0.95</v>
      </c>
      <c r="X1800" s="46">
        <v>0.0</v>
      </c>
      <c r="Y1800" s="46">
        <v>15.7973751774172</v>
      </c>
      <c r="Z1800" s="46" t="b">
        <v>1</v>
      </c>
      <c r="AA1800" s="46" t="b">
        <v>1</v>
      </c>
    </row>
    <row r="1801">
      <c r="A1801" s="157" t="s">
        <v>557</v>
      </c>
      <c r="B1801" s="158">
        <v>1.0</v>
      </c>
      <c r="C1801" s="157" t="s">
        <v>642</v>
      </c>
      <c r="D1801" s="157" t="s">
        <v>643</v>
      </c>
      <c r="E1801" s="157" t="s">
        <v>644</v>
      </c>
      <c r="F1801" s="162" t="s">
        <v>5439</v>
      </c>
      <c r="G1801" s="157" t="s">
        <v>5440</v>
      </c>
      <c r="H1801" s="157"/>
      <c r="I1801" s="158">
        <v>13.2437266143066</v>
      </c>
      <c r="J1801" s="158">
        <v>52.5352566604794</v>
      </c>
      <c r="K1801" s="157" t="s">
        <v>5441</v>
      </c>
      <c r="L1801" s="157" t="s">
        <v>648</v>
      </c>
      <c r="M1801" s="158">
        <v>2022.0</v>
      </c>
      <c r="N1801" s="157" t="s">
        <v>649</v>
      </c>
      <c r="O1801" s="157" t="s">
        <v>650</v>
      </c>
      <c r="P1801" s="161" t="b">
        <v>0</v>
      </c>
      <c r="Q1801" s="158">
        <v>1.64</v>
      </c>
      <c r="R1801" s="158">
        <v>0.0</v>
      </c>
      <c r="S1801" s="158">
        <v>1.64</v>
      </c>
      <c r="T1801" s="157" t="s">
        <v>594</v>
      </c>
      <c r="U1801" s="46" t="s">
        <v>651</v>
      </c>
      <c r="V1801" s="46" t="b">
        <v>1</v>
      </c>
      <c r="W1801" s="46">
        <v>0.95</v>
      </c>
      <c r="X1801" s="46">
        <v>0.0</v>
      </c>
      <c r="Y1801" s="46">
        <v>14.7152082372385</v>
      </c>
      <c r="Z1801" s="46" t="b">
        <v>1</v>
      </c>
      <c r="AA1801" s="46" t="b">
        <v>1</v>
      </c>
    </row>
    <row r="1802">
      <c r="A1802" s="157" t="s">
        <v>557</v>
      </c>
      <c r="B1802" s="158">
        <v>1.0</v>
      </c>
      <c r="C1802" s="157" t="s">
        <v>642</v>
      </c>
      <c r="D1802" s="157" t="s">
        <v>643</v>
      </c>
      <c r="E1802" s="157" t="s">
        <v>644</v>
      </c>
      <c r="F1802" s="162" t="s">
        <v>5442</v>
      </c>
      <c r="G1802" s="157" t="s">
        <v>5443</v>
      </c>
      <c r="H1802" s="157"/>
      <c r="I1802" s="158">
        <v>9.37130176590088</v>
      </c>
      <c r="J1802" s="158">
        <v>48.7191069802679</v>
      </c>
      <c r="K1802" s="157" t="s">
        <v>5444</v>
      </c>
      <c r="L1802" s="157" t="s">
        <v>648</v>
      </c>
      <c r="M1802" s="158">
        <v>2022.0</v>
      </c>
      <c r="N1802" s="157" t="s">
        <v>649</v>
      </c>
      <c r="O1802" s="157" t="s">
        <v>650</v>
      </c>
      <c r="P1802" s="161" t="b">
        <v>0</v>
      </c>
      <c r="Q1802" s="158">
        <v>1.54</v>
      </c>
      <c r="R1802" s="158">
        <v>0.0</v>
      </c>
      <c r="S1802" s="158">
        <v>1.54</v>
      </c>
      <c r="T1802" s="157" t="s">
        <v>594</v>
      </c>
      <c r="U1802" s="46" t="s">
        <v>651</v>
      </c>
      <c r="V1802" s="46" t="b">
        <v>1</v>
      </c>
      <c r="W1802" s="46">
        <v>0.95</v>
      </c>
      <c r="X1802" s="46">
        <v>0.0</v>
      </c>
      <c r="Y1802" s="46">
        <v>3.26842087452516</v>
      </c>
      <c r="Z1802" s="46" t="b">
        <v>1</v>
      </c>
      <c r="AA1802" s="46" t="b">
        <v>1</v>
      </c>
    </row>
    <row r="1803">
      <c r="A1803" s="157" t="s">
        <v>557</v>
      </c>
      <c r="B1803" s="158">
        <v>1.0</v>
      </c>
      <c r="C1803" s="157" t="s">
        <v>642</v>
      </c>
      <c r="D1803" s="157" t="s">
        <v>643</v>
      </c>
      <c r="E1803" s="157" t="s">
        <v>644</v>
      </c>
      <c r="F1803" s="162" t="s">
        <v>5445</v>
      </c>
      <c r="G1803" s="157" t="s">
        <v>5446</v>
      </c>
      <c r="H1803" s="157"/>
      <c r="I1803" s="158">
        <v>11.7994727126333</v>
      </c>
      <c r="J1803" s="158">
        <v>48.4553381955641</v>
      </c>
      <c r="K1803" s="157" t="s">
        <v>5447</v>
      </c>
      <c r="L1803" s="157" t="s">
        <v>648</v>
      </c>
      <c r="M1803" s="158">
        <v>2022.0</v>
      </c>
      <c r="N1803" s="157" t="s">
        <v>649</v>
      </c>
      <c r="O1803" s="157" t="s">
        <v>650</v>
      </c>
      <c r="P1803" s="161" t="b">
        <v>0</v>
      </c>
      <c r="Q1803" s="158">
        <v>1.41</v>
      </c>
      <c r="R1803" s="158">
        <v>0.0</v>
      </c>
      <c r="S1803" s="158">
        <v>1.41</v>
      </c>
      <c r="T1803" s="157" t="s">
        <v>594</v>
      </c>
      <c r="U1803" s="46" t="s">
        <v>651</v>
      </c>
      <c r="V1803" s="46" t="b">
        <v>1</v>
      </c>
      <c r="W1803" s="46">
        <v>0.95</v>
      </c>
      <c r="X1803" s="46">
        <v>0.0</v>
      </c>
      <c r="Y1803" s="46">
        <v>5.37530242285819</v>
      </c>
      <c r="Z1803" s="46" t="b">
        <v>1</v>
      </c>
      <c r="AA1803" s="46" t="b">
        <v>1</v>
      </c>
    </row>
    <row r="1804">
      <c r="A1804" s="157" t="s">
        <v>557</v>
      </c>
      <c r="B1804" s="158">
        <v>1.0</v>
      </c>
      <c r="C1804" s="157" t="s">
        <v>642</v>
      </c>
      <c r="D1804" s="157" t="s">
        <v>643</v>
      </c>
      <c r="E1804" s="157" t="s">
        <v>644</v>
      </c>
      <c r="F1804" s="162" t="s">
        <v>5448</v>
      </c>
      <c r="G1804" s="157" t="s">
        <v>5449</v>
      </c>
      <c r="H1804" s="157"/>
      <c r="I1804" s="158">
        <v>8.99600372621488</v>
      </c>
      <c r="J1804" s="158">
        <v>52.38282054</v>
      </c>
      <c r="K1804" s="157" t="s">
        <v>5450</v>
      </c>
      <c r="L1804" s="157" t="s">
        <v>648</v>
      </c>
      <c r="M1804" s="158">
        <v>2022.0</v>
      </c>
      <c r="N1804" s="157" t="s">
        <v>649</v>
      </c>
      <c r="O1804" s="157" t="s">
        <v>650</v>
      </c>
      <c r="P1804" s="161" t="b">
        <v>0</v>
      </c>
      <c r="Q1804" s="158">
        <v>1.38</v>
      </c>
      <c r="R1804" s="158">
        <v>0.0</v>
      </c>
      <c r="S1804" s="158">
        <v>1.38</v>
      </c>
      <c r="T1804" s="157" t="s">
        <v>594</v>
      </c>
      <c r="U1804" s="46" t="s">
        <v>651</v>
      </c>
      <c r="V1804" s="46" t="b">
        <v>1</v>
      </c>
      <c r="W1804" s="46">
        <v>0.95</v>
      </c>
      <c r="X1804" s="46">
        <v>0.0</v>
      </c>
      <c r="Y1804" s="46">
        <v>49.4946661796552</v>
      </c>
      <c r="Z1804" s="46" t="b">
        <v>1</v>
      </c>
      <c r="AA1804" s="46" t="b">
        <v>1</v>
      </c>
    </row>
    <row r="1805">
      <c r="A1805" s="157" t="s">
        <v>557</v>
      </c>
      <c r="B1805" s="158">
        <v>1.0</v>
      </c>
      <c r="C1805" s="157" t="s">
        <v>642</v>
      </c>
      <c r="D1805" s="157" t="s">
        <v>643</v>
      </c>
      <c r="E1805" s="157" t="s">
        <v>644</v>
      </c>
      <c r="F1805" s="162" t="s">
        <v>5451</v>
      </c>
      <c r="G1805" s="157" t="s">
        <v>5452</v>
      </c>
      <c r="H1805" s="157"/>
      <c r="I1805" s="158">
        <v>7.30605725134808</v>
      </c>
      <c r="J1805" s="158">
        <v>52.4807255600298</v>
      </c>
      <c r="K1805" s="157" t="s">
        <v>4518</v>
      </c>
      <c r="L1805" s="157" t="s">
        <v>648</v>
      </c>
      <c r="M1805" s="158">
        <v>2022.0</v>
      </c>
      <c r="N1805" s="157" t="s">
        <v>649</v>
      </c>
      <c r="O1805" s="157" t="s">
        <v>650</v>
      </c>
      <c r="P1805" s="161" t="b">
        <v>0</v>
      </c>
      <c r="Q1805" s="158">
        <v>1.37</v>
      </c>
      <c r="R1805" s="158">
        <v>0.0</v>
      </c>
      <c r="S1805" s="158">
        <v>1.37</v>
      </c>
      <c r="T1805" s="157" t="s">
        <v>594</v>
      </c>
      <c r="U1805" s="46" t="s">
        <v>651</v>
      </c>
      <c r="V1805" s="46" t="b">
        <v>1</v>
      </c>
      <c r="W1805" s="46">
        <v>0.95</v>
      </c>
      <c r="X1805" s="46">
        <v>0.0</v>
      </c>
      <c r="Y1805" s="46">
        <v>7.50043426348839</v>
      </c>
      <c r="Z1805" s="46" t="b">
        <v>1</v>
      </c>
      <c r="AA1805" s="46" t="b">
        <v>1</v>
      </c>
    </row>
    <row r="1806">
      <c r="A1806" s="157" t="s">
        <v>557</v>
      </c>
      <c r="B1806" s="158">
        <v>1.0</v>
      </c>
      <c r="C1806" s="157" t="s">
        <v>642</v>
      </c>
      <c r="D1806" s="157" t="s">
        <v>643</v>
      </c>
      <c r="E1806" s="157" t="s">
        <v>644</v>
      </c>
      <c r="F1806" s="162" t="s">
        <v>5453</v>
      </c>
      <c r="G1806" s="157" t="s">
        <v>5454</v>
      </c>
      <c r="H1806" s="157"/>
      <c r="I1806" s="158">
        <v>9.725753134</v>
      </c>
      <c r="J1806" s="158">
        <v>53.5667524142052</v>
      </c>
      <c r="K1806" s="157" t="s">
        <v>5455</v>
      </c>
      <c r="L1806" s="157" t="s">
        <v>648</v>
      </c>
      <c r="M1806" s="158">
        <v>2022.0</v>
      </c>
      <c r="N1806" s="157" t="s">
        <v>649</v>
      </c>
      <c r="O1806" s="157" t="s">
        <v>650</v>
      </c>
      <c r="P1806" s="161" t="b">
        <v>0</v>
      </c>
      <c r="Q1806" s="158">
        <v>1.27</v>
      </c>
      <c r="R1806" s="158">
        <v>0.0</v>
      </c>
      <c r="S1806" s="158">
        <v>1.27</v>
      </c>
      <c r="T1806" s="157" t="s">
        <v>594</v>
      </c>
      <c r="U1806" s="46" t="s">
        <v>651</v>
      </c>
      <c r="V1806" s="46" t="b">
        <v>1</v>
      </c>
      <c r="W1806" s="46">
        <v>0.95</v>
      </c>
      <c r="X1806" s="46">
        <v>0.0</v>
      </c>
      <c r="Y1806" s="46">
        <v>2.01314584642593</v>
      </c>
      <c r="Z1806" s="46" t="b">
        <v>1</v>
      </c>
      <c r="AA1806" s="46" t="b">
        <v>1</v>
      </c>
    </row>
    <row r="1807">
      <c r="A1807" s="157" t="s">
        <v>557</v>
      </c>
      <c r="B1807" s="158">
        <v>1.0</v>
      </c>
      <c r="C1807" s="157" t="s">
        <v>642</v>
      </c>
      <c r="D1807" s="157" t="s">
        <v>643</v>
      </c>
      <c r="E1807" s="157" t="s">
        <v>644</v>
      </c>
      <c r="F1807" s="162" t="s">
        <v>5456</v>
      </c>
      <c r="G1807" s="157" t="s">
        <v>5457</v>
      </c>
      <c r="H1807" s="157"/>
      <c r="I1807" s="158">
        <v>8.516171218</v>
      </c>
      <c r="J1807" s="158">
        <v>53.20209877</v>
      </c>
      <c r="K1807" s="157" t="s">
        <v>899</v>
      </c>
      <c r="L1807" s="157" t="s">
        <v>648</v>
      </c>
      <c r="M1807" s="158">
        <v>2022.0</v>
      </c>
      <c r="N1807" s="157" t="s">
        <v>649</v>
      </c>
      <c r="O1807" s="157" t="s">
        <v>650</v>
      </c>
      <c r="P1807" s="161" t="b">
        <v>0</v>
      </c>
      <c r="Q1807" s="158">
        <v>1.21</v>
      </c>
      <c r="R1807" s="158">
        <v>0.0</v>
      </c>
      <c r="S1807" s="158">
        <v>1.21</v>
      </c>
      <c r="T1807" s="157" t="s">
        <v>594</v>
      </c>
      <c r="U1807" s="46" t="s">
        <v>651</v>
      </c>
      <c r="V1807" s="46" t="b">
        <v>1</v>
      </c>
      <c r="W1807" s="46">
        <v>0.95</v>
      </c>
      <c r="X1807" s="46">
        <v>0.0</v>
      </c>
      <c r="Y1807" s="46">
        <v>8.976572908032</v>
      </c>
      <c r="Z1807" s="46" t="b">
        <v>1</v>
      </c>
      <c r="AA1807" s="46" t="b">
        <v>1</v>
      </c>
    </row>
    <row r="1808">
      <c r="A1808" s="157" t="s">
        <v>557</v>
      </c>
      <c r="B1808" s="158">
        <v>1.0</v>
      </c>
      <c r="C1808" s="157" t="s">
        <v>642</v>
      </c>
      <c r="D1808" s="157" t="s">
        <v>643</v>
      </c>
      <c r="E1808" s="157" t="s">
        <v>644</v>
      </c>
      <c r="F1808" s="162" t="s">
        <v>5458</v>
      </c>
      <c r="G1808" s="157" t="s">
        <v>5459</v>
      </c>
      <c r="H1808" s="157"/>
      <c r="I1808" s="158">
        <v>10.0655194812345</v>
      </c>
      <c r="J1808" s="158">
        <v>53.526085804033</v>
      </c>
      <c r="K1808" s="157" t="s">
        <v>903</v>
      </c>
      <c r="L1808" s="157" t="s">
        <v>648</v>
      </c>
      <c r="M1808" s="158">
        <v>2022.0</v>
      </c>
      <c r="N1808" s="157" t="s">
        <v>649</v>
      </c>
      <c r="O1808" s="157" t="s">
        <v>650</v>
      </c>
      <c r="P1808" s="161" t="b">
        <v>0</v>
      </c>
      <c r="Q1808" s="158">
        <v>1.21</v>
      </c>
      <c r="R1808" s="158">
        <v>0.0</v>
      </c>
      <c r="S1808" s="158">
        <v>1.21</v>
      </c>
      <c r="T1808" s="157" t="s">
        <v>594</v>
      </c>
      <c r="U1808" s="46" t="s">
        <v>651</v>
      </c>
      <c r="V1808" s="46" t="b">
        <v>1</v>
      </c>
      <c r="W1808" s="46">
        <v>0.95</v>
      </c>
      <c r="X1808" s="46">
        <v>0.0</v>
      </c>
      <c r="Y1808" s="46">
        <v>5.5848559150907</v>
      </c>
      <c r="Z1808" s="46" t="b">
        <v>1</v>
      </c>
      <c r="AA1808" s="46" t="b">
        <v>1</v>
      </c>
    </row>
    <row r="1809">
      <c r="A1809" s="157" t="s">
        <v>557</v>
      </c>
      <c r="B1809" s="158">
        <v>1.0</v>
      </c>
      <c r="C1809" s="157" t="s">
        <v>642</v>
      </c>
      <c r="D1809" s="157" t="s">
        <v>643</v>
      </c>
      <c r="E1809" s="157" t="s">
        <v>644</v>
      </c>
      <c r="F1809" s="162" t="s">
        <v>5460</v>
      </c>
      <c r="G1809" s="157" t="s">
        <v>5461</v>
      </c>
      <c r="H1809" s="157"/>
      <c r="I1809" s="158">
        <v>12.9230356184202</v>
      </c>
      <c r="J1809" s="158">
        <v>50.8566200635659</v>
      </c>
      <c r="K1809" s="157" t="s">
        <v>5462</v>
      </c>
      <c r="L1809" s="157" t="s">
        <v>648</v>
      </c>
      <c r="M1809" s="158">
        <v>2022.0</v>
      </c>
      <c r="N1809" s="157" t="s">
        <v>649</v>
      </c>
      <c r="O1809" s="157" t="s">
        <v>650</v>
      </c>
      <c r="P1809" s="161" t="b">
        <v>0</v>
      </c>
      <c r="Q1809" s="158">
        <v>1.15</v>
      </c>
      <c r="R1809" s="158">
        <v>0.0</v>
      </c>
      <c r="S1809" s="158">
        <v>1.15</v>
      </c>
      <c r="T1809" s="157" t="s">
        <v>594</v>
      </c>
      <c r="U1809" s="46" t="s">
        <v>651</v>
      </c>
      <c r="V1809" s="46" t="b">
        <v>1</v>
      </c>
      <c r="W1809" s="46">
        <v>0.95</v>
      </c>
      <c r="X1809" s="46">
        <v>0.0</v>
      </c>
      <c r="Y1809" s="46">
        <v>31.1861221987457</v>
      </c>
      <c r="Z1809" s="46" t="b">
        <v>1</v>
      </c>
      <c r="AA1809" s="46" t="b">
        <v>1</v>
      </c>
    </row>
    <row r="1810">
      <c r="A1810" s="157" t="s">
        <v>557</v>
      </c>
      <c r="B1810" s="158">
        <v>1.0</v>
      </c>
      <c r="C1810" s="157" t="s">
        <v>642</v>
      </c>
      <c r="D1810" s="157" t="s">
        <v>643</v>
      </c>
      <c r="E1810" s="157" t="s">
        <v>644</v>
      </c>
      <c r="F1810" s="162" t="s">
        <v>5463</v>
      </c>
      <c r="G1810" s="157" t="s">
        <v>5464</v>
      </c>
      <c r="H1810" s="157"/>
      <c r="I1810" s="158">
        <v>11.5792129311002</v>
      </c>
      <c r="J1810" s="158">
        <v>48.7670559965279</v>
      </c>
      <c r="K1810" s="157" t="s">
        <v>4540</v>
      </c>
      <c r="L1810" s="157" t="s">
        <v>648</v>
      </c>
      <c r="M1810" s="158">
        <v>2022.0</v>
      </c>
      <c r="N1810" s="157" t="s">
        <v>649</v>
      </c>
      <c r="O1810" s="157" t="s">
        <v>650</v>
      </c>
      <c r="P1810" s="161" t="b">
        <v>0</v>
      </c>
      <c r="Q1810" s="158">
        <v>1.11</v>
      </c>
      <c r="R1810" s="158">
        <v>0.0</v>
      </c>
      <c r="S1810" s="158">
        <v>1.11</v>
      </c>
      <c r="T1810" s="157" t="s">
        <v>594</v>
      </c>
      <c r="U1810" s="46" t="s">
        <v>651</v>
      </c>
      <c r="V1810" s="46" t="b">
        <v>1</v>
      </c>
      <c r="W1810" s="46">
        <v>0.95</v>
      </c>
      <c r="X1810" s="46">
        <v>0.0</v>
      </c>
      <c r="Y1810" s="46">
        <v>14.2506122649917</v>
      </c>
      <c r="Z1810" s="46" t="b">
        <v>1</v>
      </c>
      <c r="AA1810" s="46" t="b">
        <v>1</v>
      </c>
    </row>
    <row r="1811">
      <c r="A1811" s="157" t="s">
        <v>557</v>
      </c>
      <c r="B1811" s="158">
        <v>1.0</v>
      </c>
      <c r="C1811" s="157" t="s">
        <v>642</v>
      </c>
      <c r="D1811" s="157" t="s">
        <v>643</v>
      </c>
      <c r="E1811" s="157" t="s">
        <v>644</v>
      </c>
      <c r="F1811" s="162" t="s">
        <v>5465</v>
      </c>
      <c r="G1811" s="157" t="s">
        <v>5466</v>
      </c>
      <c r="H1811" s="157"/>
      <c r="I1811" s="158">
        <v>6.878998636</v>
      </c>
      <c r="J1811" s="158">
        <v>49.2491320648218</v>
      </c>
      <c r="K1811" s="157" t="s">
        <v>5467</v>
      </c>
      <c r="L1811" s="157" t="s">
        <v>648</v>
      </c>
      <c r="M1811" s="158">
        <v>2022.0</v>
      </c>
      <c r="N1811" s="157" t="s">
        <v>649</v>
      </c>
      <c r="O1811" s="157" t="s">
        <v>650</v>
      </c>
      <c r="P1811" s="161" t="b">
        <v>0</v>
      </c>
      <c r="Q1811" s="158">
        <v>1.04</v>
      </c>
      <c r="R1811" s="158">
        <v>0.0</v>
      </c>
      <c r="S1811" s="158">
        <v>1.04</v>
      </c>
      <c r="T1811" s="157" t="s">
        <v>594</v>
      </c>
      <c r="U1811" s="46" t="s">
        <v>651</v>
      </c>
      <c r="V1811" s="46" t="b">
        <v>1</v>
      </c>
      <c r="W1811" s="46">
        <v>0.95</v>
      </c>
      <c r="X1811" s="46">
        <v>0.0</v>
      </c>
      <c r="Y1811" s="46">
        <v>6.64160010702754</v>
      </c>
      <c r="Z1811" s="46" t="b">
        <v>1</v>
      </c>
      <c r="AA1811" s="46" t="b">
        <v>1</v>
      </c>
    </row>
    <row r="1812">
      <c r="A1812" s="157" t="s">
        <v>557</v>
      </c>
      <c r="B1812" s="158">
        <v>1.0</v>
      </c>
      <c r="C1812" s="157" t="s">
        <v>642</v>
      </c>
      <c r="D1812" s="157" t="s">
        <v>643</v>
      </c>
      <c r="E1812" s="157" t="s">
        <v>644</v>
      </c>
      <c r="F1812" s="162" t="s">
        <v>5468</v>
      </c>
      <c r="G1812" s="157" t="s">
        <v>5469</v>
      </c>
      <c r="H1812" s="157"/>
      <c r="I1812" s="158">
        <v>6.74166740311066</v>
      </c>
      <c r="J1812" s="158">
        <v>49.3545901239858</v>
      </c>
      <c r="K1812" s="157" t="s">
        <v>3808</v>
      </c>
      <c r="L1812" s="157" t="s">
        <v>648</v>
      </c>
      <c r="M1812" s="158">
        <v>2022.0</v>
      </c>
      <c r="N1812" s="157" t="s">
        <v>649</v>
      </c>
      <c r="O1812" s="157" t="s">
        <v>650</v>
      </c>
      <c r="P1812" s="161" t="b">
        <v>0</v>
      </c>
      <c r="Q1812" s="158">
        <v>1.03</v>
      </c>
      <c r="R1812" s="158">
        <v>0.0</v>
      </c>
      <c r="S1812" s="158">
        <v>1.03</v>
      </c>
      <c r="T1812" s="157" t="s">
        <v>594</v>
      </c>
      <c r="U1812" s="46" t="s">
        <v>651</v>
      </c>
      <c r="V1812" s="46" t="b">
        <v>1</v>
      </c>
      <c r="W1812" s="46">
        <v>0.95</v>
      </c>
      <c r="X1812" s="46">
        <v>0.0</v>
      </c>
      <c r="Y1812" s="46">
        <v>22.0035632075156</v>
      </c>
      <c r="Z1812" s="46" t="b">
        <v>1</v>
      </c>
      <c r="AA1812" s="46" t="b">
        <v>1</v>
      </c>
    </row>
    <row r="1813">
      <c r="A1813" s="157" t="s">
        <v>557</v>
      </c>
      <c r="B1813" s="158">
        <v>1.0</v>
      </c>
      <c r="C1813" s="157" t="s">
        <v>642</v>
      </c>
      <c r="D1813" s="157" t="s">
        <v>643</v>
      </c>
      <c r="E1813" s="157" t="s">
        <v>644</v>
      </c>
      <c r="F1813" s="162" t="s">
        <v>5470</v>
      </c>
      <c r="G1813" s="157" t="s">
        <v>5471</v>
      </c>
      <c r="H1813" s="157"/>
      <c r="I1813" s="158">
        <v>10.0914151919895</v>
      </c>
      <c r="J1813" s="158">
        <v>52.315043588157</v>
      </c>
      <c r="K1813" s="157" t="s">
        <v>5472</v>
      </c>
      <c r="L1813" s="157" t="s">
        <v>648</v>
      </c>
      <c r="M1813" s="158">
        <v>2022.0</v>
      </c>
      <c r="N1813" s="157" t="s">
        <v>649</v>
      </c>
      <c r="O1813" s="157" t="s">
        <v>650</v>
      </c>
      <c r="P1813" s="161" t="b">
        <v>0</v>
      </c>
      <c r="Q1813" s="158">
        <v>1.0</v>
      </c>
      <c r="R1813" s="158">
        <v>0.0</v>
      </c>
      <c r="S1813" s="158">
        <v>1.0</v>
      </c>
      <c r="T1813" s="157" t="s">
        <v>594</v>
      </c>
      <c r="U1813" s="46" t="s">
        <v>651</v>
      </c>
      <c r="V1813" s="46" t="b">
        <v>1</v>
      </c>
      <c r="W1813" s="46">
        <v>0.95</v>
      </c>
      <c r="X1813" s="46">
        <v>0.0</v>
      </c>
      <c r="Y1813" s="46">
        <v>0.861176253222253</v>
      </c>
      <c r="Z1813" s="46" t="b">
        <v>1</v>
      </c>
      <c r="AA1813" s="46" t="b">
        <v>1</v>
      </c>
    </row>
    <row r="1814">
      <c r="A1814" s="157" t="s">
        <v>557</v>
      </c>
      <c r="B1814" s="158">
        <v>1.0</v>
      </c>
      <c r="C1814" s="157" t="s">
        <v>642</v>
      </c>
      <c r="D1814" s="157" t="s">
        <v>643</v>
      </c>
      <c r="E1814" s="157" t="s">
        <v>644</v>
      </c>
      <c r="F1814" s="162" t="s">
        <v>5473</v>
      </c>
      <c r="G1814" s="157" t="s">
        <v>5474</v>
      </c>
      <c r="H1814" s="157"/>
      <c r="I1814" s="158">
        <v>6.8276255398247</v>
      </c>
      <c r="J1814" s="158">
        <v>51.0805209507785</v>
      </c>
      <c r="K1814" s="157" t="s">
        <v>5475</v>
      </c>
      <c r="L1814" s="157" t="s">
        <v>648</v>
      </c>
      <c r="M1814" s="158">
        <v>2022.0</v>
      </c>
      <c r="N1814" s="157" t="s">
        <v>649</v>
      </c>
      <c r="O1814" s="157" t="s">
        <v>650</v>
      </c>
      <c r="P1814" s="161" t="b">
        <v>0</v>
      </c>
      <c r="Q1814" s="158">
        <v>0.974</v>
      </c>
      <c r="R1814" s="158">
        <v>0.0</v>
      </c>
      <c r="S1814" s="158">
        <v>0.974</v>
      </c>
      <c r="T1814" s="157" t="s">
        <v>594</v>
      </c>
      <c r="U1814" s="46" t="s">
        <v>651</v>
      </c>
      <c r="V1814" s="46" t="b">
        <v>1</v>
      </c>
      <c r="W1814" s="46">
        <v>0.95</v>
      </c>
      <c r="X1814" s="46">
        <v>0.0</v>
      </c>
      <c r="Y1814" s="46">
        <v>3.36627832158107</v>
      </c>
      <c r="Z1814" s="46" t="b">
        <v>1</v>
      </c>
      <c r="AA1814" s="46" t="b">
        <v>1</v>
      </c>
    </row>
    <row r="1815">
      <c r="A1815" s="157" t="s">
        <v>557</v>
      </c>
      <c r="B1815" s="158">
        <v>1.0</v>
      </c>
      <c r="C1815" s="157" t="s">
        <v>642</v>
      </c>
      <c r="D1815" s="157" t="s">
        <v>643</v>
      </c>
      <c r="E1815" s="157" t="s">
        <v>644</v>
      </c>
      <c r="F1815" s="162" t="s">
        <v>5476</v>
      </c>
      <c r="G1815" s="157" t="s">
        <v>5477</v>
      </c>
      <c r="H1815" s="157"/>
      <c r="I1815" s="158">
        <v>12.0004992411527</v>
      </c>
      <c r="J1815" s="158">
        <v>51.2910694216182</v>
      </c>
      <c r="K1815" s="157" t="s">
        <v>4057</v>
      </c>
      <c r="L1815" s="157" t="s">
        <v>648</v>
      </c>
      <c r="M1815" s="158">
        <v>2022.0</v>
      </c>
      <c r="N1815" s="157" t="s">
        <v>649</v>
      </c>
      <c r="O1815" s="157" t="s">
        <v>650</v>
      </c>
      <c r="P1815" s="161" t="b">
        <v>0</v>
      </c>
      <c r="Q1815" s="158">
        <v>0.973</v>
      </c>
      <c r="R1815" s="158">
        <v>0.0</v>
      </c>
      <c r="S1815" s="158">
        <v>0.973</v>
      </c>
      <c r="T1815" s="157" t="s">
        <v>594</v>
      </c>
      <c r="U1815" s="46" t="s">
        <v>651</v>
      </c>
      <c r="V1815" s="46" t="b">
        <v>1</v>
      </c>
      <c r="W1815" s="46">
        <v>0.95</v>
      </c>
      <c r="X1815" s="46">
        <v>0.0</v>
      </c>
      <c r="Y1815" s="46">
        <v>7.08881977826819</v>
      </c>
      <c r="Z1815" s="46" t="b">
        <v>1</v>
      </c>
      <c r="AA1815" s="46" t="b">
        <v>1</v>
      </c>
    </row>
    <row r="1816">
      <c r="A1816" s="157" t="s">
        <v>557</v>
      </c>
      <c r="B1816" s="158">
        <v>1.0</v>
      </c>
      <c r="C1816" s="157" t="s">
        <v>642</v>
      </c>
      <c r="D1816" s="157" t="s">
        <v>643</v>
      </c>
      <c r="E1816" s="157" t="s">
        <v>644</v>
      </c>
      <c r="F1816" s="162" t="s">
        <v>5478</v>
      </c>
      <c r="G1816" s="157" t="s">
        <v>5479</v>
      </c>
      <c r="H1816" s="157"/>
      <c r="I1816" s="158">
        <v>6.72915097863113</v>
      </c>
      <c r="J1816" s="158">
        <v>51.2191044335569</v>
      </c>
      <c r="K1816" s="157" t="s">
        <v>5480</v>
      </c>
      <c r="L1816" s="157" t="s">
        <v>648</v>
      </c>
      <c r="M1816" s="158">
        <v>2022.0</v>
      </c>
      <c r="N1816" s="157" t="s">
        <v>649</v>
      </c>
      <c r="O1816" s="157" t="s">
        <v>650</v>
      </c>
      <c r="P1816" s="161" t="b">
        <v>0</v>
      </c>
      <c r="Q1816" s="158">
        <v>0.916</v>
      </c>
      <c r="R1816" s="158">
        <v>0.0</v>
      </c>
      <c r="S1816" s="158">
        <v>0.916</v>
      </c>
      <c r="T1816" s="157" t="s">
        <v>594</v>
      </c>
      <c r="U1816" s="46" t="s">
        <v>651</v>
      </c>
      <c r="V1816" s="46" t="b">
        <v>1</v>
      </c>
      <c r="W1816" s="46">
        <v>0.95</v>
      </c>
      <c r="X1816" s="46">
        <v>0.0</v>
      </c>
      <c r="Y1816" s="46">
        <v>2.45318334303568</v>
      </c>
      <c r="Z1816" s="46" t="b">
        <v>1</v>
      </c>
      <c r="AA1816" s="46" t="b">
        <v>1</v>
      </c>
    </row>
    <row r="1817">
      <c r="A1817" s="157" t="s">
        <v>557</v>
      </c>
      <c r="B1817" s="158">
        <v>1.0</v>
      </c>
      <c r="C1817" s="157" t="s">
        <v>642</v>
      </c>
      <c r="D1817" s="157" t="s">
        <v>643</v>
      </c>
      <c r="E1817" s="157" t="s">
        <v>644</v>
      </c>
      <c r="F1817" s="162" t="s">
        <v>5481</v>
      </c>
      <c r="G1817" s="157" t="s">
        <v>5482</v>
      </c>
      <c r="H1817" s="157"/>
      <c r="I1817" s="158">
        <v>8.653231748</v>
      </c>
      <c r="J1817" s="158">
        <v>50.0985534947673</v>
      </c>
      <c r="K1817" s="157" t="s">
        <v>1030</v>
      </c>
      <c r="L1817" s="157" t="s">
        <v>648</v>
      </c>
      <c r="M1817" s="158">
        <v>2022.0</v>
      </c>
      <c r="N1817" s="157" t="s">
        <v>649</v>
      </c>
      <c r="O1817" s="157" t="s">
        <v>650</v>
      </c>
      <c r="P1817" s="161" t="b">
        <v>0</v>
      </c>
      <c r="Q1817" s="158">
        <v>0.854</v>
      </c>
      <c r="R1817" s="158">
        <v>0.0</v>
      </c>
      <c r="S1817" s="158">
        <v>0.854</v>
      </c>
      <c r="T1817" s="157" t="s">
        <v>594</v>
      </c>
      <c r="U1817" s="46" t="s">
        <v>651</v>
      </c>
      <c r="V1817" s="46" t="b">
        <v>1</v>
      </c>
      <c r="W1817" s="46">
        <v>0.95</v>
      </c>
      <c r="X1817" s="46">
        <v>0.0</v>
      </c>
      <c r="Y1817" s="46">
        <v>3.88099751760588</v>
      </c>
      <c r="Z1817" s="46" t="b">
        <v>1</v>
      </c>
      <c r="AA1817" s="46" t="b">
        <v>1</v>
      </c>
    </row>
    <row r="1818">
      <c r="A1818" s="157" t="s">
        <v>557</v>
      </c>
      <c r="B1818" s="158">
        <v>1.0</v>
      </c>
      <c r="C1818" s="157" t="s">
        <v>642</v>
      </c>
      <c r="D1818" s="157" t="s">
        <v>643</v>
      </c>
      <c r="E1818" s="157" t="s">
        <v>644</v>
      </c>
      <c r="F1818" s="162" t="s">
        <v>5483</v>
      </c>
      <c r="G1818" s="157" t="s">
        <v>5484</v>
      </c>
      <c r="H1818" s="157"/>
      <c r="I1818" s="158">
        <v>6.98590089995225</v>
      </c>
      <c r="J1818" s="158">
        <v>51.0222086808895</v>
      </c>
      <c r="K1818" s="157" t="s">
        <v>4894</v>
      </c>
      <c r="L1818" s="157" t="s">
        <v>648</v>
      </c>
      <c r="M1818" s="158">
        <v>2022.0</v>
      </c>
      <c r="N1818" s="157" t="s">
        <v>649</v>
      </c>
      <c r="O1818" s="157" t="s">
        <v>650</v>
      </c>
      <c r="P1818" s="161" t="b">
        <v>0</v>
      </c>
      <c r="Q1818" s="158">
        <v>0.795</v>
      </c>
      <c r="R1818" s="158">
        <v>0.0</v>
      </c>
      <c r="S1818" s="158">
        <v>0.795</v>
      </c>
      <c r="T1818" s="157" t="s">
        <v>594</v>
      </c>
      <c r="U1818" s="46" t="s">
        <v>651</v>
      </c>
      <c r="V1818" s="46" t="b">
        <v>1</v>
      </c>
      <c r="W1818" s="46">
        <v>0.95</v>
      </c>
      <c r="X1818" s="46">
        <v>0.0</v>
      </c>
      <c r="Y1818" s="46">
        <v>14.006466469591</v>
      </c>
      <c r="Z1818" s="46" t="b">
        <v>1</v>
      </c>
      <c r="AA1818" s="46" t="b">
        <v>1</v>
      </c>
    </row>
    <row r="1819">
      <c r="A1819" s="157" t="s">
        <v>557</v>
      </c>
      <c r="B1819" s="158">
        <v>1.0</v>
      </c>
      <c r="C1819" s="157" t="s">
        <v>642</v>
      </c>
      <c r="D1819" s="157" t="s">
        <v>643</v>
      </c>
      <c r="E1819" s="157" t="s">
        <v>644</v>
      </c>
      <c r="F1819" s="162" t="s">
        <v>5485</v>
      </c>
      <c r="G1819" s="157" t="s">
        <v>5486</v>
      </c>
      <c r="H1819" s="157"/>
      <c r="I1819" s="158">
        <v>7.23549287848781</v>
      </c>
      <c r="J1819" s="158">
        <v>49.3649043448596</v>
      </c>
      <c r="K1819" s="157" t="s">
        <v>5487</v>
      </c>
      <c r="L1819" s="157" t="s">
        <v>648</v>
      </c>
      <c r="M1819" s="158">
        <v>2022.0</v>
      </c>
      <c r="N1819" s="157" t="s">
        <v>649</v>
      </c>
      <c r="O1819" s="157" t="s">
        <v>650</v>
      </c>
      <c r="P1819" s="161" t="b">
        <v>0</v>
      </c>
      <c r="Q1819" s="158">
        <v>0.775</v>
      </c>
      <c r="R1819" s="158">
        <v>0.0</v>
      </c>
      <c r="S1819" s="158">
        <v>0.775</v>
      </c>
      <c r="T1819" s="157" t="s">
        <v>594</v>
      </c>
      <c r="U1819" s="46" t="s">
        <v>651</v>
      </c>
      <c r="V1819" s="46" t="b">
        <v>1</v>
      </c>
      <c r="W1819" s="46">
        <v>0.95</v>
      </c>
      <c r="X1819" s="46">
        <v>0.0</v>
      </c>
      <c r="Y1819" s="46">
        <v>1.81657045738569</v>
      </c>
      <c r="Z1819" s="46" t="b">
        <v>1</v>
      </c>
      <c r="AA1819" s="46" t="b">
        <v>1</v>
      </c>
    </row>
    <row r="1820">
      <c r="A1820" s="157" t="s">
        <v>557</v>
      </c>
      <c r="B1820" s="158">
        <v>1.0</v>
      </c>
      <c r="C1820" s="157" t="s">
        <v>642</v>
      </c>
      <c r="D1820" s="157" t="s">
        <v>643</v>
      </c>
      <c r="E1820" s="157" t="s">
        <v>644</v>
      </c>
      <c r="F1820" s="162" t="s">
        <v>5488</v>
      </c>
      <c r="G1820" s="157" t="s">
        <v>5484</v>
      </c>
      <c r="H1820" s="157"/>
      <c r="I1820" s="158">
        <v>6.6623845315366</v>
      </c>
      <c r="J1820" s="158">
        <v>51.3681904153108</v>
      </c>
      <c r="K1820" s="157" t="s">
        <v>3933</v>
      </c>
      <c r="L1820" s="157" t="s">
        <v>648</v>
      </c>
      <c r="M1820" s="158">
        <v>2022.0</v>
      </c>
      <c r="N1820" s="157" t="s">
        <v>649</v>
      </c>
      <c r="O1820" s="157" t="s">
        <v>650</v>
      </c>
      <c r="P1820" s="161" t="b">
        <v>0</v>
      </c>
      <c r="Q1820" s="158">
        <v>0.764</v>
      </c>
      <c r="R1820" s="158">
        <v>0.0</v>
      </c>
      <c r="S1820" s="158">
        <v>0.764</v>
      </c>
      <c r="T1820" s="157" t="s">
        <v>594</v>
      </c>
      <c r="U1820" s="46" t="s">
        <v>651</v>
      </c>
      <c r="V1820" s="46" t="b">
        <v>1</v>
      </c>
      <c r="W1820" s="46">
        <v>0.95</v>
      </c>
      <c r="X1820" s="46">
        <v>0.0</v>
      </c>
      <c r="Y1820" s="46">
        <v>4.34482768063375</v>
      </c>
      <c r="Z1820" s="46" t="b">
        <v>1</v>
      </c>
      <c r="AA1820" s="46" t="b">
        <v>1</v>
      </c>
    </row>
    <row r="1821">
      <c r="A1821" s="157" t="s">
        <v>557</v>
      </c>
      <c r="B1821" s="158">
        <v>1.0</v>
      </c>
      <c r="C1821" s="157" t="s">
        <v>642</v>
      </c>
      <c r="D1821" s="157" t="s">
        <v>643</v>
      </c>
      <c r="E1821" s="157" t="s">
        <v>644</v>
      </c>
      <c r="F1821" s="162" t="s">
        <v>5489</v>
      </c>
      <c r="G1821" s="157" t="s">
        <v>5490</v>
      </c>
      <c r="H1821" s="157"/>
      <c r="I1821" s="158">
        <v>13.5221035692815</v>
      </c>
      <c r="J1821" s="158">
        <v>52.523398157749</v>
      </c>
      <c r="K1821" s="157" t="s">
        <v>5441</v>
      </c>
      <c r="L1821" s="157" t="s">
        <v>648</v>
      </c>
      <c r="M1821" s="158">
        <v>2022.0</v>
      </c>
      <c r="N1821" s="157" t="s">
        <v>649</v>
      </c>
      <c r="O1821" s="157" t="s">
        <v>650</v>
      </c>
      <c r="P1821" s="161" t="b">
        <v>0</v>
      </c>
      <c r="Q1821" s="158">
        <v>0.668</v>
      </c>
      <c r="R1821" s="158">
        <v>0.0</v>
      </c>
      <c r="S1821" s="158">
        <v>0.668</v>
      </c>
      <c r="T1821" s="157" t="s">
        <v>594</v>
      </c>
      <c r="U1821" s="46" t="s">
        <v>651</v>
      </c>
      <c r="V1821" s="46" t="b">
        <v>1</v>
      </c>
      <c r="W1821" s="46">
        <v>0.95</v>
      </c>
      <c r="X1821" s="46">
        <v>0.0</v>
      </c>
      <c r="Y1821" s="46">
        <v>5.06955498913956</v>
      </c>
      <c r="Z1821" s="46" t="b">
        <v>1</v>
      </c>
      <c r="AA1821" s="46" t="b">
        <v>1</v>
      </c>
    </row>
    <row r="1822">
      <c r="A1822" s="157" t="s">
        <v>557</v>
      </c>
      <c r="B1822" s="158">
        <v>1.0</v>
      </c>
      <c r="C1822" s="157" t="s">
        <v>642</v>
      </c>
      <c r="D1822" s="157" t="s">
        <v>643</v>
      </c>
      <c r="E1822" s="157" t="s">
        <v>644</v>
      </c>
      <c r="F1822" s="162" t="s">
        <v>5491</v>
      </c>
      <c r="G1822" s="157" t="s">
        <v>5492</v>
      </c>
      <c r="H1822" s="157"/>
      <c r="I1822" s="158">
        <v>8.87301996378213</v>
      </c>
      <c r="J1822" s="158">
        <v>53.0592754255792</v>
      </c>
      <c r="K1822" s="157" t="s">
        <v>899</v>
      </c>
      <c r="L1822" s="157" t="s">
        <v>648</v>
      </c>
      <c r="M1822" s="158">
        <v>2022.0</v>
      </c>
      <c r="N1822" s="157" t="s">
        <v>649</v>
      </c>
      <c r="O1822" s="157" t="s">
        <v>650</v>
      </c>
      <c r="P1822" s="161" t="b">
        <v>0</v>
      </c>
      <c r="Q1822" s="158">
        <v>0.667</v>
      </c>
      <c r="R1822" s="158">
        <v>0.0</v>
      </c>
      <c r="S1822" s="158">
        <v>0.667</v>
      </c>
      <c r="T1822" s="157" t="s">
        <v>594</v>
      </c>
      <c r="U1822" s="46" t="s">
        <v>651</v>
      </c>
      <c r="V1822" s="46" t="b">
        <v>1</v>
      </c>
      <c r="W1822" s="46">
        <v>0.95</v>
      </c>
      <c r="X1822" s="46">
        <v>0.0</v>
      </c>
      <c r="Y1822" s="46">
        <v>0.861558998118632</v>
      </c>
      <c r="Z1822" s="46" t="b">
        <v>1</v>
      </c>
      <c r="AA1822" s="46" t="b">
        <v>1</v>
      </c>
    </row>
    <row r="1823">
      <c r="A1823" s="157" t="s">
        <v>557</v>
      </c>
      <c r="B1823" s="158">
        <v>1.0</v>
      </c>
      <c r="C1823" s="157" t="s">
        <v>642</v>
      </c>
      <c r="D1823" s="157" t="s">
        <v>643</v>
      </c>
      <c r="E1823" s="157" t="s">
        <v>644</v>
      </c>
      <c r="F1823" s="162" t="s">
        <v>5493</v>
      </c>
      <c r="G1823" s="157" t="s">
        <v>5494</v>
      </c>
      <c r="H1823" s="157"/>
      <c r="I1823" s="158">
        <v>13.42062692</v>
      </c>
      <c r="J1823" s="158">
        <v>52.5115857573114</v>
      </c>
      <c r="K1823" s="157" t="s">
        <v>5441</v>
      </c>
      <c r="L1823" s="157" t="s">
        <v>648</v>
      </c>
      <c r="M1823" s="158">
        <v>2022.0</v>
      </c>
      <c r="N1823" s="157" t="s">
        <v>649</v>
      </c>
      <c r="O1823" s="157" t="s">
        <v>650</v>
      </c>
      <c r="P1823" s="161" t="b">
        <v>0</v>
      </c>
      <c r="Q1823" s="158">
        <v>0.627</v>
      </c>
      <c r="R1823" s="158">
        <v>0.0</v>
      </c>
      <c r="S1823" s="158">
        <v>0.627</v>
      </c>
      <c r="T1823" s="157" t="s">
        <v>594</v>
      </c>
      <c r="U1823" s="46" t="s">
        <v>651</v>
      </c>
      <c r="V1823" s="46" t="b">
        <v>1</v>
      </c>
      <c r="W1823" s="46">
        <v>0.95</v>
      </c>
      <c r="X1823" s="46">
        <v>0.0</v>
      </c>
      <c r="Y1823" s="46">
        <v>3.9617374303181</v>
      </c>
      <c r="Z1823" s="46" t="b">
        <v>1</v>
      </c>
      <c r="AA1823" s="46" t="b">
        <v>1</v>
      </c>
    </row>
    <row r="1824">
      <c r="A1824" s="157" t="s">
        <v>557</v>
      </c>
      <c r="B1824" s="158">
        <v>1.0</v>
      </c>
      <c r="C1824" s="157" t="s">
        <v>642</v>
      </c>
      <c r="D1824" s="157" t="s">
        <v>643</v>
      </c>
      <c r="E1824" s="157" t="s">
        <v>644</v>
      </c>
      <c r="F1824" s="162" t="s">
        <v>5495</v>
      </c>
      <c r="G1824" s="157" t="s">
        <v>5496</v>
      </c>
      <c r="H1824" s="157"/>
      <c r="I1824" s="158">
        <v>13.7081862860673</v>
      </c>
      <c r="J1824" s="158">
        <v>51.0417895050094</v>
      </c>
      <c r="K1824" s="157" t="s">
        <v>5497</v>
      </c>
      <c r="L1824" s="157" t="s">
        <v>648</v>
      </c>
      <c r="M1824" s="158">
        <v>2022.0</v>
      </c>
      <c r="N1824" s="157" t="s">
        <v>649</v>
      </c>
      <c r="O1824" s="157" t="s">
        <v>650</v>
      </c>
      <c r="P1824" s="161" t="b">
        <v>0</v>
      </c>
      <c r="Q1824" s="158">
        <v>0.616</v>
      </c>
      <c r="R1824" s="158">
        <v>0.0</v>
      </c>
      <c r="S1824" s="158">
        <v>0.616</v>
      </c>
      <c r="T1824" s="157" t="s">
        <v>594</v>
      </c>
      <c r="U1824" s="46" t="s">
        <v>651</v>
      </c>
      <c r="V1824" s="46" t="b">
        <v>1</v>
      </c>
      <c r="W1824" s="46">
        <v>0.95</v>
      </c>
      <c r="X1824" s="46">
        <v>0.0</v>
      </c>
      <c r="Y1824" s="46">
        <v>8.75605393278368</v>
      </c>
      <c r="Z1824" s="46" t="b">
        <v>1</v>
      </c>
      <c r="AA1824" s="46" t="b">
        <v>1</v>
      </c>
    </row>
    <row r="1825">
      <c r="A1825" s="157" t="s">
        <v>557</v>
      </c>
      <c r="B1825" s="158">
        <v>1.0</v>
      </c>
      <c r="C1825" s="157" t="s">
        <v>642</v>
      </c>
      <c r="D1825" s="157" t="s">
        <v>643</v>
      </c>
      <c r="E1825" s="157" t="s">
        <v>644</v>
      </c>
      <c r="F1825" s="162" t="s">
        <v>5498</v>
      </c>
      <c r="G1825" s="157" t="s">
        <v>5499</v>
      </c>
      <c r="H1825" s="157"/>
      <c r="I1825" s="158">
        <v>8.24088276010184</v>
      </c>
      <c r="J1825" s="158">
        <v>50.0269663973547</v>
      </c>
      <c r="K1825" s="157" t="s">
        <v>1142</v>
      </c>
      <c r="L1825" s="157" t="s">
        <v>648</v>
      </c>
      <c r="M1825" s="158">
        <v>2022.0</v>
      </c>
      <c r="N1825" s="157" t="s">
        <v>649</v>
      </c>
      <c r="O1825" s="157" t="s">
        <v>650</v>
      </c>
      <c r="P1825" s="161" t="b">
        <v>0</v>
      </c>
      <c r="Q1825" s="158">
        <v>0.611</v>
      </c>
      <c r="R1825" s="158">
        <v>0.0</v>
      </c>
      <c r="S1825" s="158">
        <v>0.611</v>
      </c>
      <c r="T1825" s="157" t="s">
        <v>594</v>
      </c>
      <c r="U1825" s="46" t="s">
        <v>651</v>
      </c>
      <c r="V1825" s="46" t="b">
        <v>1</v>
      </c>
      <c r="W1825" s="46">
        <v>0.95</v>
      </c>
      <c r="X1825" s="46">
        <v>0.0</v>
      </c>
      <c r="Y1825" s="46">
        <v>12.1800149007416</v>
      </c>
      <c r="Z1825" s="46" t="b">
        <v>1</v>
      </c>
      <c r="AA1825" s="46" t="b">
        <v>1</v>
      </c>
    </row>
    <row r="1826">
      <c r="A1826" s="157" t="s">
        <v>557</v>
      </c>
      <c r="B1826" s="158">
        <v>1.0</v>
      </c>
      <c r="C1826" s="157" t="s">
        <v>642</v>
      </c>
      <c r="D1826" s="157" t="s">
        <v>643</v>
      </c>
      <c r="E1826" s="157" t="s">
        <v>644</v>
      </c>
      <c r="F1826" s="162" t="s">
        <v>5500</v>
      </c>
      <c r="G1826" s="157" t="s">
        <v>5501</v>
      </c>
      <c r="H1826" s="157"/>
      <c r="I1826" s="158">
        <v>9.432695784</v>
      </c>
      <c r="J1826" s="158">
        <v>54.8048545092915</v>
      </c>
      <c r="K1826" s="157" t="s">
        <v>5502</v>
      </c>
      <c r="L1826" s="157" t="s">
        <v>648</v>
      </c>
      <c r="M1826" s="158">
        <v>2022.0</v>
      </c>
      <c r="N1826" s="157" t="s">
        <v>649</v>
      </c>
      <c r="O1826" s="157" t="s">
        <v>650</v>
      </c>
      <c r="P1826" s="161" t="b">
        <v>0</v>
      </c>
      <c r="Q1826" s="158">
        <v>0.545</v>
      </c>
      <c r="R1826" s="158">
        <v>0.0</v>
      </c>
      <c r="S1826" s="158">
        <v>0.545</v>
      </c>
      <c r="T1826" s="157" t="s">
        <v>594</v>
      </c>
      <c r="U1826" s="46" t="s">
        <v>651</v>
      </c>
      <c r="V1826" s="46" t="b">
        <v>1</v>
      </c>
      <c r="W1826" s="46">
        <v>0.95</v>
      </c>
      <c r="X1826" s="46">
        <v>0.0</v>
      </c>
      <c r="Y1826" s="46">
        <v>6.25521797606834</v>
      </c>
      <c r="Z1826" s="46" t="b">
        <v>1</v>
      </c>
      <c r="AA1826" s="46" t="b">
        <v>1</v>
      </c>
    </row>
    <row r="1827">
      <c r="A1827" s="157" t="s">
        <v>557</v>
      </c>
      <c r="B1827" s="158">
        <v>1.0</v>
      </c>
      <c r="C1827" s="157" t="s">
        <v>642</v>
      </c>
      <c r="D1827" s="157" t="s">
        <v>643</v>
      </c>
      <c r="E1827" s="157" t="s">
        <v>644</v>
      </c>
      <c r="F1827" s="162" t="s">
        <v>5503</v>
      </c>
      <c r="G1827" s="157" t="s">
        <v>5504</v>
      </c>
      <c r="H1827" s="157"/>
      <c r="I1827" s="158">
        <v>10.5147048157369</v>
      </c>
      <c r="J1827" s="158">
        <v>52.2779689900758</v>
      </c>
      <c r="K1827" s="157" t="s">
        <v>5505</v>
      </c>
      <c r="L1827" s="157" t="s">
        <v>648</v>
      </c>
      <c r="M1827" s="158">
        <v>2022.0</v>
      </c>
      <c r="N1827" s="157" t="s">
        <v>649</v>
      </c>
      <c r="O1827" s="157" t="s">
        <v>650</v>
      </c>
      <c r="P1827" s="161" t="b">
        <v>0</v>
      </c>
      <c r="Q1827" s="158">
        <v>0.527</v>
      </c>
      <c r="R1827" s="158">
        <v>0.0</v>
      </c>
      <c r="S1827" s="158">
        <v>0.527</v>
      </c>
      <c r="T1827" s="157" t="s">
        <v>594</v>
      </c>
      <c r="U1827" s="46" t="s">
        <v>651</v>
      </c>
      <c r="V1827" s="46" t="b">
        <v>1</v>
      </c>
      <c r="W1827" s="46">
        <v>0.95</v>
      </c>
      <c r="X1827" s="46">
        <v>0.0</v>
      </c>
      <c r="Y1827" s="46">
        <v>6.8928236487272</v>
      </c>
      <c r="Z1827" s="46" t="b">
        <v>1</v>
      </c>
      <c r="AA1827" s="46" t="b">
        <v>1</v>
      </c>
    </row>
    <row r="1828">
      <c r="A1828" s="157" t="s">
        <v>557</v>
      </c>
      <c r="B1828" s="158">
        <v>1.0</v>
      </c>
      <c r="C1828" s="157" t="s">
        <v>642</v>
      </c>
      <c r="D1828" s="157" t="s">
        <v>643</v>
      </c>
      <c r="E1828" s="157" t="s">
        <v>644</v>
      </c>
      <c r="F1828" s="162" t="s">
        <v>5506</v>
      </c>
      <c r="G1828" s="157" t="s">
        <v>5507</v>
      </c>
      <c r="H1828" s="157"/>
      <c r="I1828" s="158">
        <v>7.928664191</v>
      </c>
      <c r="J1828" s="158">
        <v>51.6732902551031</v>
      </c>
      <c r="K1828" s="157" t="s">
        <v>5508</v>
      </c>
      <c r="L1828" s="157" t="s">
        <v>648</v>
      </c>
      <c r="M1828" s="158">
        <v>2022.0</v>
      </c>
      <c r="N1828" s="157" t="s">
        <v>649</v>
      </c>
      <c r="O1828" s="157" t="s">
        <v>650</v>
      </c>
      <c r="P1828" s="161" t="b">
        <v>0</v>
      </c>
      <c r="Q1828" s="158">
        <v>0.522</v>
      </c>
      <c r="R1828" s="158">
        <v>0.0</v>
      </c>
      <c r="S1828" s="158">
        <v>0.522</v>
      </c>
      <c r="T1828" s="157" t="s">
        <v>594</v>
      </c>
      <c r="U1828" s="46" t="s">
        <v>651</v>
      </c>
      <c r="V1828" s="46" t="b">
        <v>1</v>
      </c>
      <c r="W1828" s="46">
        <v>0.95</v>
      </c>
      <c r="X1828" s="46">
        <v>0.0</v>
      </c>
      <c r="Y1828" s="46">
        <v>8.87185679996593</v>
      </c>
      <c r="Z1828" s="46" t="b">
        <v>1</v>
      </c>
      <c r="AA1828" s="46" t="b">
        <v>1</v>
      </c>
    </row>
    <row r="1829">
      <c r="A1829" s="157" t="s">
        <v>557</v>
      </c>
      <c r="B1829" s="158">
        <v>1.0</v>
      </c>
      <c r="C1829" s="157" t="s">
        <v>642</v>
      </c>
      <c r="D1829" s="157" t="s">
        <v>643</v>
      </c>
      <c r="E1829" s="157" t="s">
        <v>644</v>
      </c>
      <c r="F1829" s="162" t="s">
        <v>5509</v>
      </c>
      <c r="G1829" s="157" t="s">
        <v>5510</v>
      </c>
      <c r="H1829" s="157"/>
      <c r="I1829" s="158">
        <v>13.3114105208763</v>
      </c>
      <c r="J1829" s="158">
        <v>52.4262880619914</v>
      </c>
      <c r="K1829" s="157" t="s">
        <v>5441</v>
      </c>
      <c r="L1829" s="157" t="s">
        <v>648</v>
      </c>
      <c r="M1829" s="158">
        <v>2022.0</v>
      </c>
      <c r="N1829" s="157" t="s">
        <v>649</v>
      </c>
      <c r="O1829" s="157" t="s">
        <v>650</v>
      </c>
      <c r="P1829" s="161" t="b">
        <v>0</v>
      </c>
      <c r="Q1829" s="158">
        <v>0.514</v>
      </c>
      <c r="R1829" s="158">
        <v>0.0</v>
      </c>
      <c r="S1829" s="158">
        <v>0.514</v>
      </c>
      <c r="T1829" s="157" t="s">
        <v>594</v>
      </c>
      <c r="U1829" s="46" t="s">
        <v>651</v>
      </c>
      <c r="V1829" s="46" t="b">
        <v>1</v>
      </c>
      <c r="W1829" s="46">
        <v>0.95</v>
      </c>
      <c r="X1829" s="46">
        <v>0.0</v>
      </c>
      <c r="Y1829" s="46">
        <v>10.3907243851806</v>
      </c>
      <c r="Z1829" s="46" t="b">
        <v>1</v>
      </c>
      <c r="AA1829" s="46" t="b">
        <v>1</v>
      </c>
    </row>
    <row r="1830">
      <c r="A1830" s="157" t="s">
        <v>557</v>
      </c>
      <c r="B1830" s="158">
        <v>1.0</v>
      </c>
      <c r="C1830" s="157" t="s">
        <v>642</v>
      </c>
      <c r="D1830" s="157" t="s">
        <v>643</v>
      </c>
      <c r="E1830" s="157" t="s">
        <v>644</v>
      </c>
      <c r="F1830" s="162" t="s">
        <v>5511</v>
      </c>
      <c r="G1830" s="157" t="s">
        <v>5512</v>
      </c>
      <c r="H1830" s="157"/>
      <c r="I1830" s="158">
        <v>11.5556842839341</v>
      </c>
      <c r="J1830" s="158">
        <v>48.1141057302179</v>
      </c>
      <c r="K1830" s="157" t="s">
        <v>5513</v>
      </c>
      <c r="L1830" s="157" t="s">
        <v>648</v>
      </c>
      <c r="M1830" s="158">
        <v>2022.0</v>
      </c>
      <c r="N1830" s="157" t="s">
        <v>649</v>
      </c>
      <c r="O1830" s="157" t="s">
        <v>650</v>
      </c>
      <c r="P1830" s="161" t="b">
        <v>0</v>
      </c>
      <c r="Q1830" s="158">
        <v>0.506</v>
      </c>
      <c r="R1830" s="158">
        <v>0.0</v>
      </c>
      <c r="S1830" s="158">
        <v>0.506</v>
      </c>
      <c r="T1830" s="157" t="s">
        <v>594</v>
      </c>
      <c r="U1830" s="46" t="s">
        <v>651</v>
      </c>
      <c r="V1830" s="46" t="b">
        <v>1</v>
      </c>
      <c r="W1830" s="46">
        <v>0.95</v>
      </c>
      <c r="X1830" s="46">
        <v>0.0</v>
      </c>
      <c r="Y1830" s="46">
        <v>34.1737961466881</v>
      </c>
      <c r="Z1830" s="46" t="b">
        <v>1</v>
      </c>
      <c r="AA1830" s="46" t="b">
        <v>1</v>
      </c>
    </row>
    <row r="1831">
      <c r="A1831" s="157" t="s">
        <v>557</v>
      </c>
      <c r="B1831" s="158">
        <v>1.0</v>
      </c>
      <c r="C1831" s="157" t="s">
        <v>642</v>
      </c>
      <c r="D1831" s="157" t="s">
        <v>643</v>
      </c>
      <c r="E1831" s="157" t="s">
        <v>644</v>
      </c>
      <c r="F1831" s="162" t="s">
        <v>5514</v>
      </c>
      <c r="G1831" s="157" t="s">
        <v>5515</v>
      </c>
      <c r="H1831" s="157"/>
      <c r="I1831" s="158">
        <v>7.183956759703</v>
      </c>
      <c r="J1831" s="158">
        <v>51.5492009966373</v>
      </c>
      <c r="K1831" s="157" t="s">
        <v>5438</v>
      </c>
      <c r="L1831" s="157" t="s">
        <v>648</v>
      </c>
      <c r="M1831" s="158">
        <v>2022.0</v>
      </c>
      <c r="N1831" s="157" t="s">
        <v>649</v>
      </c>
      <c r="O1831" s="157" t="s">
        <v>650</v>
      </c>
      <c r="P1831" s="161" t="b">
        <v>0</v>
      </c>
      <c r="Q1831" s="158">
        <v>0.453</v>
      </c>
      <c r="R1831" s="158">
        <v>0.0</v>
      </c>
      <c r="S1831" s="158">
        <v>0.453</v>
      </c>
      <c r="T1831" s="157" t="s">
        <v>594</v>
      </c>
      <c r="U1831" s="46" t="s">
        <v>651</v>
      </c>
      <c r="V1831" s="46" t="b">
        <v>1</v>
      </c>
      <c r="W1831" s="46">
        <v>0.95</v>
      </c>
      <c r="X1831" s="46">
        <v>0.0</v>
      </c>
      <c r="Y1831" s="46">
        <v>15.6138361199379</v>
      </c>
      <c r="Z1831" s="46" t="b">
        <v>1</v>
      </c>
      <c r="AA1831" s="46" t="b">
        <v>1</v>
      </c>
    </row>
    <row r="1832">
      <c r="A1832" s="157" t="s">
        <v>557</v>
      </c>
      <c r="B1832" s="158">
        <v>1.0</v>
      </c>
      <c r="C1832" s="157" t="s">
        <v>642</v>
      </c>
      <c r="D1832" s="157" t="s">
        <v>643</v>
      </c>
      <c r="E1832" s="157" t="s">
        <v>644</v>
      </c>
      <c r="F1832" s="162" t="s">
        <v>5516</v>
      </c>
      <c r="G1832" s="157" t="s">
        <v>5517</v>
      </c>
      <c r="H1832" s="157"/>
      <c r="I1832" s="158">
        <v>13.4959737040295</v>
      </c>
      <c r="J1832" s="158">
        <v>52.4900270804303</v>
      </c>
      <c r="K1832" s="157" t="s">
        <v>5441</v>
      </c>
      <c r="L1832" s="157" t="s">
        <v>648</v>
      </c>
      <c r="M1832" s="158">
        <v>2022.0</v>
      </c>
      <c r="N1832" s="157" t="s">
        <v>649</v>
      </c>
      <c r="O1832" s="157" t="s">
        <v>650</v>
      </c>
      <c r="P1832" s="161" t="b">
        <v>0</v>
      </c>
      <c r="Q1832" s="158">
        <v>0.403</v>
      </c>
      <c r="R1832" s="158">
        <v>0.0</v>
      </c>
      <c r="S1832" s="158">
        <v>0.403</v>
      </c>
      <c r="T1832" s="157" t="s">
        <v>594</v>
      </c>
      <c r="U1832" s="46" t="s">
        <v>651</v>
      </c>
      <c r="V1832" s="46" t="b">
        <v>1</v>
      </c>
      <c r="W1832" s="46">
        <v>0.95</v>
      </c>
      <c r="X1832" s="46">
        <v>0.0</v>
      </c>
      <c r="Y1832" s="46">
        <v>1.35819396683041</v>
      </c>
      <c r="Z1832" s="46" t="b">
        <v>1</v>
      </c>
      <c r="AA1832" s="46" t="b">
        <v>1</v>
      </c>
    </row>
    <row r="1833">
      <c r="A1833" s="157" t="s">
        <v>557</v>
      </c>
      <c r="B1833" s="158">
        <v>1.0</v>
      </c>
      <c r="C1833" s="157" t="s">
        <v>642</v>
      </c>
      <c r="D1833" s="157" t="s">
        <v>643</v>
      </c>
      <c r="E1833" s="157" t="s">
        <v>644</v>
      </c>
      <c r="F1833" s="162" t="s">
        <v>5518</v>
      </c>
      <c r="G1833" s="157" t="s">
        <v>5519</v>
      </c>
      <c r="H1833" s="157"/>
      <c r="I1833" s="158">
        <v>13.3449418306943</v>
      </c>
      <c r="J1833" s="158">
        <v>52.5374077723442</v>
      </c>
      <c r="K1833" s="157" t="s">
        <v>5441</v>
      </c>
      <c r="L1833" s="157" t="s">
        <v>648</v>
      </c>
      <c r="M1833" s="158">
        <v>2022.0</v>
      </c>
      <c r="N1833" s="157" t="s">
        <v>649</v>
      </c>
      <c r="O1833" s="157" t="s">
        <v>650</v>
      </c>
      <c r="P1833" s="161" t="b">
        <v>0</v>
      </c>
      <c r="Q1833" s="158">
        <v>0.396</v>
      </c>
      <c r="R1833" s="158">
        <v>0.0</v>
      </c>
      <c r="S1833" s="158">
        <v>0.396</v>
      </c>
      <c r="T1833" s="157" t="s">
        <v>594</v>
      </c>
      <c r="U1833" s="46" t="s">
        <v>651</v>
      </c>
      <c r="V1833" s="46" t="b">
        <v>1</v>
      </c>
      <c r="W1833" s="46">
        <v>0.95</v>
      </c>
      <c r="X1833" s="46">
        <v>0.0</v>
      </c>
      <c r="Y1833" s="46">
        <v>9.20535494581605</v>
      </c>
      <c r="Z1833" s="46" t="b">
        <v>1</v>
      </c>
      <c r="AA1833" s="46" t="b">
        <v>1</v>
      </c>
    </row>
    <row r="1834">
      <c r="A1834" s="157" t="s">
        <v>557</v>
      </c>
      <c r="B1834" s="158">
        <v>1.0</v>
      </c>
      <c r="C1834" s="157" t="s">
        <v>642</v>
      </c>
      <c r="D1834" s="157" t="s">
        <v>643</v>
      </c>
      <c r="E1834" s="157" t="s">
        <v>644</v>
      </c>
      <c r="F1834" s="162" t="s">
        <v>5520</v>
      </c>
      <c r="G1834" s="157" t="s">
        <v>5521</v>
      </c>
      <c r="H1834" s="157"/>
      <c r="I1834" s="158">
        <v>11.57336299</v>
      </c>
      <c r="J1834" s="158">
        <v>51.8636252679839</v>
      </c>
      <c r="K1834" s="157" t="s">
        <v>4102</v>
      </c>
      <c r="L1834" s="157" t="s">
        <v>648</v>
      </c>
      <c r="M1834" s="158">
        <v>2022.0</v>
      </c>
      <c r="N1834" s="157" t="s">
        <v>649</v>
      </c>
      <c r="O1834" s="157" t="s">
        <v>650</v>
      </c>
      <c r="P1834" s="161" t="b">
        <v>0</v>
      </c>
      <c r="Q1834" s="158">
        <v>0.377</v>
      </c>
      <c r="R1834" s="158">
        <v>0.0</v>
      </c>
      <c r="S1834" s="158">
        <v>0.377</v>
      </c>
      <c r="T1834" s="157" t="s">
        <v>594</v>
      </c>
      <c r="U1834" s="46" t="s">
        <v>651</v>
      </c>
      <c r="V1834" s="46" t="b">
        <v>1</v>
      </c>
      <c r="W1834" s="46">
        <v>0.95</v>
      </c>
      <c r="X1834" s="46">
        <v>0.0</v>
      </c>
      <c r="Y1834" s="46">
        <v>7.03766028503161</v>
      </c>
      <c r="Z1834" s="46" t="b">
        <v>1</v>
      </c>
      <c r="AA1834" s="46" t="b">
        <v>1</v>
      </c>
    </row>
    <row r="1835">
      <c r="A1835" s="157" t="s">
        <v>557</v>
      </c>
      <c r="B1835" s="158">
        <v>1.0</v>
      </c>
      <c r="C1835" s="157" t="s">
        <v>642</v>
      </c>
      <c r="D1835" s="157" t="s">
        <v>643</v>
      </c>
      <c r="E1835" s="157" t="s">
        <v>644</v>
      </c>
      <c r="F1835" s="162" t="s">
        <v>5522</v>
      </c>
      <c r="G1835" s="157" t="s">
        <v>5523</v>
      </c>
      <c r="H1835" s="157"/>
      <c r="I1835" s="158">
        <v>11.0607895637263</v>
      </c>
      <c r="J1835" s="158">
        <v>49.4387504085893</v>
      </c>
      <c r="K1835" s="157" t="s">
        <v>5524</v>
      </c>
      <c r="L1835" s="157" t="s">
        <v>648</v>
      </c>
      <c r="M1835" s="158">
        <v>2022.0</v>
      </c>
      <c r="N1835" s="157" t="s">
        <v>649</v>
      </c>
      <c r="O1835" s="157" t="s">
        <v>650</v>
      </c>
      <c r="P1835" s="161" t="b">
        <v>0</v>
      </c>
      <c r="Q1835" s="158">
        <v>0.361</v>
      </c>
      <c r="R1835" s="158">
        <v>0.0</v>
      </c>
      <c r="S1835" s="158">
        <v>0.361</v>
      </c>
      <c r="T1835" s="157" t="s">
        <v>594</v>
      </c>
      <c r="U1835" s="46" t="s">
        <v>651</v>
      </c>
      <c r="V1835" s="46" t="b">
        <v>1</v>
      </c>
      <c r="W1835" s="46">
        <v>0.95</v>
      </c>
      <c r="X1835" s="46">
        <v>0.0</v>
      </c>
      <c r="Y1835" s="46">
        <v>20.5373869632748</v>
      </c>
      <c r="Z1835" s="46" t="b">
        <v>1</v>
      </c>
      <c r="AA1835" s="46" t="b">
        <v>1</v>
      </c>
    </row>
    <row r="1836">
      <c r="A1836" s="157" t="s">
        <v>557</v>
      </c>
      <c r="B1836" s="158">
        <v>1.0</v>
      </c>
      <c r="C1836" s="157" t="s">
        <v>642</v>
      </c>
      <c r="D1836" s="157" t="s">
        <v>643</v>
      </c>
      <c r="E1836" s="157" t="s">
        <v>644</v>
      </c>
      <c r="F1836" s="162" t="s">
        <v>5525</v>
      </c>
      <c r="G1836" s="157" t="s">
        <v>5526</v>
      </c>
      <c r="H1836" s="157"/>
      <c r="I1836" s="158">
        <v>6.96336619430628</v>
      </c>
      <c r="J1836" s="158">
        <v>51.0167725146999</v>
      </c>
      <c r="K1836" s="157" t="s">
        <v>4090</v>
      </c>
      <c r="L1836" s="157" t="s">
        <v>648</v>
      </c>
      <c r="M1836" s="158">
        <v>2022.0</v>
      </c>
      <c r="N1836" s="157" t="s">
        <v>649</v>
      </c>
      <c r="O1836" s="157" t="s">
        <v>650</v>
      </c>
      <c r="P1836" s="161" t="b">
        <v>0</v>
      </c>
      <c r="Q1836" s="158">
        <v>0.359</v>
      </c>
      <c r="R1836" s="158">
        <v>0.0</v>
      </c>
      <c r="S1836" s="158">
        <v>0.359</v>
      </c>
      <c r="T1836" s="157" t="s">
        <v>594</v>
      </c>
      <c r="U1836" s="46" t="s">
        <v>651</v>
      </c>
      <c r="V1836" s="46" t="b">
        <v>1</v>
      </c>
      <c r="W1836" s="46">
        <v>0.95</v>
      </c>
      <c r="X1836" s="46">
        <v>0.0</v>
      </c>
      <c r="Y1836" s="46">
        <v>12.3891929468753</v>
      </c>
      <c r="Z1836" s="46" t="b">
        <v>1</v>
      </c>
      <c r="AA1836" s="46" t="b">
        <v>1</v>
      </c>
    </row>
    <row r="1837">
      <c r="A1837" s="157" t="s">
        <v>557</v>
      </c>
      <c r="B1837" s="158">
        <v>1.0</v>
      </c>
      <c r="C1837" s="157" t="s">
        <v>642</v>
      </c>
      <c r="D1837" s="157" t="s">
        <v>643</v>
      </c>
      <c r="E1837" s="157" t="s">
        <v>644</v>
      </c>
      <c r="F1837" s="162" t="s">
        <v>5527</v>
      </c>
      <c r="G1837" s="157" t="s">
        <v>5528</v>
      </c>
      <c r="H1837" s="157"/>
      <c r="I1837" s="158">
        <v>7.40852995342538</v>
      </c>
      <c r="J1837" s="158">
        <v>51.40154972</v>
      </c>
      <c r="K1837" s="157" t="s">
        <v>5529</v>
      </c>
      <c r="L1837" s="157" t="s">
        <v>648</v>
      </c>
      <c r="M1837" s="158">
        <v>2022.0</v>
      </c>
      <c r="N1837" s="157" t="s">
        <v>649</v>
      </c>
      <c r="O1837" s="157" t="s">
        <v>650</v>
      </c>
      <c r="P1837" s="161" t="b">
        <v>0</v>
      </c>
      <c r="Q1837" s="158">
        <v>0.357</v>
      </c>
      <c r="R1837" s="158">
        <v>0.0</v>
      </c>
      <c r="S1837" s="158">
        <v>0.357</v>
      </c>
      <c r="T1837" s="157" t="s">
        <v>594</v>
      </c>
      <c r="U1837" s="46" t="s">
        <v>651</v>
      </c>
      <c r="V1837" s="46" t="b">
        <v>1</v>
      </c>
      <c r="W1837" s="46">
        <v>0.95</v>
      </c>
      <c r="X1837" s="46">
        <v>0.0</v>
      </c>
      <c r="Y1837" s="46">
        <v>0.0538014045729603</v>
      </c>
      <c r="Z1837" s="46" t="b">
        <v>1</v>
      </c>
      <c r="AA1837" s="46" t="b">
        <v>1</v>
      </c>
    </row>
    <row r="1838">
      <c r="A1838" s="157" t="s">
        <v>557</v>
      </c>
      <c r="B1838" s="158">
        <v>1.0</v>
      </c>
      <c r="C1838" s="157" t="s">
        <v>642</v>
      </c>
      <c r="D1838" s="157" t="s">
        <v>643</v>
      </c>
      <c r="E1838" s="157" t="s">
        <v>644</v>
      </c>
      <c r="F1838" s="162" t="s">
        <v>5530</v>
      </c>
      <c r="G1838" s="157" t="s">
        <v>5531</v>
      </c>
      <c r="H1838" s="157"/>
      <c r="I1838" s="158">
        <v>12.0763996501377</v>
      </c>
      <c r="J1838" s="158">
        <v>51.1663262199262</v>
      </c>
      <c r="K1838" s="157" t="s">
        <v>5532</v>
      </c>
      <c r="L1838" s="157" t="s">
        <v>648</v>
      </c>
      <c r="M1838" s="158">
        <v>2022.0</v>
      </c>
      <c r="N1838" s="157" t="s">
        <v>649</v>
      </c>
      <c r="O1838" s="157" t="s">
        <v>650</v>
      </c>
      <c r="P1838" s="161" t="b">
        <v>0</v>
      </c>
      <c r="Q1838" s="158">
        <v>0.333</v>
      </c>
      <c r="R1838" s="158">
        <v>0.0</v>
      </c>
      <c r="S1838" s="158">
        <v>0.333</v>
      </c>
      <c r="T1838" s="157" t="s">
        <v>594</v>
      </c>
      <c r="U1838" s="46" t="s">
        <v>651</v>
      </c>
      <c r="V1838" s="46" t="b">
        <v>1</v>
      </c>
      <c r="W1838" s="46">
        <v>0.95</v>
      </c>
      <c r="X1838" s="46">
        <v>0.0</v>
      </c>
      <c r="Y1838" s="46">
        <v>14.525754215072</v>
      </c>
      <c r="Z1838" s="46" t="b">
        <v>1</v>
      </c>
      <c r="AA1838" s="46" t="b">
        <v>1</v>
      </c>
    </row>
    <row r="1839">
      <c r="A1839" s="157" t="s">
        <v>557</v>
      </c>
      <c r="B1839" s="158">
        <v>1.0</v>
      </c>
      <c r="C1839" s="157" t="s">
        <v>642</v>
      </c>
      <c r="D1839" s="157" t="s">
        <v>643</v>
      </c>
      <c r="E1839" s="157" t="s">
        <v>644</v>
      </c>
      <c r="F1839" s="162" t="s">
        <v>5533</v>
      </c>
      <c r="G1839" s="157" t="s">
        <v>5534</v>
      </c>
      <c r="H1839" s="157"/>
      <c r="I1839" s="158">
        <v>7.03090852567568</v>
      </c>
      <c r="J1839" s="158">
        <v>49.3355924120031</v>
      </c>
      <c r="K1839" s="157" t="s">
        <v>5535</v>
      </c>
      <c r="L1839" s="157" t="s">
        <v>648</v>
      </c>
      <c r="M1839" s="158">
        <v>2022.0</v>
      </c>
      <c r="N1839" s="157" t="s">
        <v>649</v>
      </c>
      <c r="O1839" s="157" t="s">
        <v>650</v>
      </c>
      <c r="P1839" s="161" t="b">
        <v>0</v>
      </c>
      <c r="Q1839" s="158">
        <v>0.33</v>
      </c>
      <c r="R1839" s="158">
        <v>0.0</v>
      </c>
      <c r="S1839" s="158">
        <v>0.33</v>
      </c>
      <c r="T1839" s="157" t="s">
        <v>594</v>
      </c>
      <c r="U1839" s="46" t="s">
        <v>651</v>
      </c>
      <c r="V1839" s="46" t="b">
        <v>1</v>
      </c>
      <c r="W1839" s="46">
        <v>0.95</v>
      </c>
      <c r="X1839" s="46">
        <v>0.0</v>
      </c>
      <c r="Y1839" s="46">
        <v>7.90362014984989</v>
      </c>
      <c r="Z1839" s="46" t="b">
        <v>1</v>
      </c>
      <c r="AA1839" s="46" t="b">
        <v>1</v>
      </c>
    </row>
    <row r="1840">
      <c r="A1840" s="157" t="s">
        <v>557</v>
      </c>
      <c r="B1840" s="158">
        <v>1.0</v>
      </c>
      <c r="C1840" s="157" t="s">
        <v>642</v>
      </c>
      <c r="D1840" s="157" t="s">
        <v>643</v>
      </c>
      <c r="E1840" s="157" t="s">
        <v>644</v>
      </c>
      <c r="F1840" s="162" t="s">
        <v>5536</v>
      </c>
      <c r="G1840" s="157" t="s">
        <v>5537</v>
      </c>
      <c r="H1840" s="157"/>
      <c r="I1840" s="158">
        <v>6.83938548793688</v>
      </c>
      <c r="J1840" s="158">
        <v>51.17555009</v>
      </c>
      <c r="K1840" s="157" t="s">
        <v>5480</v>
      </c>
      <c r="L1840" s="157" t="s">
        <v>648</v>
      </c>
      <c r="M1840" s="158">
        <v>2022.0</v>
      </c>
      <c r="N1840" s="157" t="s">
        <v>649</v>
      </c>
      <c r="O1840" s="157" t="s">
        <v>650</v>
      </c>
      <c r="P1840" s="161" t="b">
        <v>0</v>
      </c>
      <c r="Q1840" s="158">
        <v>0.32</v>
      </c>
      <c r="R1840" s="158">
        <v>0.0</v>
      </c>
      <c r="S1840" s="158">
        <v>0.32</v>
      </c>
      <c r="T1840" s="157" t="s">
        <v>594</v>
      </c>
      <c r="U1840" s="46" t="s">
        <v>651</v>
      </c>
      <c r="V1840" s="46" t="b">
        <v>1</v>
      </c>
      <c r="W1840" s="46">
        <v>0.95</v>
      </c>
      <c r="X1840" s="46">
        <v>0.0</v>
      </c>
      <c r="Y1840" s="46">
        <v>4.90234187238219</v>
      </c>
      <c r="Z1840" s="46" t="b">
        <v>1</v>
      </c>
      <c r="AA1840" s="46" t="b">
        <v>1</v>
      </c>
    </row>
    <row r="1841">
      <c r="A1841" s="157" t="s">
        <v>557</v>
      </c>
      <c r="B1841" s="158">
        <v>1.0</v>
      </c>
      <c r="C1841" s="157" t="s">
        <v>642</v>
      </c>
      <c r="D1841" s="157" t="s">
        <v>643</v>
      </c>
      <c r="E1841" s="157" t="s">
        <v>644</v>
      </c>
      <c r="F1841" s="162" t="s">
        <v>5538</v>
      </c>
      <c r="G1841" s="157" t="s">
        <v>5539</v>
      </c>
      <c r="H1841" s="157"/>
      <c r="I1841" s="158">
        <v>0.0</v>
      </c>
      <c r="J1841" s="158">
        <v>0.0</v>
      </c>
      <c r="K1841" s="157" t="s">
        <v>5540</v>
      </c>
      <c r="L1841" s="157" t="s">
        <v>648</v>
      </c>
      <c r="M1841" s="158">
        <v>2022.0</v>
      </c>
      <c r="N1841" s="157" t="s">
        <v>649</v>
      </c>
      <c r="O1841" s="157" t="s">
        <v>650</v>
      </c>
      <c r="P1841" s="161" t="b">
        <v>0</v>
      </c>
      <c r="Q1841" s="158">
        <v>0.311</v>
      </c>
      <c r="R1841" s="158">
        <v>0.0</v>
      </c>
      <c r="S1841" s="158">
        <v>0.311</v>
      </c>
      <c r="T1841" s="157" t="s">
        <v>594</v>
      </c>
      <c r="U1841" s="46" t="s">
        <v>651</v>
      </c>
      <c r="V1841" s="46" t="b">
        <v>1</v>
      </c>
      <c r="W1841" s="46">
        <v>0.95</v>
      </c>
      <c r="X1841" s="46">
        <v>0.0</v>
      </c>
      <c r="Y1841" s="46" t="s">
        <v>640</v>
      </c>
      <c r="Z1841" s="46" t="b">
        <v>0</v>
      </c>
      <c r="AA1841" s="46" t="b">
        <v>0</v>
      </c>
    </row>
    <row r="1842">
      <c r="A1842" s="157" t="s">
        <v>557</v>
      </c>
      <c r="B1842" s="158">
        <v>1.0</v>
      </c>
      <c r="C1842" s="157" t="s">
        <v>642</v>
      </c>
      <c r="D1842" s="157" t="s">
        <v>643</v>
      </c>
      <c r="E1842" s="157" t="s">
        <v>644</v>
      </c>
      <c r="F1842" s="162" t="s">
        <v>5541</v>
      </c>
      <c r="G1842" s="157" t="s">
        <v>5542</v>
      </c>
      <c r="H1842" s="157"/>
      <c r="I1842" s="158">
        <v>11.0401191723366</v>
      </c>
      <c r="J1842" s="158">
        <v>51.0172423170719</v>
      </c>
      <c r="K1842" s="157" t="s">
        <v>5543</v>
      </c>
      <c r="L1842" s="157" t="s">
        <v>648</v>
      </c>
      <c r="M1842" s="158">
        <v>2022.0</v>
      </c>
      <c r="N1842" s="157" t="s">
        <v>649</v>
      </c>
      <c r="O1842" s="157" t="s">
        <v>650</v>
      </c>
      <c r="P1842" s="161" t="b">
        <v>0</v>
      </c>
      <c r="Q1842" s="158">
        <v>0.293</v>
      </c>
      <c r="R1842" s="158">
        <v>0.0</v>
      </c>
      <c r="S1842" s="158">
        <v>0.293</v>
      </c>
      <c r="T1842" s="157" t="s">
        <v>594</v>
      </c>
      <c r="U1842" s="46" t="s">
        <v>651</v>
      </c>
      <c r="V1842" s="46" t="b">
        <v>1</v>
      </c>
      <c r="W1842" s="46">
        <v>0.95</v>
      </c>
      <c r="X1842" s="46">
        <v>0.0</v>
      </c>
      <c r="Y1842" s="46">
        <v>76.4526992092887</v>
      </c>
      <c r="Z1842" s="46" t="b">
        <v>0</v>
      </c>
      <c r="AA1842" s="46" t="b">
        <v>1</v>
      </c>
    </row>
    <row r="1843">
      <c r="A1843" s="157" t="s">
        <v>557</v>
      </c>
      <c r="B1843" s="158">
        <v>1.0</v>
      </c>
      <c r="C1843" s="157" t="s">
        <v>642</v>
      </c>
      <c r="D1843" s="157" t="s">
        <v>643</v>
      </c>
      <c r="E1843" s="157" t="s">
        <v>644</v>
      </c>
      <c r="F1843" s="162" t="s">
        <v>5544</v>
      </c>
      <c r="G1843" s="157" t="s">
        <v>5545</v>
      </c>
      <c r="H1843" s="157"/>
      <c r="I1843" s="158">
        <v>11.7505878874226</v>
      </c>
      <c r="J1843" s="158">
        <v>51.8010998895414</v>
      </c>
      <c r="K1843" s="157" t="s">
        <v>5546</v>
      </c>
      <c r="L1843" s="157" t="s">
        <v>648</v>
      </c>
      <c r="M1843" s="158">
        <v>2022.0</v>
      </c>
      <c r="N1843" s="157" t="s">
        <v>649</v>
      </c>
      <c r="O1843" s="157" t="s">
        <v>650</v>
      </c>
      <c r="P1843" s="161" t="b">
        <v>0</v>
      </c>
      <c r="Q1843" s="158">
        <v>0.289</v>
      </c>
      <c r="R1843" s="158">
        <v>0.0</v>
      </c>
      <c r="S1843" s="158">
        <v>0.289</v>
      </c>
      <c r="T1843" s="157" t="s">
        <v>594</v>
      </c>
      <c r="U1843" s="46" t="s">
        <v>651</v>
      </c>
      <c r="V1843" s="46" t="b">
        <v>1</v>
      </c>
      <c r="W1843" s="46">
        <v>0.95</v>
      </c>
      <c r="X1843" s="46">
        <v>0.0</v>
      </c>
      <c r="Y1843" s="46">
        <v>2.08802368798384</v>
      </c>
      <c r="Z1843" s="46" t="b">
        <v>1</v>
      </c>
      <c r="AA1843" s="46" t="b">
        <v>1</v>
      </c>
    </row>
    <row r="1844">
      <c r="A1844" s="157" t="s">
        <v>557</v>
      </c>
      <c r="B1844" s="158">
        <v>1.0</v>
      </c>
      <c r="C1844" s="157" t="s">
        <v>642</v>
      </c>
      <c r="D1844" s="157" t="s">
        <v>643</v>
      </c>
      <c r="E1844" s="157" t="s">
        <v>644</v>
      </c>
      <c r="F1844" s="162" t="s">
        <v>5547</v>
      </c>
      <c r="G1844" s="157" t="s">
        <v>5548</v>
      </c>
      <c r="H1844" s="157"/>
      <c r="I1844" s="158">
        <v>6.74807002393148</v>
      </c>
      <c r="J1844" s="158">
        <v>51.3905093414076</v>
      </c>
      <c r="K1844" s="157" t="s">
        <v>3805</v>
      </c>
      <c r="L1844" s="157" t="s">
        <v>648</v>
      </c>
      <c r="M1844" s="158">
        <v>2022.0</v>
      </c>
      <c r="N1844" s="157" t="s">
        <v>649</v>
      </c>
      <c r="O1844" s="157" t="s">
        <v>650</v>
      </c>
      <c r="P1844" s="161" t="b">
        <v>0</v>
      </c>
      <c r="Q1844" s="158">
        <v>0.261</v>
      </c>
      <c r="R1844" s="158">
        <v>0.0</v>
      </c>
      <c r="S1844" s="158">
        <v>0.261</v>
      </c>
      <c r="T1844" s="157" t="s">
        <v>594</v>
      </c>
      <c r="U1844" s="46" t="s">
        <v>651</v>
      </c>
      <c r="V1844" s="46" t="b">
        <v>1</v>
      </c>
      <c r="W1844" s="46">
        <v>0.95</v>
      </c>
      <c r="X1844" s="46">
        <v>0.0</v>
      </c>
      <c r="Y1844" s="46">
        <v>0.178250300517077</v>
      </c>
      <c r="Z1844" s="46" t="b">
        <v>1</v>
      </c>
      <c r="AA1844" s="46" t="b">
        <v>1</v>
      </c>
    </row>
    <row r="1845">
      <c r="A1845" s="157" t="s">
        <v>557</v>
      </c>
      <c r="B1845" s="158">
        <v>1.0</v>
      </c>
      <c r="C1845" s="157" t="s">
        <v>642</v>
      </c>
      <c r="D1845" s="157" t="s">
        <v>643</v>
      </c>
      <c r="E1845" s="157" t="s">
        <v>644</v>
      </c>
      <c r="F1845" s="162" t="s">
        <v>5549</v>
      </c>
      <c r="G1845" s="157" t="s">
        <v>5550</v>
      </c>
      <c r="H1845" s="157"/>
      <c r="I1845" s="158">
        <v>6.84088755067133</v>
      </c>
      <c r="J1845" s="158">
        <v>50.8594637405264</v>
      </c>
      <c r="K1845" s="157" t="s">
        <v>1150</v>
      </c>
      <c r="L1845" s="157" t="s">
        <v>648</v>
      </c>
      <c r="M1845" s="158">
        <v>2022.0</v>
      </c>
      <c r="N1845" s="157" t="s">
        <v>649</v>
      </c>
      <c r="O1845" s="157" t="s">
        <v>650</v>
      </c>
      <c r="P1845" s="161" t="b">
        <v>0</v>
      </c>
      <c r="Q1845" s="158">
        <v>0.256</v>
      </c>
      <c r="R1845" s="158">
        <v>0.0</v>
      </c>
      <c r="S1845" s="158">
        <v>0.256</v>
      </c>
      <c r="T1845" s="157" t="s">
        <v>594</v>
      </c>
      <c r="U1845" s="46" t="s">
        <v>651</v>
      </c>
      <c r="V1845" s="46" t="b">
        <v>1</v>
      </c>
      <c r="W1845" s="46">
        <v>0.95</v>
      </c>
      <c r="X1845" s="46">
        <v>0.0</v>
      </c>
      <c r="Y1845" s="46">
        <v>2.48122107248825</v>
      </c>
      <c r="Z1845" s="46" t="b">
        <v>1</v>
      </c>
      <c r="AA1845" s="46" t="b">
        <v>1</v>
      </c>
    </row>
    <row r="1846">
      <c r="A1846" s="157" t="s">
        <v>557</v>
      </c>
      <c r="B1846" s="158">
        <v>1.0</v>
      </c>
      <c r="C1846" s="157" t="s">
        <v>642</v>
      </c>
      <c r="D1846" s="157" t="s">
        <v>643</v>
      </c>
      <c r="E1846" s="157" t="s">
        <v>644</v>
      </c>
      <c r="F1846" s="162" t="s">
        <v>5551</v>
      </c>
      <c r="G1846" s="157" t="s">
        <v>5552</v>
      </c>
      <c r="H1846" s="157"/>
      <c r="I1846" s="158">
        <v>10.2236292023763</v>
      </c>
      <c r="J1846" s="158">
        <v>50.0301035225191</v>
      </c>
      <c r="K1846" s="157" t="s">
        <v>5553</v>
      </c>
      <c r="L1846" s="157" t="s">
        <v>648</v>
      </c>
      <c r="M1846" s="158">
        <v>2022.0</v>
      </c>
      <c r="N1846" s="157" t="s">
        <v>649</v>
      </c>
      <c r="O1846" s="157" t="s">
        <v>650</v>
      </c>
      <c r="P1846" s="161" t="b">
        <v>0</v>
      </c>
      <c r="Q1846" s="158">
        <v>0.252</v>
      </c>
      <c r="R1846" s="158">
        <v>0.0</v>
      </c>
      <c r="S1846" s="158">
        <v>0.252</v>
      </c>
      <c r="T1846" s="157" t="s">
        <v>594</v>
      </c>
      <c r="U1846" s="46" t="s">
        <v>651</v>
      </c>
      <c r="V1846" s="46" t="b">
        <v>1</v>
      </c>
      <c r="W1846" s="46">
        <v>0.95</v>
      </c>
      <c r="X1846" s="46">
        <v>0.0</v>
      </c>
      <c r="Y1846" s="46">
        <v>17.3988797448546</v>
      </c>
      <c r="Z1846" s="46" t="b">
        <v>1</v>
      </c>
      <c r="AA1846" s="46" t="b">
        <v>1</v>
      </c>
    </row>
    <row r="1847">
      <c r="A1847" s="157" t="s">
        <v>557</v>
      </c>
      <c r="B1847" s="158">
        <v>1.0</v>
      </c>
      <c r="C1847" s="157" t="s">
        <v>642</v>
      </c>
      <c r="D1847" s="157" t="s">
        <v>643</v>
      </c>
      <c r="E1847" s="157" t="s">
        <v>644</v>
      </c>
      <c r="F1847" s="162" t="s">
        <v>5554</v>
      </c>
      <c r="G1847" s="157" t="s">
        <v>5555</v>
      </c>
      <c r="H1847" s="157"/>
      <c r="I1847" s="158">
        <v>9.14808045358674</v>
      </c>
      <c r="J1847" s="158">
        <v>49.82938731</v>
      </c>
      <c r="K1847" s="157" t="s">
        <v>5556</v>
      </c>
      <c r="L1847" s="157" t="s">
        <v>648</v>
      </c>
      <c r="M1847" s="158">
        <v>2022.0</v>
      </c>
      <c r="N1847" s="157" t="s">
        <v>649</v>
      </c>
      <c r="O1847" s="157" t="s">
        <v>650</v>
      </c>
      <c r="P1847" s="161" t="b">
        <v>0</v>
      </c>
      <c r="Q1847" s="158">
        <v>0.252</v>
      </c>
      <c r="R1847" s="158">
        <v>0.0</v>
      </c>
      <c r="S1847" s="158">
        <v>0.252</v>
      </c>
      <c r="T1847" s="157" t="s">
        <v>594</v>
      </c>
      <c r="U1847" s="46" t="s">
        <v>651</v>
      </c>
      <c r="V1847" s="46" t="b">
        <v>1</v>
      </c>
      <c r="W1847" s="46">
        <v>0.95</v>
      </c>
      <c r="X1847" s="46">
        <v>0.0</v>
      </c>
      <c r="Y1847" s="46">
        <v>1.95853714539064</v>
      </c>
      <c r="Z1847" s="46" t="b">
        <v>1</v>
      </c>
      <c r="AA1847" s="46" t="b">
        <v>1</v>
      </c>
    </row>
    <row r="1848">
      <c r="A1848" s="157" t="s">
        <v>557</v>
      </c>
      <c r="B1848" s="158">
        <v>1.0</v>
      </c>
      <c r="C1848" s="157" t="s">
        <v>642</v>
      </c>
      <c r="D1848" s="157" t="s">
        <v>643</v>
      </c>
      <c r="E1848" s="157" t="s">
        <v>644</v>
      </c>
      <c r="F1848" s="162" t="s">
        <v>5557</v>
      </c>
      <c r="G1848" s="157" t="s">
        <v>5558</v>
      </c>
      <c r="H1848" s="157"/>
      <c r="I1848" s="158">
        <v>12.4171497332868</v>
      </c>
      <c r="J1848" s="158">
        <v>52.3947600825345</v>
      </c>
      <c r="K1848" s="157" t="s">
        <v>5150</v>
      </c>
      <c r="L1848" s="157" t="s">
        <v>648</v>
      </c>
      <c r="M1848" s="158">
        <v>2022.0</v>
      </c>
      <c r="N1848" s="157" t="s">
        <v>649</v>
      </c>
      <c r="O1848" s="157" t="s">
        <v>650</v>
      </c>
      <c r="P1848" s="161" t="b">
        <v>0</v>
      </c>
      <c r="Q1848" s="158">
        <v>0.247</v>
      </c>
      <c r="R1848" s="158">
        <v>0.0</v>
      </c>
      <c r="S1848" s="158">
        <v>0.247</v>
      </c>
      <c r="T1848" s="157" t="s">
        <v>594</v>
      </c>
      <c r="U1848" s="46" t="s">
        <v>651</v>
      </c>
      <c r="V1848" s="46" t="b">
        <v>1</v>
      </c>
      <c r="W1848" s="46">
        <v>0.95</v>
      </c>
      <c r="X1848" s="46">
        <v>0.0</v>
      </c>
      <c r="Y1848" s="46">
        <v>67.2243005423921</v>
      </c>
      <c r="Z1848" s="46" t="b">
        <v>0</v>
      </c>
      <c r="AA1848" s="46" t="b">
        <v>1</v>
      </c>
    </row>
    <row r="1849">
      <c r="A1849" s="157" t="s">
        <v>557</v>
      </c>
      <c r="B1849" s="158">
        <v>1.0</v>
      </c>
      <c r="C1849" s="157" t="s">
        <v>642</v>
      </c>
      <c r="D1849" s="157" t="s">
        <v>643</v>
      </c>
      <c r="E1849" s="157" t="s">
        <v>644</v>
      </c>
      <c r="F1849" s="162" t="s">
        <v>5559</v>
      </c>
      <c r="G1849" s="157" t="s">
        <v>5560</v>
      </c>
      <c r="H1849" s="157"/>
      <c r="I1849" s="158">
        <v>8.24775920116087</v>
      </c>
      <c r="J1849" s="158">
        <v>50.0354296893593</v>
      </c>
      <c r="K1849" s="157" t="s">
        <v>3398</v>
      </c>
      <c r="L1849" s="157" t="s">
        <v>648</v>
      </c>
      <c r="M1849" s="158">
        <v>2022.0</v>
      </c>
      <c r="N1849" s="157" t="s">
        <v>649</v>
      </c>
      <c r="O1849" s="157" t="s">
        <v>650</v>
      </c>
      <c r="P1849" s="161" t="b">
        <v>0</v>
      </c>
      <c r="Q1849" s="158">
        <v>0.239</v>
      </c>
      <c r="R1849" s="158">
        <v>0.0</v>
      </c>
      <c r="S1849" s="158">
        <v>0.239</v>
      </c>
      <c r="T1849" s="157" t="s">
        <v>594</v>
      </c>
      <c r="U1849" s="46" t="s">
        <v>651</v>
      </c>
      <c r="V1849" s="46" t="b">
        <v>1</v>
      </c>
      <c r="W1849" s="46">
        <v>0.95</v>
      </c>
      <c r="X1849" s="46">
        <v>0.0</v>
      </c>
      <c r="Y1849" s="46">
        <v>11.1314688184701</v>
      </c>
      <c r="Z1849" s="46" t="b">
        <v>1</v>
      </c>
      <c r="AA1849" s="46" t="b">
        <v>1</v>
      </c>
    </row>
    <row r="1850">
      <c r="A1850" s="157" t="s">
        <v>557</v>
      </c>
      <c r="B1850" s="158">
        <v>1.0</v>
      </c>
      <c r="C1850" s="157" t="s">
        <v>642</v>
      </c>
      <c r="D1850" s="157" t="s">
        <v>643</v>
      </c>
      <c r="E1850" s="157" t="s">
        <v>644</v>
      </c>
      <c r="F1850" s="162" t="s">
        <v>5561</v>
      </c>
      <c r="G1850" s="157" t="s">
        <v>5562</v>
      </c>
      <c r="H1850" s="157"/>
      <c r="I1850" s="158">
        <v>12.0838301193716</v>
      </c>
      <c r="J1850" s="158">
        <v>54.1277766528551</v>
      </c>
      <c r="K1850" s="157" t="s">
        <v>5431</v>
      </c>
      <c r="L1850" s="157" t="s">
        <v>648</v>
      </c>
      <c r="M1850" s="158">
        <v>2022.0</v>
      </c>
      <c r="N1850" s="157" t="s">
        <v>649</v>
      </c>
      <c r="O1850" s="157" t="s">
        <v>650</v>
      </c>
      <c r="P1850" s="161" t="b">
        <v>0</v>
      </c>
      <c r="Q1850" s="158">
        <v>0.236</v>
      </c>
      <c r="R1850" s="158">
        <v>0.0</v>
      </c>
      <c r="S1850" s="158">
        <v>0.236</v>
      </c>
      <c r="T1850" s="157" t="s">
        <v>594</v>
      </c>
      <c r="U1850" s="46" t="s">
        <v>651</v>
      </c>
      <c r="V1850" s="46" t="b">
        <v>1</v>
      </c>
      <c r="W1850" s="46">
        <v>0.95</v>
      </c>
      <c r="X1850" s="46">
        <v>0.0</v>
      </c>
      <c r="Y1850" s="46">
        <v>135.530684506886</v>
      </c>
      <c r="Z1850" s="46" t="b">
        <v>0</v>
      </c>
      <c r="AA1850" s="46" t="b">
        <v>0</v>
      </c>
    </row>
    <row r="1851">
      <c r="A1851" s="157" t="s">
        <v>557</v>
      </c>
      <c r="B1851" s="158">
        <v>1.0</v>
      </c>
      <c r="C1851" s="157" t="s">
        <v>642</v>
      </c>
      <c r="D1851" s="157" t="s">
        <v>643</v>
      </c>
      <c r="E1851" s="157" t="s">
        <v>644</v>
      </c>
      <c r="F1851" s="162" t="s">
        <v>5563</v>
      </c>
      <c r="G1851" s="157" t="s">
        <v>5564</v>
      </c>
      <c r="H1851" s="157"/>
      <c r="I1851" s="158">
        <v>9.71430382776379</v>
      </c>
      <c r="J1851" s="158">
        <v>52.3733799921746</v>
      </c>
      <c r="K1851" s="157" t="s">
        <v>3709</v>
      </c>
      <c r="L1851" s="157" t="s">
        <v>648</v>
      </c>
      <c r="M1851" s="158">
        <v>2022.0</v>
      </c>
      <c r="N1851" s="157" t="s">
        <v>649</v>
      </c>
      <c r="O1851" s="157" t="s">
        <v>650</v>
      </c>
      <c r="P1851" s="161" t="b">
        <v>0</v>
      </c>
      <c r="Q1851" s="158">
        <v>0.227</v>
      </c>
      <c r="R1851" s="158">
        <v>0.0</v>
      </c>
      <c r="S1851" s="158">
        <v>0.227</v>
      </c>
      <c r="T1851" s="157" t="s">
        <v>594</v>
      </c>
      <c r="U1851" s="46" t="s">
        <v>651</v>
      </c>
      <c r="V1851" s="46" t="b">
        <v>1</v>
      </c>
      <c r="W1851" s="46">
        <v>0.95</v>
      </c>
      <c r="X1851" s="46">
        <v>0.0</v>
      </c>
      <c r="Y1851" s="46">
        <v>15.3189530498878</v>
      </c>
      <c r="Z1851" s="46" t="b">
        <v>1</v>
      </c>
      <c r="AA1851" s="46" t="b">
        <v>1</v>
      </c>
    </row>
    <row r="1852">
      <c r="A1852" s="157" t="s">
        <v>557</v>
      </c>
      <c r="B1852" s="158">
        <v>1.0</v>
      </c>
      <c r="C1852" s="157" t="s">
        <v>642</v>
      </c>
      <c r="D1852" s="157" t="s">
        <v>643</v>
      </c>
      <c r="E1852" s="157" t="s">
        <v>644</v>
      </c>
      <c r="F1852" s="162" t="s">
        <v>5565</v>
      </c>
      <c r="G1852" s="157" t="s">
        <v>5566</v>
      </c>
      <c r="H1852" s="157"/>
      <c r="I1852" s="158">
        <v>9.43722581605843</v>
      </c>
      <c r="J1852" s="158">
        <v>51.25261463</v>
      </c>
      <c r="K1852" s="157" t="s">
        <v>5567</v>
      </c>
      <c r="L1852" s="157" t="s">
        <v>648</v>
      </c>
      <c r="M1852" s="158">
        <v>2022.0</v>
      </c>
      <c r="N1852" s="157" t="s">
        <v>649</v>
      </c>
      <c r="O1852" s="157" t="s">
        <v>650</v>
      </c>
      <c r="P1852" s="161" t="b">
        <v>0</v>
      </c>
      <c r="Q1852" s="158">
        <v>0.226</v>
      </c>
      <c r="R1852" s="158">
        <v>0.0</v>
      </c>
      <c r="S1852" s="158">
        <v>0.226</v>
      </c>
      <c r="T1852" s="157" t="s">
        <v>594</v>
      </c>
      <c r="U1852" s="46" t="s">
        <v>651</v>
      </c>
      <c r="V1852" s="46" t="b">
        <v>1</v>
      </c>
      <c r="W1852" s="46">
        <v>0.95</v>
      </c>
      <c r="X1852" s="46">
        <v>0.0</v>
      </c>
      <c r="Y1852" s="46">
        <v>73.6520746361509</v>
      </c>
      <c r="Z1852" s="46" t="b">
        <v>0</v>
      </c>
      <c r="AA1852" s="46" t="b">
        <v>1</v>
      </c>
    </row>
    <row r="1853">
      <c r="A1853" s="157" t="s">
        <v>557</v>
      </c>
      <c r="B1853" s="158">
        <v>1.0</v>
      </c>
      <c r="C1853" s="157" t="s">
        <v>642</v>
      </c>
      <c r="D1853" s="157" t="s">
        <v>643</v>
      </c>
      <c r="E1853" s="157" t="s">
        <v>644</v>
      </c>
      <c r="F1853" s="162" t="s">
        <v>5568</v>
      </c>
      <c r="G1853" s="157" t="s">
        <v>5569</v>
      </c>
      <c r="H1853" s="157"/>
      <c r="I1853" s="158">
        <v>12.8682289670424</v>
      </c>
      <c r="J1853" s="158">
        <v>48.8008326762024</v>
      </c>
      <c r="K1853" s="157" t="s">
        <v>3948</v>
      </c>
      <c r="L1853" s="157" t="s">
        <v>648</v>
      </c>
      <c r="M1853" s="158">
        <v>2022.0</v>
      </c>
      <c r="N1853" s="157" t="s">
        <v>649</v>
      </c>
      <c r="O1853" s="157" t="s">
        <v>650</v>
      </c>
      <c r="P1853" s="161" t="b">
        <v>0</v>
      </c>
      <c r="Q1853" s="158">
        <v>0.221</v>
      </c>
      <c r="R1853" s="158">
        <v>0.0</v>
      </c>
      <c r="S1853" s="158">
        <v>0.221</v>
      </c>
      <c r="T1853" s="157" t="s">
        <v>594</v>
      </c>
      <c r="U1853" s="46" t="s">
        <v>651</v>
      </c>
      <c r="V1853" s="46" t="b">
        <v>1</v>
      </c>
      <c r="W1853" s="46">
        <v>0.95</v>
      </c>
      <c r="X1853" s="46">
        <v>0.0</v>
      </c>
      <c r="Y1853" s="46">
        <v>63.5448006876313</v>
      </c>
      <c r="Z1853" s="46" t="b">
        <v>0</v>
      </c>
      <c r="AA1853" s="46" t="b">
        <v>1</v>
      </c>
    </row>
    <row r="1854">
      <c r="A1854" s="157" t="s">
        <v>557</v>
      </c>
      <c r="B1854" s="158">
        <v>1.0</v>
      </c>
      <c r="C1854" s="157" t="s">
        <v>642</v>
      </c>
      <c r="D1854" s="157" t="s">
        <v>643</v>
      </c>
      <c r="E1854" s="157" t="s">
        <v>644</v>
      </c>
      <c r="F1854" s="162" t="s">
        <v>5570</v>
      </c>
      <c r="G1854" s="157" t="s">
        <v>5571</v>
      </c>
      <c r="H1854" s="157"/>
      <c r="I1854" s="158">
        <v>12.0056724340396</v>
      </c>
      <c r="J1854" s="158">
        <v>51.3197377479834</v>
      </c>
      <c r="K1854" s="157" t="s">
        <v>4057</v>
      </c>
      <c r="L1854" s="157" t="s">
        <v>648</v>
      </c>
      <c r="M1854" s="158">
        <v>2022.0</v>
      </c>
      <c r="N1854" s="157" t="s">
        <v>649</v>
      </c>
      <c r="O1854" s="157" t="s">
        <v>650</v>
      </c>
      <c r="P1854" s="161" t="b">
        <v>0</v>
      </c>
      <c r="Q1854" s="158">
        <v>0.217</v>
      </c>
      <c r="R1854" s="158">
        <v>0.0</v>
      </c>
      <c r="S1854" s="158">
        <v>0.217</v>
      </c>
      <c r="T1854" s="157" t="s">
        <v>594</v>
      </c>
      <c r="U1854" s="46" t="s">
        <v>651</v>
      </c>
      <c r="V1854" s="46" t="b">
        <v>1</v>
      </c>
      <c r="W1854" s="46">
        <v>0.95</v>
      </c>
      <c r="X1854" s="46">
        <v>0.0</v>
      </c>
      <c r="Y1854" s="46">
        <v>4.38353695015522</v>
      </c>
      <c r="Z1854" s="46" t="b">
        <v>1</v>
      </c>
      <c r="AA1854" s="46" t="b">
        <v>1</v>
      </c>
    </row>
    <row r="1855">
      <c r="A1855" s="157" t="s">
        <v>557</v>
      </c>
      <c r="B1855" s="158">
        <v>1.0</v>
      </c>
      <c r="C1855" s="157" t="s">
        <v>642</v>
      </c>
      <c r="D1855" s="157" t="s">
        <v>643</v>
      </c>
      <c r="E1855" s="157" t="s">
        <v>644</v>
      </c>
      <c r="F1855" s="162" t="s">
        <v>5572</v>
      </c>
      <c r="G1855" s="157" t="s">
        <v>5573</v>
      </c>
      <c r="H1855" s="157"/>
      <c r="I1855" s="158">
        <v>8.72546597048624</v>
      </c>
      <c r="J1855" s="158">
        <v>48.89699801482</v>
      </c>
      <c r="K1855" s="157" t="s">
        <v>5574</v>
      </c>
      <c r="L1855" s="157" t="s">
        <v>648</v>
      </c>
      <c r="M1855" s="158">
        <v>2022.0</v>
      </c>
      <c r="N1855" s="157" t="s">
        <v>649</v>
      </c>
      <c r="O1855" s="157" t="s">
        <v>650</v>
      </c>
      <c r="P1855" s="161" t="b">
        <v>0</v>
      </c>
      <c r="Q1855" s="158">
        <v>0.214</v>
      </c>
      <c r="R1855" s="158">
        <v>0.0</v>
      </c>
      <c r="S1855" s="158">
        <v>0.214</v>
      </c>
      <c r="T1855" s="157" t="s">
        <v>594</v>
      </c>
      <c r="U1855" s="46" t="s">
        <v>651</v>
      </c>
      <c r="V1855" s="46" t="b">
        <v>1</v>
      </c>
      <c r="W1855" s="46">
        <v>0.95</v>
      </c>
      <c r="X1855" s="46">
        <v>0.0</v>
      </c>
      <c r="Y1855" s="46">
        <v>4.90575099146424</v>
      </c>
      <c r="Z1855" s="46" t="b">
        <v>1</v>
      </c>
      <c r="AA1855" s="46" t="b">
        <v>1</v>
      </c>
    </row>
    <row r="1856">
      <c r="A1856" s="157" t="s">
        <v>557</v>
      </c>
      <c r="B1856" s="158">
        <v>1.0</v>
      </c>
      <c r="C1856" s="157" t="s">
        <v>642</v>
      </c>
      <c r="D1856" s="157" t="s">
        <v>643</v>
      </c>
      <c r="E1856" s="157" t="s">
        <v>644</v>
      </c>
      <c r="F1856" s="162" t="s">
        <v>5575</v>
      </c>
      <c r="G1856" s="157" t="s">
        <v>5576</v>
      </c>
      <c r="H1856" s="157"/>
      <c r="I1856" s="158">
        <v>8.74536168329064</v>
      </c>
      <c r="J1856" s="158">
        <v>50.1113206094255</v>
      </c>
      <c r="K1856" s="157" t="s">
        <v>5577</v>
      </c>
      <c r="L1856" s="157" t="s">
        <v>648</v>
      </c>
      <c r="M1856" s="158">
        <v>2022.0</v>
      </c>
      <c r="N1856" s="157" t="s">
        <v>649</v>
      </c>
      <c r="O1856" s="157" t="s">
        <v>650</v>
      </c>
      <c r="P1856" s="161" t="b">
        <v>0</v>
      </c>
      <c r="Q1856" s="158">
        <v>0.213</v>
      </c>
      <c r="R1856" s="158">
        <v>0.0</v>
      </c>
      <c r="S1856" s="158">
        <v>0.213</v>
      </c>
      <c r="T1856" s="157" t="s">
        <v>594</v>
      </c>
      <c r="U1856" s="46" t="s">
        <v>651</v>
      </c>
      <c r="V1856" s="46" t="b">
        <v>1</v>
      </c>
      <c r="W1856" s="46">
        <v>0.95</v>
      </c>
      <c r="X1856" s="46">
        <v>0.0</v>
      </c>
      <c r="Y1856" s="46">
        <v>1.95373204918904</v>
      </c>
      <c r="Z1856" s="46" t="b">
        <v>1</v>
      </c>
      <c r="AA1856" s="46" t="b">
        <v>1</v>
      </c>
    </row>
    <row r="1857">
      <c r="A1857" s="157" t="s">
        <v>557</v>
      </c>
      <c r="B1857" s="158">
        <v>1.0</v>
      </c>
      <c r="C1857" s="157" t="s">
        <v>642</v>
      </c>
      <c r="D1857" s="157" t="s">
        <v>643</v>
      </c>
      <c r="E1857" s="157" t="s">
        <v>644</v>
      </c>
      <c r="F1857" s="162" t="s">
        <v>5578</v>
      </c>
      <c r="G1857" s="157" t="s">
        <v>5579</v>
      </c>
      <c r="H1857" s="157"/>
      <c r="I1857" s="158">
        <v>6.84716942373725</v>
      </c>
      <c r="J1857" s="158">
        <v>50.8616034826588</v>
      </c>
      <c r="K1857" s="157" t="s">
        <v>1150</v>
      </c>
      <c r="L1857" s="157" t="s">
        <v>648</v>
      </c>
      <c r="M1857" s="158">
        <v>2022.0</v>
      </c>
      <c r="N1857" s="157" t="s">
        <v>649</v>
      </c>
      <c r="O1857" s="157" t="s">
        <v>650</v>
      </c>
      <c r="P1857" s="161" t="b">
        <v>0</v>
      </c>
      <c r="Q1857" s="158">
        <v>0.206</v>
      </c>
      <c r="R1857" s="158">
        <v>0.0</v>
      </c>
      <c r="S1857" s="158">
        <v>0.206</v>
      </c>
      <c r="T1857" s="157" t="s">
        <v>594</v>
      </c>
      <c r="U1857" s="46" t="s">
        <v>651</v>
      </c>
      <c r="V1857" s="46" t="b">
        <v>1</v>
      </c>
      <c r="W1857" s="46">
        <v>0.95</v>
      </c>
      <c r="X1857" s="46">
        <v>0.0</v>
      </c>
      <c r="Y1857" s="46">
        <v>2.06089073716846</v>
      </c>
      <c r="Z1857" s="46" t="b">
        <v>1</v>
      </c>
      <c r="AA1857" s="46" t="b">
        <v>1</v>
      </c>
    </row>
    <row r="1858">
      <c r="A1858" s="157" t="s">
        <v>557</v>
      </c>
      <c r="B1858" s="158">
        <v>1.0</v>
      </c>
      <c r="C1858" s="157" t="s">
        <v>642</v>
      </c>
      <c r="D1858" s="157" t="s">
        <v>643</v>
      </c>
      <c r="E1858" s="157" t="s">
        <v>644</v>
      </c>
      <c r="F1858" s="162" t="s">
        <v>5580</v>
      </c>
      <c r="G1858" s="157" t="s">
        <v>5581</v>
      </c>
      <c r="H1858" s="157"/>
      <c r="I1858" s="158">
        <v>11.9928829729711</v>
      </c>
      <c r="J1858" s="158">
        <v>51.45910421</v>
      </c>
      <c r="K1858" s="157" t="s">
        <v>5582</v>
      </c>
      <c r="L1858" s="157" t="s">
        <v>648</v>
      </c>
      <c r="M1858" s="158">
        <v>2022.0</v>
      </c>
      <c r="N1858" s="157" t="s">
        <v>649</v>
      </c>
      <c r="O1858" s="157" t="s">
        <v>650</v>
      </c>
      <c r="P1858" s="161" t="b">
        <v>0</v>
      </c>
      <c r="Q1858" s="158">
        <v>0.201</v>
      </c>
      <c r="R1858" s="158">
        <v>0.0</v>
      </c>
      <c r="S1858" s="158">
        <v>0.201</v>
      </c>
      <c r="T1858" s="157" t="s">
        <v>594</v>
      </c>
      <c r="U1858" s="46" t="s">
        <v>651</v>
      </c>
      <c r="V1858" s="46" t="b">
        <v>1</v>
      </c>
      <c r="W1858" s="46">
        <v>0.95</v>
      </c>
      <c r="X1858" s="46">
        <v>0.0</v>
      </c>
      <c r="Y1858" s="46">
        <v>5.05077721800269</v>
      </c>
      <c r="Z1858" s="46" t="b">
        <v>1</v>
      </c>
      <c r="AA1858" s="46" t="b">
        <v>1</v>
      </c>
    </row>
    <row r="1859">
      <c r="A1859" s="157" t="s">
        <v>557</v>
      </c>
      <c r="B1859" s="158">
        <v>1.0</v>
      </c>
      <c r="C1859" s="157" t="s">
        <v>642</v>
      </c>
      <c r="D1859" s="157" t="s">
        <v>643</v>
      </c>
      <c r="E1859" s="157" t="s">
        <v>644</v>
      </c>
      <c r="F1859" s="162" t="s">
        <v>5583</v>
      </c>
      <c r="G1859" s="157" t="s">
        <v>5584</v>
      </c>
      <c r="H1859" s="157"/>
      <c r="I1859" s="158">
        <v>12.3781626779252</v>
      </c>
      <c r="J1859" s="158">
        <v>51.3514417271002</v>
      </c>
      <c r="K1859" s="157" t="s">
        <v>5585</v>
      </c>
      <c r="L1859" s="157" t="s">
        <v>648</v>
      </c>
      <c r="M1859" s="158">
        <v>2022.0</v>
      </c>
      <c r="N1859" s="157" t="s">
        <v>649</v>
      </c>
      <c r="O1859" s="157" t="s">
        <v>650</v>
      </c>
      <c r="P1859" s="161" t="b">
        <v>0</v>
      </c>
      <c r="Q1859" s="158">
        <v>0.19</v>
      </c>
      <c r="R1859" s="158">
        <v>0.0</v>
      </c>
      <c r="S1859" s="158">
        <v>0.19</v>
      </c>
      <c r="T1859" s="157" t="s">
        <v>594</v>
      </c>
      <c r="U1859" s="46" t="s">
        <v>651</v>
      </c>
      <c r="V1859" s="46" t="b">
        <v>1</v>
      </c>
      <c r="W1859" s="46">
        <v>0.95</v>
      </c>
      <c r="X1859" s="46">
        <v>0.0</v>
      </c>
      <c r="Y1859" s="46">
        <v>7.51116957761876</v>
      </c>
      <c r="Z1859" s="46" t="b">
        <v>1</v>
      </c>
      <c r="AA1859" s="46" t="b">
        <v>1</v>
      </c>
    </row>
    <row r="1860">
      <c r="A1860" s="157" t="s">
        <v>557</v>
      </c>
      <c r="B1860" s="158">
        <v>1.0</v>
      </c>
      <c r="C1860" s="157" t="s">
        <v>642</v>
      </c>
      <c r="D1860" s="157" t="s">
        <v>643</v>
      </c>
      <c r="E1860" s="157" t="s">
        <v>644</v>
      </c>
      <c r="F1860" s="162" t="s">
        <v>5586</v>
      </c>
      <c r="G1860" s="157" t="s">
        <v>5587</v>
      </c>
      <c r="H1860" s="157"/>
      <c r="I1860" s="158">
        <v>8.68266305569621</v>
      </c>
      <c r="J1860" s="158">
        <v>53.1290817094391</v>
      </c>
      <c r="K1860" s="157" t="s">
        <v>899</v>
      </c>
      <c r="L1860" s="157" t="s">
        <v>648</v>
      </c>
      <c r="M1860" s="158">
        <v>2022.0</v>
      </c>
      <c r="N1860" s="157" t="s">
        <v>649</v>
      </c>
      <c r="O1860" s="157" t="s">
        <v>650</v>
      </c>
      <c r="P1860" s="161" t="b">
        <v>0</v>
      </c>
      <c r="Q1860" s="158">
        <v>0.186</v>
      </c>
      <c r="R1860" s="158">
        <v>0.0</v>
      </c>
      <c r="S1860" s="158">
        <v>0.186</v>
      </c>
      <c r="T1860" s="157" t="s">
        <v>594</v>
      </c>
      <c r="U1860" s="46" t="s">
        <v>651</v>
      </c>
      <c r="V1860" s="46" t="b">
        <v>1</v>
      </c>
      <c r="W1860" s="46">
        <v>0.95</v>
      </c>
      <c r="X1860" s="46">
        <v>0.0</v>
      </c>
      <c r="Y1860" s="46">
        <v>9.39559871930991</v>
      </c>
      <c r="Z1860" s="46" t="b">
        <v>1</v>
      </c>
      <c r="AA1860" s="46" t="b">
        <v>1</v>
      </c>
    </row>
    <row r="1861">
      <c r="A1861" s="157" t="s">
        <v>557</v>
      </c>
      <c r="B1861" s="158">
        <v>1.0</v>
      </c>
      <c r="C1861" s="157" t="s">
        <v>642</v>
      </c>
      <c r="D1861" s="157" t="s">
        <v>643</v>
      </c>
      <c r="E1861" s="157" t="s">
        <v>644</v>
      </c>
      <c r="F1861" s="162" t="s">
        <v>5588</v>
      </c>
      <c r="G1861" s="157" t="s">
        <v>5589</v>
      </c>
      <c r="H1861" s="157"/>
      <c r="I1861" s="158">
        <v>7.64051049088002</v>
      </c>
      <c r="J1861" s="158">
        <v>51.9502603783038</v>
      </c>
      <c r="K1861" s="157" t="s">
        <v>5590</v>
      </c>
      <c r="L1861" s="157" t="s">
        <v>648</v>
      </c>
      <c r="M1861" s="158">
        <v>2022.0</v>
      </c>
      <c r="N1861" s="157" t="s">
        <v>649</v>
      </c>
      <c r="O1861" s="157" t="s">
        <v>650</v>
      </c>
      <c r="P1861" s="161" t="b">
        <v>0</v>
      </c>
      <c r="Q1861" s="158">
        <v>0.186</v>
      </c>
      <c r="R1861" s="158">
        <v>0.0</v>
      </c>
      <c r="S1861" s="158">
        <v>0.186</v>
      </c>
      <c r="T1861" s="157" t="s">
        <v>594</v>
      </c>
      <c r="U1861" s="46" t="s">
        <v>651</v>
      </c>
      <c r="V1861" s="46" t="b">
        <v>1</v>
      </c>
      <c r="W1861" s="46">
        <v>0.95</v>
      </c>
      <c r="X1861" s="46">
        <v>0.0</v>
      </c>
      <c r="Y1861" s="46">
        <v>13.2467011039845</v>
      </c>
      <c r="Z1861" s="46" t="b">
        <v>1</v>
      </c>
      <c r="AA1861" s="46" t="b">
        <v>1</v>
      </c>
    </row>
    <row r="1862">
      <c r="A1862" s="157" t="s">
        <v>557</v>
      </c>
      <c r="B1862" s="158">
        <v>1.0</v>
      </c>
      <c r="C1862" s="157" t="s">
        <v>642</v>
      </c>
      <c r="D1862" s="157" t="s">
        <v>643</v>
      </c>
      <c r="E1862" s="157" t="s">
        <v>644</v>
      </c>
      <c r="F1862" s="162" t="s">
        <v>5591</v>
      </c>
      <c r="G1862" s="157" t="s">
        <v>5592</v>
      </c>
      <c r="H1862" s="157"/>
      <c r="I1862" s="158">
        <v>12.7312538840655</v>
      </c>
      <c r="J1862" s="158">
        <v>48.177144060769</v>
      </c>
      <c r="K1862" s="157" t="s">
        <v>5593</v>
      </c>
      <c r="L1862" s="157" t="s">
        <v>648</v>
      </c>
      <c r="M1862" s="158">
        <v>2022.0</v>
      </c>
      <c r="N1862" s="157" t="s">
        <v>649</v>
      </c>
      <c r="O1862" s="157" t="s">
        <v>650</v>
      </c>
      <c r="P1862" s="161" t="b">
        <v>0</v>
      </c>
      <c r="Q1862" s="158">
        <v>0.183</v>
      </c>
      <c r="R1862" s="158">
        <v>0.0</v>
      </c>
      <c r="S1862" s="158">
        <v>0.183</v>
      </c>
      <c r="T1862" s="157" t="s">
        <v>594</v>
      </c>
      <c r="U1862" s="46" t="s">
        <v>651</v>
      </c>
      <c r="V1862" s="46" t="b">
        <v>1</v>
      </c>
      <c r="W1862" s="46">
        <v>0.95</v>
      </c>
      <c r="X1862" s="46">
        <v>0.0</v>
      </c>
      <c r="Y1862" s="46">
        <v>5.63879019370756</v>
      </c>
      <c r="Z1862" s="46" t="b">
        <v>1</v>
      </c>
      <c r="AA1862" s="46" t="b">
        <v>1</v>
      </c>
    </row>
    <row r="1863">
      <c r="A1863" s="157" t="s">
        <v>557</v>
      </c>
      <c r="B1863" s="158">
        <v>1.0</v>
      </c>
      <c r="C1863" s="157" t="s">
        <v>642</v>
      </c>
      <c r="D1863" s="157" t="s">
        <v>643</v>
      </c>
      <c r="E1863" s="157" t="s">
        <v>644</v>
      </c>
      <c r="F1863" s="162" t="s">
        <v>5594</v>
      </c>
      <c r="G1863" s="157" t="s">
        <v>5595</v>
      </c>
      <c r="H1863" s="157"/>
      <c r="I1863" s="158">
        <v>7.84399295825121</v>
      </c>
      <c r="J1863" s="158">
        <v>48.0231549451033</v>
      </c>
      <c r="K1863" s="157" t="s">
        <v>5596</v>
      </c>
      <c r="L1863" s="157" t="s">
        <v>648</v>
      </c>
      <c r="M1863" s="158">
        <v>2022.0</v>
      </c>
      <c r="N1863" s="157" t="s">
        <v>649</v>
      </c>
      <c r="O1863" s="157" t="s">
        <v>650</v>
      </c>
      <c r="P1863" s="161" t="b">
        <v>0</v>
      </c>
      <c r="Q1863" s="158">
        <v>0.179</v>
      </c>
      <c r="R1863" s="158">
        <v>0.0</v>
      </c>
      <c r="S1863" s="158">
        <v>0.179</v>
      </c>
      <c r="T1863" s="157" t="s">
        <v>594</v>
      </c>
      <c r="U1863" s="46" t="s">
        <v>651</v>
      </c>
      <c r="V1863" s="46" t="b">
        <v>1</v>
      </c>
      <c r="W1863" s="46">
        <v>0.95</v>
      </c>
      <c r="X1863" s="46">
        <v>0.0</v>
      </c>
      <c r="Y1863" s="46">
        <v>13.8221336046184</v>
      </c>
      <c r="Z1863" s="46" t="b">
        <v>1</v>
      </c>
      <c r="AA1863" s="46" t="b">
        <v>1</v>
      </c>
    </row>
    <row r="1864">
      <c r="A1864" s="157" t="s">
        <v>557</v>
      </c>
      <c r="B1864" s="158">
        <v>1.0</v>
      </c>
      <c r="C1864" s="157" t="s">
        <v>642</v>
      </c>
      <c r="D1864" s="157" t="s">
        <v>643</v>
      </c>
      <c r="E1864" s="157" t="s">
        <v>644</v>
      </c>
      <c r="F1864" s="162" t="s">
        <v>5597</v>
      </c>
      <c r="G1864" s="157" t="s">
        <v>5598</v>
      </c>
      <c r="H1864" s="157"/>
      <c r="I1864" s="158">
        <v>11.5852847351569</v>
      </c>
      <c r="J1864" s="158">
        <v>50.8975595066181</v>
      </c>
      <c r="K1864" s="157" t="s">
        <v>5599</v>
      </c>
      <c r="L1864" s="157" t="s">
        <v>648</v>
      </c>
      <c r="M1864" s="158">
        <v>2022.0</v>
      </c>
      <c r="N1864" s="157" t="s">
        <v>649</v>
      </c>
      <c r="O1864" s="157" t="s">
        <v>650</v>
      </c>
      <c r="P1864" s="161" t="b">
        <v>0</v>
      </c>
      <c r="Q1864" s="158">
        <v>0.179</v>
      </c>
      <c r="R1864" s="158">
        <v>0.0</v>
      </c>
      <c r="S1864" s="158">
        <v>0.179</v>
      </c>
      <c r="T1864" s="157" t="s">
        <v>594</v>
      </c>
      <c r="U1864" s="46" t="s">
        <v>651</v>
      </c>
      <c r="V1864" s="46" t="b">
        <v>1</v>
      </c>
      <c r="W1864" s="46">
        <v>0.95</v>
      </c>
      <c r="X1864" s="46">
        <v>0.0</v>
      </c>
      <c r="Y1864" s="46">
        <v>59.4313472601806</v>
      </c>
      <c r="Z1864" s="46" t="b">
        <v>0</v>
      </c>
      <c r="AA1864" s="46" t="b">
        <v>1</v>
      </c>
    </row>
    <row r="1865">
      <c r="A1865" s="157" t="s">
        <v>557</v>
      </c>
      <c r="B1865" s="158">
        <v>1.0</v>
      </c>
      <c r="C1865" s="157" t="s">
        <v>642</v>
      </c>
      <c r="D1865" s="157" t="s">
        <v>643</v>
      </c>
      <c r="E1865" s="157" t="s">
        <v>644</v>
      </c>
      <c r="F1865" s="162" t="s">
        <v>5600</v>
      </c>
      <c r="G1865" s="157" t="s">
        <v>5601</v>
      </c>
      <c r="H1865" s="157"/>
      <c r="I1865" s="158">
        <v>13.7784713333368</v>
      </c>
      <c r="J1865" s="158">
        <v>52.8512636662931</v>
      </c>
      <c r="K1865" s="157" t="s">
        <v>5602</v>
      </c>
      <c r="L1865" s="157" t="s">
        <v>648</v>
      </c>
      <c r="M1865" s="158">
        <v>2022.0</v>
      </c>
      <c r="N1865" s="157" t="s">
        <v>649</v>
      </c>
      <c r="O1865" s="157" t="s">
        <v>650</v>
      </c>
      <c r="P1865" s="161" t="b">
        <v>0</v>
      </c>
      <c r="Q1865" s="158">
        <v>0.17</v>
      </c>
      <c r="R1865" s="158">
        <v>0.0</v>
      </c>
      <c r="S1865" s="158">
        <v>0.17</v>
      </c>
      <c r="T1865" s="157" t="s">
        <v>594</v>
      </c>
      <c r="U1865" s="46" t="s">
        <v>651</v>
      </c>
      <c r="V1865" s="46" t="b">
        <v>1</v>
      </c>
      <c r="W1865" s="46">
        <v>0.95</v>
      </c>
      <c r="X1865" s="46">
        <v>0.0</v>
      </c>
      <c r="Y1865" s="46">
        <v>14.2011831089063</v>
      </c>
      <c r="Z1865" s="46" t="b">
        <v>1</v>
      </c>
      <c r="AA1865" s="46" t="b">
        <v>1</v>
      </c>
    </row>
    <row r="1866">
      <c r="A1866" s="157" t="s">
        <v>557</v>
      </c>
      <c r="B1866" s="158">
        <v>1.0</v>
      </c>
      <c r="C1866" s="157" t="s">
        <v>642</v>
      </c>
      <c r="D1866" s="157" t="s">
        <v>643</v>
      </c>
      <c r="E1866" s="157" t="s">
        <v>644</v>
      </c>
      <c r="F1866" s="162" t="s">
        <v>5603</v>
      </c>
      <c r="G1866" s="157" t="s">
        <v>5604</v>
      </c>
      <c r="H1866" s="157"/>
      <c r="I1866" s="158">
        <v>14.5315166401918</v>
      </c>
      <c r="J1866" s="158">
        <v>52.3182215367202</v>
      </c>
      <c r="K1866" s="157" t="s">
        <v>5605</v>
      </c>
      <c r="L1866" s="157" t="s">
        <v>648</v>
      </c>
      <c r="M1866" s="158">
        <v>2022.0</v>
      </c>
      <c r="N1866" s="157" t="s">
        <v>649</v>
      </c>
      <c r="O1866" s="157" t="s">
        <v>650</v>
      </c>
      <c r="P1866" s="161" t="b">
        <v>0</v>
      </c>
      <c r="Q1866" s="158">
        <v>0.166</v>
      </c>
      <c r="R1866" s="158">
        <v>0.0</v>
      </c>
      <c r="S1866" s="158">
        <v>0.166</v>
      </c>
      <c r="T1866" s="157" t="s">
        <v>594</v>
      </c>
      <c r="U1866" s="46" t="s">
        <v>651</v>
      </c>
      <c r="V1866" s="46" t="b">
        <v>1</v>
      </c>
      <c r="W1866" s="46">
        <v>0.95</v>
      </c>
      <c r="X1866" s="46">
        <v>0.0</v>
      </c>
      <c r="Y1866" s="46">
        <v>9.12261655257444</v>
      </c>
      <c r="Z1866" s="46" t="b">
        <v>1</v>
      </c>
      <c r="AA1866" s="46" t="b">
        <v>1</v>
      </c>
    </row>
    <row r="1867">
      <c r="A1867" s="157" t="s">
        <v>557</v>
      </c>
      <c r="B1867" s="158">
        <v>1.0</v>
      </c>
      <c r="C1867" s="157" t="s">
        <v>642</v>
      </c>
      <c r="D1867" s="157" t="s">
        <v>643</v>
      </c>
      <c r="E1867" s="157" t="s">
        <v>644</v>
      </c>
      <c r="F1867" s="162" t="s">
        <v>5606</v>
      </c>
      <c r="G1867" s="157" t="s">
        <v>5607</v>
      </c>
      <c r="H1867" s="157"/>
      <c r="I1867" s="158">
        <v>7.01481264944726</v>
      </c>
      <c r="J1867" s="158">
        <v>49.2237038817078</v>
      </c>
      <c r="K1867" s="157" t="s">
        <v>1346</v>
      </c>
      <c r="L1867" s="157" t="s">
        <v>648</v>
      </c>
      <c r="M1867" s="158">
        <v>2022.0</v>
      </c>
      <c r="N1867" s="157" t="s">
        <v>649</v>
      </c>
      <c r="O1867" s="157" t="s">
        <v>650</v>
      </c>
      <c r="P1867" s="161" t="b">
        <v>0</v>
      </c>
      <c r="Q1867" s="158">
        <v>0.157</v>
      </c>
      <c r="R1867" s="158">
        <v>0.0</v>
      </c>
      <c r="S1867" s="158">
        <v>0.157</v>
      </c>
      <c r="T1867" s="157" t="s">
        <v>594</v>
      </c>
      <c r="U1867" s="46" t="s">
        <v>651</v>
      </c>
      <c r="V1867" s="46" t="b">
        <v>1</v>
      </c>
      <c r="W1867" s="46">
        <v>0.95</v>
      </c>
      <c r="X1867" s="46">
        <v>0.0</v>
      </c>
      <c r="Y1867" s="46">
        <v>1.46886122780771</v>
      </c>
      <c r="Z1867" s="46" t="b">
        <v>1</v>
      </c>
      <c r="AA1867" s="46" t="b">
        <v>1</v>
      </c>
    </row>
    <row r="1868">
      <c r="A1868" s="157" t="s">
        <v>557</v>
      </c>
      <c r="B1868" s="158">
        <v>1.0</v>
      </c>
      <c r="C1868" s="157" t="s">
        <v>642</v>
      </c>
      <c r="D1868" s="157" t="s">
        <v>643</v>
      </c>
      <c r="E1868" s="157" t="s">
        <v>644</v>
      </c>
      <c r="F1868" s="162" t="s">
        <v>5608</v>
      </c>
      <c r="G1868" s="157" t="s">
        <v>5609</v>
      </c>
      <c r="H1868" s="157"/>
      <c r="I1868" s="158">
        <v>13.979204728812</v>
      </c>
      <c r="J1868" s="158">
        <v>51.1511599229772</v>
      </c>
      <c r="K1868" s="157" t="s">
        <v>5610</v>
      </c>
      <c r="L1868" s="157" t="s">
        <v>648</v>
      </c>
      <c r="M1868" s="158">
        <v>2022.0</v>
      </c>
      <c r="N1868" s="157" t="s">
        <v>649</v>
      </c>
      <c r="O1868" s="157" t="s">
        <v>650</v>
      </c>
      <c r="P1868" s="161" t="b">
        <v>0</v>
      </c>
      <c r="Q1868" s="158">
        <v>0.154</v>
      </c>
      <c r="R1868" s="158">
        <v>0.0</v>
      </c>
      <c r="S1868" s="158">
        <v>0.154</v>
      </c>
      <c r="T1868" s="157" t="s">
        <v>594</v>
      </c>
      <c r="U1868" s="46" t="s">
        <v>651</v>
      </c>
      <c r="V1868" s="46" t="b">
        <v>1</v>
      </c>
      <c r="W1868" s="46">
        <v>0.95</v>
      </c>
      <c r="X1868" s="46">
        <v>0.0</v>
      </c>
      <c r="Y1868" s="46">
        <v>13.9254192273636</v>
      </c>
      <c r="Z1868" s="46" t="b">
        <v>1</v>
      </c>
      <c r="AA1868" s="46" t="b">
        <v>1</v>
      </c>
    </row>
    <row r="1869">
      <c r="A1869" s="157" t="s">
        <v>557</v>
      </c>
      <c r="B1869" s="158">
        <v>1.0</v>
      </c>
      <c r="C1869" s="157" t="s">
        <v>642</v>
      </c>
      <c r="D1869" s="157" t="s">
        <v>643</v>
      </c>
      <c r="E1869" s="157" t="s">
        <v>644</v>
      </c>
      <c r="F1869" s="162" t="s">
        <v>5611</v>
      </c>
      <c r="G1869" s="157" t="s">
        <v>5612</v>
      </c>
      <c r="H1869" s="157"/>
      <c r="I1869" s="158">
        <v>8.02345533321302</v>
      </c>
      <c r="J1869" s="158">
        <v>52.2962962837302</v>
      </c>
      <c r="K1869" s="157" t="s">
        <v>5613</v>
      </c>
      <c r="L1869" s="157" t="s">
        <v>648</v>
      </c>
      <c r="M1869" s="158">
        <v>2022.0</v>
      </c>
      <c r="N1869" s="157" t="s">
        <v>649</v>
      </c>
      <c r="O1869" s="157" t="s">
        <v>650</v>
      </c>
      <c r="P1869" s="161" t="b">
        <v>0</v>
      </c>
      <c r="Q1869" s="158">
        <v>0.149</v>
      </c>
      <c r="R1869" s="158">
        <v>0.0</v>
      </c>
      <c r="S1869" s="158">
        <v>0.149</v>
      </c>
      <c r="T1869" s="157" t="s">
        <v>594</v>
      </c>
      <c r="U1869" s="46" t="s">
        <v>651</v>
      </c>
      <c r="V1869" s="46" t="b">
        <v>1</v>
      </c>
      <c r="W1869" s="46">
        <v>0.95</v>
      </c>
      <c r="X1869" s="46">
        <v>0.0</v>
      </c>
      <c r="Y1869" s="46">
        <v>40.6264991621693</v>
      </c>
      <c r="Z1869" s="46" t="b">
        <v>1</v>
      </c>
      <c r="AA1869" s="46" t="b">
        <v>1</v>
      </c>
    </row>
    <row r="1870">
      <c r="A1870" s="157" t="s">
        <v>557</v>
      </c>
      <c r="B1870" s="158">
        <v>1.0</v>
      </c>
      <c r="C1870" s="157" t="s">
        <v>642</v>
      </c>
      <c r="D1870" s="157" t="s">
        <v>643</v>
      </c>
      <c r="E1870" s="157" t="s">
        <v>644</v>
      </c>
      <c r="F1870" s="162" t="s">
        <v>5614</v>
      </c>
      <c r="G1870" s="157" t="s">
        <v>5615</v>
      </c>
      <c r="H1870" s="157"/>
      <c r="I1870" s="158">
        <v>9.92325928165317</v>
      </c>
      <c r="J1870" s="158">
        <v>49.7999275144754</v>
      </c>
      <c r="K1870" s="157" t="s">
        <v>5616</v>
      </c>
      <c r="L1870" s="157" t="s">
        <v>648</v>
      </c>
      <c r="M1870" s="158">
        <v>2022.0</v>
      </c>
      <c r="N1870" s="157" t="s">
        <v>649</v>
      </c>
      <c r="O1870" s="157" t="s">
        <v>650</v>
      </c>
      <c r="P1870" s="161" t="b">
        <v>0</v>
      </c>
      <c r="Q1870" s="158">
        <v>0.148</v>
      </c>
      <c r="R1870" s="158">
        <v>0.0</v>
      </c>
      <c r="S1870" s="158">
        <v>0.148</v>
      </c>
      <c r="T1870" s="157" t="s">
        <v>594</v>
      </c>
      <c r="U1870" s="46" t="s">
        <v>651</v>
      </c>
      <c r="V1870" s="46" t="b">
        <v>1</v>
      </c>
      <c r="W1870" s="46">
        <v>0.95</v>
      </c>
      <c r="X1870" s="46">
        <v>0.0</v>
      </c>
      <c r="Y1870" s="46">
        <v>12.736141000843</v>
      </c>
      <c r="Z1870" s="46" t="b">
        <v>1</v>
      </c>
      <c r="AA1870" s="46" t="b">
        <v>1</v>
      </c>
    </row>
    <row r="1871">
      <c r="A1871" s="157" t="s">
        <v>557</v>
      </c>
      <c r="B1871" s="158">
        <v>1.0</v>
      </c>
      <c r="C1871" s="157" t="s">
        <v>642</v>
      </c>
      <c r="D1871" s="157" t="s">
        <v>643</v>
      </c>
      <c r="E1871" s="157" t="s">
        <v>644</v>
      </c>
      <c r="F1871" s="162" t="s">
        <v>5617</v>
      </c>
      <c r="G1871" s="157" t="s">
        <v>5618</v>
      </c>
      <c r="H1871" s="157"/>
      <c r="I1871" s="158">
        <v>9.15770588707745</v>
      </c>
      <c r="J1871" s="158">
        <v>49.0176544727769</v>
      </c>
      <c r="K1871" s="157" t="s">
        <v>5619</v>
      </c>
      <c r="L1871" s="157" t="s">
        <v>648</v>
      </c>
      <c r="M1871" s="158">
        <v>2022.0</v>
      </c>
      <c r="N1871" s="157" t="s">
        <v>649</v>
      </c>
      <c r="O1871" s="157" t="s">
        <v>650</v>
      </c>
      <c r="P1871" s="161" t="b">
        <v>0</v>
      </c>
      <c r="Q1871" s="158">
        <v>0.142</v>
      </c>
      <c r="R1871" s="158">
        <v>0.0</v>
      </c>
      <c r="S1871" s="158">
        <v>0.142</v>
      </c>
      <c r="T1871" s="157" t="s">
        <v>594</v>
      </c>
      <c r="U1871" s="46" t="s">
        <v>651</v>
      </c>
      <c r="V1871" s="46" t="b">
        <v>1</v>
      </c>
      <c r="W1871" s="46">
        <v>0.95</v>
      </c>
      <c r="X1871" s="46">
        <v>0.0</v>
      </c>
      <c r="Y1871" s="46">
        <v>20.3734471930511</v>
      </c>
      <c r="Z1871" s="46" t="b">
        <v>1</v>
      </c>
      <c r="AA1871" s="46" t="b">
        <v>1</v>
      </c>
    </row>
    <row r="1872">
      <c r="A1872" s="157" t="s">
        <v>557</v>
      </c>
      <c r="B1872" s="158">
        <v>1.0</v>
      </c>
      <c r="C1872" s="157" t="s">
        <v>642</v>
      </c>
      <c r="D1872" s="157" t="s">
        <v>643</v>
      </c>
      <c r="E1872" s="157" t="s">
        <v>644</v>
      </c>
      <c r="F1872" s="162" t="s">
        <v>5620</v>
      </c>
      <c r="G1872" s="157" t="s">
        <v>5621</v>
      </c>
      <c r="H1872" s="157"/>
      <c r="I1872" s="158">
        <v>11.7999389594583</v>
      </c>
      <c r="J1872" s="158">
        <v>48.4561906289684</v>
      </c>
      <c r="K1872" s="157" t="s">
        <v>5447</v>
      </c>
      <c r="L1872" s="157" t="s">
        <v>648</v>
      </c>
      <c r="M1872" s="158">
        <v>2022.0</v>
      </c>
      <c r="N1872" s="157" t="s">
        <v>649</v>
      </c>
      <c r="O1872" s="157" t="s">
        <v>650</v>
      </c>
      <c r="P1872" s="161" t="b">
        <v>0</v>
      </c>
      <c r="Q1872" s="158">
        <v>0.141</v>
      </c>
      <c r="R1872" s="158">
        <v>0.0</v>
      </c>
      <c r="S1872" s="158">
        <v>0.141</v>
      </c>
      <c r="T1872" s="157" t="s">
        <v>594</v>
      </c>
      <c r="U1872" s="46" t="s">
        <v>651</v>
      </c>
      <c r="V1872" s="46" t="b">
        <v>1</v>
      </c>
      <c r="W1872" s="46">
        <v>0.95</v>
      </c>
      <c r="X1872" s="46">
        <v>0.0</v>
      </c>
      <c r="Y1872" s="46">
        <v>5.32241935425407</v>
      </c>
      <c r="Z1872" s="46" t="b">
        <v>1</v>
      </c>
      <c r="AA1872" s="46" t="b">
        <v>1</v>
      </c>
    </row>
    <row r="1873">
      <c r="A1873" s="157" t="s">
        <v>557</v>
      </c>
      <c r="B1873" s="158">
        <v>1.0</v>
      </c>
      <c r="C1873" s="157" t="s">
        <v>642</v>
      </c>
      <c r="D1873" s="157" t="s">
        <v>643</v>
      </c>
      <c r="E1873" s="157" t="s">
        <v>644</v>
      </c>
      <c r="F1873" s="162" t="s">
        <v>5622</v>
      </c>
      <c r="G1873" s="157" t="s">
        <v>5484</v>
      </c>
      <c r="H1873" s="157"/>
      <c r="I1873" s="158">
        <v>6.831715029</v>
      </c>
      <c r="J1873" s="158">
        <v>51.076729600058</v>
      </c>
      <c r="K1873" s="157" t="s">
        <v>5475</v>
      </c>
      <c r="L1873" s="157" t="s">
        <v>648</v>
      </c>
      <c r="M1873" s="158">
        <v>2022.0</v>
      </c>
      <c r="N1873" s="157" t="s">
        <v>649</v>
      </c>
      <c r="O1873" s="157" t="s">
        <v>650</v>
      </c>
      <c r="P1873" s="161" t="b">
        <v>0</v>
      </c>
      <c r="Q1873" s="158">
        <v>0.14</v>
      </c>
      <c r="R1873" s="158">
        <v>0.0</v>
      </c>
      <c r="S1873" s="158">
        <v>0.14</v>
      </c>
      <c r="T1873" s="157" t="s">
        <v>594</v>
      </c>
      <c r="U1873" s="46" t="s">
        <v>651</v>
      </c>
      <c r="V1873" s="46" t="b">
        <v>1</v>
      </c>
      <c r="W1873" s="46">
        <v>0.95</v>
      </c>
      <c r="X1873" s="46">
        <v>0.0</v>
      </c>
      <c r="Y1873" s="46">
        <v>3.62364449873729</v>
      </c>
      <c r="Z1873" s="46" t="b">
        <v>1</v>
      </c>
      <c r="AA1873" s="46" t="b">
        <v>1</v>
      </c>
    </row>
    <row r="1874">
      <c r="A1874" s="157" t="s">
        <v>557</v>
      </c>
      <c r="B1874" s="158">
        <v>1.0</v>
      </c>
      <c r="C1874" s="157" t="s">
        <v>642</v>
      </c>
      <c r="D1874" s="157" t="s">
        <v>643</v>
      </c>
      <c r="E1874" s="157" t="s">
        <v>644</v>
      </c>
      <c r="F1874" s="162" t="s">
        <v>5623</v>
      </c>
      <c r="G1874" s="157" t="s">
        <v>5624</v>
      </c>
      <c r="H1874" s="157"/>
      <c r="I1874" s="158">
        <v>11.7597024740569</v>
      </c>
      <c r="J1874" s="158">
        <v>51.6973498364498</v>
      </c>
      <c r="K1874" s="157" t="s">
        <v>5625</v>
      </c>
      <c r="L1874" s="157" t="s">
        <v>648</v>
      </c>
      <c r="M1874" s="158">
        <v>2022.0</v>
      </c>
      <c r="N1874" s="157" t="s">
        <v>649</v>
      </c>
      <c r="O1874" s="157" t="s">
        <v>650</v>
      </c>
      <c r="P1874" s="161" t="b">
        <v>0</v>
      </c>
      <c r="Q1874" s="158">
        <v>0.14</v>
      </c>
      <c r="R1874" s="158">
        <v>0.0</v>
      </c>
      <c r="S1874" s="158">
        <v>0.14</v>
      </c>
      <c r="T1874" s="157" t="s">
        <v>594</v>
      </c>
      <c r="U1874" s="46" t="s">
        <v>651</v>
      </c>
      <c r="V1874" s="46" t="b">
        <v>1</v>
      </c>
      <c r="W1874" s="46">
        <v>0.95</v>
      </c>
      <c r="X1874" s="46">
        <v>0.0</v>
      </c>
      <c r="Y1874" s="46">
        <v>1.22935575019792</v>
      </c>
      <c r="Z1874" s="46" t="b">
        <v>1</v>
      </c>
      <c r="AA1874" s="46" t="b">
        <v>1</v>
      </c>
    </row>
    <row r="1875">
      <c r="A1875" s="157" t="s">
        <v>557</v>
      </c>
      <c r="B1875" s="158">
        <v>1.0</v>
      </c>
      <c r="C1875" s="157" t="s">
        <v>642</v>
      </c>
      <c r="D1875" s="157" t="s">
        <v>643</v>
      </c>
      <c r="E1875" s="157" t="s">
        <v>644</v>
      </c>
      <c r="F1875" s="162" t="s">
        <v>5626</v>
      </c>
      <c r="G1875" s="157" t="s">
        <v>5627</v>
      </c>
      <c r="H1875" s="157"/>
      <c r="I1875" s="158">
        <v>12.5699365772614</v>
      </c>
      <c r="J1875" s="158">
        <v>51.8708533262731</v>
      </c>
      <c r="K1875" s="157" t="s">
        <v>5628</v>
      </c>
      <c r="L1875" s="157" t="s">
        <v>648</v>
      </c>
      <c r="M1875" s="158">
        <v>2022.0</v>
      </c>
      <c r="N1875" s="157" t="s">
        <v>649</v>
      </c>
      <c r="O1875" s="157" t="s">
        <v>650</v>
      </c>
      <c r="P1875" s="161" t="b">
        <v>0</v>
      </c>
      <c r="Q1875" s="158">
        <v>0.135</v>
      </c>
      <c r="R1875" s="158">
        <v>0.0</v>
      </c>
      <c r="S1875" s="158">
        <v>0.135</v>
      </c>
      <c r="T1875" s="157" t="s">
        <v>594</v>
      </c>
      <c r="U1875" s="46" t="s">
        <v>651</v>
      </c>
      <c r="V1875" s="46" t="b">
        <v>1</v>
      </c>
      <c r="W1875" s="46">
        <v>0.95</v>
      </c>
      <c r="X1875" s="46">
        <v>0.0</v>
      </c>
      <c r="Y1875" s="46">
        <v>49.1541572587338</v>
      </c>
      <c r="Z1875" s="46" t="b">
        <v>1</v>
      </c>
      <c r="AA1875" s="46" t="b">
        <v>1</v>
      </c>
    </row>
    <row r="1876">
      <c r="A1876" s="157" t="s">
        <v>557</v>
      </c>
      <c r="B1876" s="158">
        <v>1.0</v>
      </c>
      <c r="C1876" s="157" t="s">
        <v>642</v>
      </c>
      <c r="D1876" s="157" t="s">
        <v>643</v>
      </c>
      <c r="E1876" s="157" t="s">
        <v>644</v>
      </c>
      <c r="F1876" s="162" t="s">
        <v>5629</v>
      </c>
      <c r="G1876" s="157" t="s">
        <v>5630</v>
      </c>
      <c r="H1876" s="157"/>
      <c r="I1876" s="158">
        <v>10.4129671721628</v>
      </c>
      <c r="J1876" s="158">
        <v>51.4900753707235</v>
      </c>
      <c r="K1876" s="157" t="s">
        <v>5631</v>
      </c>
      <c r="L1876" s="157" t="s">
        <v>648</v>
      </c>
      <c r="M1876" s="158">
        <v>2022.0</v>
      </c>
      <c r="N1876" s="157" t="s">
        <v>649</v>
      </c>
      <c r="O1876" s="157" t="s">
        <v>650</v>
      </c>
      <c r="P1876" s="161" t="b">
        <v>0</v>
      </c>
      <c r="Q1876" s="158">
        <v>0.13</v>
      </c>
      <c r="R1876" s="158">
        <v>0.0</v>
      </c>
      <c r="S1876" s="158">
        <v>0.13</v>
      </c>
      <c r="T1876" s="157" t="s">
        <v>594</v>
      </c>
      <c r="U1876" s="46" t="s">
        <v>651</v>
      </c>
      <c r="V1876" s="46" t="b">
        <v>1</v>
      </c>
      <c r="W1876" s="46">
        <v>0.95</v>
      </c>
      <c r="X1876" s="46">
        <v>0.0</v>
      </c>
      <c r="Y1876" s="46">
        <v>54.7097907940505</v>
      </c>
      <c r="Z1876" s="46" t="b">
        <v>0</v>
      </c>
      <c r="AA1876" s="46" t="b">
        <v>1</v>
      </c>
    </row>
    <row r="1877">
      <c r="A1877" s="157" t="s">
        <v>557</v>
      </c>
      <c r="B1877" s="158">
        <v>1.0</v>
      </c>
      <c r="C1877" s="157" t="s">
        <v>642</v>
      </c>
      <c r="D1877" s="157" t="s">
        <v>643</v>
      </c>
      <c r="E1877" s="157" t="s">
        <v>644</v>
      </c>
      <c r="F1877" s="162" t="s">
        <v>5632</v>
      </c>
      <c r="G1877" s="157" t="s">
        <v>5633</v>
      </c>
      <c r="H1877" s="157"/>
      <c r="I1877" s="158">
        <v>7.08115663540051</v>
      </c>
      <c r="J1877" s="158">
        <v>50.733953900681</v>
      </c>
      <c r="K1877" s="157" t="s">
        <v>5634</v>
      </c>
      <c r="L1877" s="157" t="s">
        <v>648</v>
      </c>
      <c r="M1877" s="158">
        <v>2022.0</v>
      </c>
      <c r="N1877" s="157" t="s">
        <v>649</v>
      </c>
      <c r="O1877" s="157" t="s">
        <v>650</v>
      </c>
      <c r="P1877" s="161" t="b">
        <v>0</v>
      </c>
      <c r="Q1877" s="158">
        <v>0.127</v>
      </c>
      <c r="R1877" s="158">
        <v>0.0</v>
      </c>
      <c r="S1877" s="158">
        <v>0.127</v>
      </c>
      <c r="T1877" s="157" t="s">
        <v>594</v>
      </c>
      <c r="U1877" s="46" t="s">
        <v>651</v>
      </c>
      <c r="V1877" s="46" t="b">
        <v>1</v>
      </c>
      <c r="W1877" s="46">
        <v>0.95</v>
      </c>
      <c r="X1877" s="46">
        <v>0.0</v>
      </c>
      <c r="Y1877" s="46">
        <v>6.62182369191309</v>
      </c>
      <c r="Z1877" s="46" t="b">
        <v>1</v>
      </c>
      <c r="AA1877" s="46" t="b">
        <v>1</v>
      </c>
    </row>
    <row r="1878">
      <c r="A1878" s="157" t="s">
        <v>557</v>
      </c>
      <c r="B1878" s="158">
        <v>1.0</v>
      </c>
      <c r="C1878" s="157" t="s">
        <v>642</v>
      </c>
      <c r="D1878" s="157" t="s">
        <v>643</v>
      </c>
      <c r="E1878" s="157" t="s">
        <v>644</v>
      </c>
      <c r="F1878" s="162" t="s">
        <v>5635</v>
      </c>
      <c r="G1878" s="157" t="s">
        <v>5636</v>
      </c>
      <c r="H1878" s="157"/>
      <c r="I1878" s="158">
        <v>13.7127734895108</v>
      </c>
      <c r="J1878" s="158">
        <v>51.1263638885789</v>
      </c>
      <c r="K1878" s="157" t="s">
        <v>5637</v>
      </c>
      <c r="L1878" s="157" t="s">
        <v>648</v>
      </c>
      <c r="M1878" s="158">
        <v>2022.0</v>
      </c>
      <c r="N1878" s="157" t="s">
        <v>649</v>
      </c>
      <c r="O1878" s="157" t="s">
        <v>650</v>
      </c>
      <c r="P1878" s="161" t="b">
        <v>0</v>
      </c>
      <c r="Q1878" s="158">
        <v>0.127</v>
      </c>
      <c r="R1878" s="158">
        <v>0.0</v>
      </c>
      <c r="S1878" s="158">
        <v>0.127</v>
      </c>
      <c r="T1878" s="157" t="s">
        <v>594</v>
      </c>
      <c r="U1878" s="46" t="s">
        <v>651</v>
      </c>
      <c r="V1878" s="46" t="b">
        <v>1</v>
      </c>
      <c r="W1878" s="46">
        <v>0.95</v>
      </c>
      <c r="X1878" s="46">
        <v>0.0</v>
      </c>
      <c r="Y1878" s="46">
        <v>0.651952995911795</v>
      </c>
      <c r="Z1878" s="46" t="b">
        <v>1</v>
      </c>
      <c r="AA1878" s="46" t="b">
        <v>1</v>
      </c>
    </row>
    <row r="1879">
      <c r="A1879" s="157" t="s">
        <v>557</v>
      </c>
      <c r="B1879" s="158">
        <v>1.0</v>
      </c>
      <c r="C1879" s="157" t="s">
        <v>642</v>
      </c>
      <c r="D1879" s="157" t="s">
        <v>643</v>
      </c>
      <c r="E1879" s="157" t="s">
        <v>644</v>
      </c>
      <c r="F1879" s="162" t="s">
        <v>5638</v>
      </c>
      <c r="G1879" s="157" t="s">
        <v>5639</v>
      </c>
      <c r="H1879" s="157"/>
      <c r="I1879" s="158">
        <v>8.30379563081159</v>
      </c>
      <c r="J1879" s="158">
        <v>49.069578896004</v>
      </c>
      <c r="K1879" s="157" t="s">
        <v>5640</v>
      </c>
      <c r="L1879" s="157" t="s">
        <v>648</v>
      </c>
      <c r="M1879" s="158">
        <v>2022.0</v>
      </c>
      <c r="N1879" s="157" t="s">
        <v>649</v>
      </c>
      <c r="O1879" s="157" t="s">
        <v>650</v>
      </c>
      <c r="P1879" s="161" t="b">
        <v>0</v>
      </c>
      <c r="Q1879" s="158">
        <v>0.124</v>
      </c>
      <c r="R1879" s="158">
        <v>0.0</v>
      </c>
      <c r="S1879" s="158">
        <v>0.124</v>
      </c>
      <c r="T1879" s="157" t="s">
        <v>594</v>
      </c>
      <c r="U1879" s="46" t="s">
        <v>651</v>
      </c>
      <c r="V1879" s="46" t="b">
        <v>1</v>
      </c>
      <c r="W1879" s="46">
        <v>0.95</v>
      </c>
      <c r="X1879" s="46">
        <v>0.0</v>
      </c>
      <c r="Y1879" s="46">
        <v>3.3598704224729</v>
      </c>
      <c r="Z1879" s="46" t="b">
        <v>1</v>
      </c>
      <c r="AA1879" s="46" t="b">
        <v>1</v>
      </c>
    </row>
    <row r="1880">
      <c r="A1880" s="157" t="s">
        <v>557</v>
      </c>
      <c r="B1880" s="158">
        <v>1.0</v>
      </c>
      <c r="C1880" s="157" t="s">
        <v>642</v>
      </c>
      <c r="D1880" s="157" t="s">
        <v>643</v>
      </c>
      <c r="E1880" s="157" t="s">
        <v>644</v>
      </c>
      <c r="F1880" s="162" t="s">
        <v>5641</v>
      </c>
      <c r="G1880" s="157" t="s">
        <v>5642</v>
      </c>
      <c r="H1880" s="157"/>
      <c r="I1880" s="158">
        <v>13.29593789</v>
      </c>
      <c r="J1880" s="158">
        <v>53.5615703646091</v>
      </c>
      <c r="K1880" s="157" t="s">
        <v>5643</v>
      </c>
      <c r="L1880" s="157" t="s">
        <v>648</v>
      </c>
      <c r="M1880" s="158">
        <v>2022.0</v>
      </c>
      <c r="N1880" s="157" t="s">
        <v>649</v>
      </c>
      <c r="O1880" s="157" t="s">
        <v>650</v>
      </c>
      <c r="P1880" s="161" t="b">
        <v>0</v>
      </c>
      <c r="Q1880" s="158">
        <v>0.119</v>
      </c>
      <c r="R1880" s="158">
        <v>0.0</v>
      </c>
      <c r="S1880" s="158">
        <v>0.119</v>
      </c>
      <c r="T1880" s="157" t="s">
        <v>594</v>
      </c>
      <c r="U1880" s="46" t="s">
        <v>651</v>
      </c>
      <c r="V1880" s="46" t="b">
        <v>1</v>
      </c>
      <c r="W1880" s="46">
        <v>0.95</v>
      </c>
      <c r="X1880" s="46">
        <v>0.0</v>
      </c>
      <c r="Y1880" s="46">
        <v>99.3844151524343</v>
      </c>
      <c r="Z1880" s="46" t="b">
        <v>0</v>
      </c>
      <c r="AA1880" s="46" t="b">
        <v>1</v>
      </c>
    </row>
    <row r="1881">
      <c r="A1881" s="157" t="s">
        <v>557</v>
      </c>
      <c r="B1881" s="158">
        <v>1.0</v>
      </c>
      <c r="C1881" s="157" t="s">
        <v>642</v>
      </c>
      <c r="D1881" s="157" t="s">
        <v>643</v>
      </c>
      <c r="E1881" s="157" t="s">
        <v>644</v>
      </c>
      <c r="F1881" s="162" t="s">
        <v>5644</v>
      </c>
      <c r="G1881" s="157" t="s">
        <v>5645</v>
      </c>
      <c r="H1881" s="157"/>
      <c r="I1881" s="158">
        <v>10.1175400946874</v>
      </c>
      <c r="J1881" s="158">
        <v>48.8216708540163</v>
      </c>
      <c r="K1881" s="157" t="s">
        <v>5646</v>
      </c>
      <c r="L1881" s="157" t="s">
        <v>648</v>
      </c>
      <c r="M1881" s="158">
        <v>2022.0</v>
      </c>
      <c r="N1881" s="157" t="s">
        <v>649</v>
      </c>
      <c r="O1881" s="157" t="s">
        <v>650</v>
      </c>
      <c r="P1881" s="161" t="b">
        <v>0</v>
      </c>
      <c r="Q1881" s="158">
        <v>0.117</v>
      </c>
      <c r="R1881" s="158">
        <v>0.0</v>
      </c>
      <c r="S1881" s="158">
        <v>0.117</v>
      </c>
      <c r="T1881" s="157" t="s">
        <v>594</v>
      </c>
      <c r="U1881" s="46" t="s">
        <v>651</v>
      </c>
      <c r="V1881" s="46" t="b">
        <v>1</v>
      </c>
      <c r="W1881" s="46">
        <v>0.95</v>
      </c>
      <c r="X1881" s="46">
        <v>0.0</v>
      </c>
      <c r="Y1881" s="46">
        <v>35.552272903279</v>
      </c>
      <c r="Z1881" s="46" t="b">
        <v>1</v>
      </c>
      <c r="AA1881" s="46" t="b">
        <v>1</v>
      </c>
    </row>
    <row r="1882">
      <c r="A1882" s="157" t="s">
        <v>557</v>
      </c>
      <c r="B1882" s="158">
        <v>1.0</v>
      </c>
      <c r="C1882" s="157" t="s">
        <v>642</v>
      </c>
      <c r="D1882" s="157" t="s">
        <v>643</v>
      </c>
      <c r="E1882" s="157" t="s">
        <v>644</v>
      </c>
      <c r="F1882" s="162" t="s">
        <v>5647</v>
      </c>
      <c r="G1882" s="157" t="s">
        <v>5648</v>
      </c>
      <c r="H1882" s="157"/>
      <c r="I1882" s="158">
        <v>7.57956945695337</v>
      </c>
      <c r="J1882" s="158">
        <v>51.6826705424256</v>
      </c>
      <c r="K1882" s="157" t="s">
        <v>5649</v>
      </c>
      <c r="L1882" s="157" t="s">
        <v>648</v>
      </c>
      <c r="M1882" s="158">
        <v>2022.0</v>
      </c>
      <c r="N1882" s="157" t="s">
        <v>649</v>
      </c>
      <c r="O1882" s="157" t="s">
        <v>650</v>
      </c>
      <c r="P1882" s="161" t="b">
        <v>0</v>
      </c>
      <c r="Q1882" s="158">
        <v>0.117</v>
      </c>
      <c r="R1882" s="158">
        <v>0.0</v>
      </c>
      <c r="S1882" s="158">
        <v>0.117</v>
      </c>
      <c r="T1882" s="157" t="s">
        <v>594</v>
      </c>
      <c r="U1882" s="46" t="s">
        <v>651</v>
      </c>
      <c r="V1882" s="46" t="b">
        <v>1</v>
      </c>
      <c r="W1882" s="46">
        <v>0.95</v>
      </c>
      <c r="X1882" s="46">
        <v>0.0</v>
      </c>
      <c r="Y1882" s="46">
        <v>4.46535161231926</v>
      </c>
      <c r="Z1882" s="46" t="b">
        <v>1</v>
      </c>
      <c r="AA1882" s="46" t="b">
        <v>1</v>
      </c>
    </row>
    <row r="1883">
      <c r="A1883" s="157" t="s">
        <v>557</v>
      </c>
      <c r="B1883" s="158">
        <v>1.0</v>
      </c>
      <c r="C1883" s="157" t="s">
        <v>642</v>
      </c>
      <c r="D1883" s="157" t="s">
        <v>643</v>
      </c>
      <c r="E1883" s="157" t="s">
        <v>644</v>
      </c>
      <c r="F1883" s="162" t="s">
        <v>5650</v>
      </c>
      <c r="G1883" s="157" t="s">
        <v>5651</v>
      </c>
      <c r="H1883" s="157"/>
      <c r="I1883" s="158">
        <v>11.3286181533123</v>
      </c>
      <c r="J1883" s="158">
        <v>50.6862013717246</v>
      </c>
      <c r="K1883" s="157" t="s">
        <v>5652</v>
      </c>
      <c r="L1883" s="157" t="s">
        <v>648</v>
      </c>
      <c r="M1883" s="158">
        <v>2022.0</v>
      </c>
      <c r="N1883" s="157" t="s">
        <v>649</v>
      </c>
      <c r="O1883" s="157" t="s">
        <v>650</v>
      </c>
      <c r="P1883" s="161" t="b">
        <v>0</v>
      </c>
      <c r="Q1883" s="158">
        <v>0.117</v>
      </c>
      <c r="R1883" s="158">
        <v>0.0</v>
      </c>
      <c r="S1883" s="158">
        <v>0.117</v>
      </c>
      <c r="T1883" s="157" t="s">
        <v>594</v>
      </c>
      <c r="U1883" s="46" t="s">
        <v>651</v>
      </c>
      <c r="V1883" s="46" t="b">
        <v>1</v>
      </c>
      <c r="W1883" s="46">
        <v>0.95</v>
      </c>
      <c r="X1883" s="46">
        <v>0.0</v>
      </c>
      <c r="Y1883" s="46">
        <v>89.0968019340778</v>
      </c>
      <c r="Z1883" s="46" t="b">
        <v>0</v>
      </c>
      <c r="AA1883" s="46" t="b">
        <v>1</v>
      </c>
    </row>
    <row r="1884">
      <c r="A1884" s="157" t="s">
        <v>557</v>
      </c>
      <c r="B1884" s="158">
        <v>1.0</v>
      </c>
      <c r="C1884" s="157" t="s">
        <v>642</v>
      </c>
      <c r="D1884" s="157" t="s">
        <v>643</v>
      </c>
      <c r="E1884" s="157" t="s">
        <v>644</v>
      </c>
      <c r="F1884" s="162" t="s">
        <v>5653</v>
      </c>
      <c r="G1884" s="157" t="s">
        <v>5654</v>
      </c>
      <c r="H1884" s="157"/>
      <c r="I1884" s="158">
        <v>8.627828008</v>
      </c>
      <c r="J1884" s="158">
        <v>50.0857034445537</v>
      </c>
      <c r="K1884" s="157" t="s">
        <v>1030</v>
      </c>
      <c r="L1884" s="157" t="s">
        <v>648</v>
      </c>
      <c r="M1884" s="158">
        <v>2022.0</v>
      </c>
      <c r="N1884" s="157" t="s">
        <v>649</v>
      </c>
      <c r="O1884" s="157" t="s">
        <v>650</v>
      </c>
      <c r="P1884" s="161" t="b">
        <v>0</v>
      </c>
      <c r="Q1884" s="158">
        <v>0.115</v>
      </c>
      <c r="R1884" s="158">
        <v>0.0</v>
      </c>
      <c r="S1884" s="158">
        <v>0.115</v>
      </c>
      <c r="T1884" s="157" t="s">
        <v>594</v>
      </c>
      <c r="U1884" s="46" t="s">
        <v>651</v>
      </c>
      <c r="V1884" s="46" t="b">
        <v>1</v>
      </c>
      <c r="W1884" s="46">
        <v>0.95</v>
      </c>
      <c r="X1884" s="46">
        <v>0.0</v>
      </c>
      <c r="Y1884" s="46">
        <v>3.50520628949958</v>
      </c>
      <c r="Z1884" s="46" t="b">
        <v>1</v>
      </c>
      <c r="AA1884" s="46" t="b">
        <v>1</v>
      </c>
    </row>
    <row r="1885">
      <c r="A1885" s="157" t="s">
        <v>557</v>
      </c>
      <c r="B1885" s="158">
        <v>1.0</v>
      </c>
      <c r="C1885" s="157" t="s">
        <v>642</v>
      </c>
      <c r="D1885" s="157" t="s">
        <v>643</v>
      </c>
      <c r="E1885" s="157" t="s">
        <v>644</v>
      </c>
      <c r="F1885" s="162" t="s">
        <v>5655</v>
      </c>
      <c r="G1885" s="157" t="s">
        <v>5656</v>
      </c>
      <c r="H1885" s="157"/>
      <c r="I1885" s="158">
        <v>13.7128302181013</v>
      </c>
      <c r="J1885" s="158">
        <v>51.1274076759398</v>
      </c>
      <c r="K1885" s="157" t="s">
        <v>5637</v>
      </c>
      <c r="L1885" s="157" t="s">
        <v>648</v>
      </c>
      <c r="M1885" s="158">
        <v>2022.0</v>
      </c>
      <c r="N1885" s="157" t="s">
        <v>649</v>
      </c>
      <c r="O1885" s="157" t="s">
        <v>650</v>
      </c>
      <c r="P1885" s="161" t="b">
        <v>0</v>
      </c>
      <c r="Q1885" s="158">
        <v>0.115</v>
      </c>
      <c r="R1885" s="158">
        <v>0.0</v>
      </c>
      <c r="S1885" s="158">
        <v>0.115</v>
      </c>
      <c r="T1885" s="157" t="s">
        <v>594</v>
      </c>
      <c r="U1885" s="46" t="s">
        <v>651</v>
      </c>
      <c r="V1885" s="46" t="b">
        <v>1</v>
      </c>
      <c r="W1885" s="46">
        <v>0.95</v>
      </c>
      <c r="X1885" s="46">
        <v>0.0</v>
      </c>
      <c r="Y1885" s="46">
        <v>0.768064612550868</v>
      </c>
      <c r="Z1885" s="46" t="b">
        <v>1</v>
      </c>
      <c r="AA1885" s="46" t="b">
        <v>1</v>
      </c>
    </row>
    <row r="1886">
      <c r="A1886" s="157" t="s">
        <v>557</v>
      </c>
      <c r="B1886" s="158">
        <v>1.0</v>
      </c>
      <c r="C1886" s="157" t="s">
        <v>642</v>
      </c>
      <c r="D1886" s="157" t="s">
        <v>643</v>
      </c>
      <c r="E1886" s="157" t="s">
        <v>644</v>
      </c>
      <c r="F1886" s="162" t="s">
        <v>5657</v>
      </c>
      <c r="G1886" s="157" t="s">
        <v>5658</v>
      </c>
      <c r="H1886" s="157"/>
      <c r="I1886" s="158">
        <v>11.5960512744538</v>
      </c>
      <c r="J1886" s="158">
        <v>48.1890261411998</v>
      </c>
      <c r="K1886" s="157" t="s">
        <v>5513</v>
      </c>
      <c r="L1886" s="157" t="s">
        <v>648</v>
      </c>
      <c r="M1886" s="158">
        <v>2022.0</v>
      </c>
      <c r="N1886" s="157" t="s">
        <v>649</v>
      </c>
      <c r="O1886" s="157" t="s">
        <v>650</v>
      </c>
      <c r="P1886" s="161" t="b">
        <v>0</v>
      </c>
      <c r="Q1886" s="158">
        <v>0.114</v>
      </c>
      <c r="R1886" s="158">
        <v>0.0</v>
      </c>
      <c r="S1886" s="158">
        <v>0.114</v>
      </c>
      <c r="T1886" s="157" t="s">
        <v>594</v>
      </c>
      <c r="U1886" s="46" t="s">
        <v>651</v>
      </c>
      <c r="V1886" s="46" t="b">
        <v>1</v>
      </c>
      <c r="W1886" s="46">
        <v>0.95</v>
      </c>
      <c r="X1886" s="46">
        <v>0.0</v>
      </c>
      <c r="Y1886" s="46">
        <v>27.1462600819783</v>
      </c>
      <c r="Z1886" s="46" t="b">
        <v>1</v>
      </c>
      <c r="AA1886" s="46" t="b">
        <v>1</v>
      </c>
    </row>
    <row r="1887">
      <c r="A1887" s="157" t="s">
        <v>557</v>
      </c>
      <c r="B1887" s="158">
        <v>1.0</v>
      </c>
      <c r="C1887" s="157" t="s">
        <v>642</v>
      </c>
      <c r="D1887" s="157" t="s">
        <v>643</v>
      </c>
      <c r="E1887" s="157" t="s">
        <v>644</v>
      </c>
      <c r="F1887" s="162" t="s">
        <v>5659</v>
      </c>
      <c r="G1887" s="157" t="s">
        <v>5660</v>
      </c>
      <c r="H1887" s="157"/>
      <c r="I1887" s="158">
        <v>6.978179572</v>
      </c>
      <c r="J1887" s="158">
        <v>49.2136673445611</v>
      </c>
      <c r="K1887" s="157" t="s">
        <v>1346</v>
      </c>
      <c r="L1887" s="157" t="s">
        <v>648</v>
      </c>
      <c r="M1887" s="158">
        <v>2022.0</v>
      </c>
      <c r="N1887" s="157" t="s">
        <v>649</v>
      </c>
      <c r="O1887" s="157" t="s">
        <v>650</v>
      </c>
      <c r="P1887" s="161" t="b">
        <v>0</v>
      </c>
      <c r="Q1887" s="158">
        <v>0.114</v>
      </c>
      <c r="R1887" s="158">
        <v>0.0</v>
      </c>
      <c r="S1887" s="158">
        <v>0.114</v>
      </c>
      <c r="T1887" s="157" t="s">
        <v>594</v>
      </c>
      <c r="U1887" s="46" t="s">
        <v>651</v>
      </c>
      <c r="V1887" s="46" t="b">
        <v>1</v>
      </c>
      <c r="W1887" s="46">
        <v>0.95</v>
      </c>
      <c r="X1887" s="46">
        <v>0.0</v>
      </c>
      <c r="Y1887" s="46">
        <v>0.800735880019143</v>
      </c>
      <c r="Z1887" s="46" t="b">
        <v>1</v>
      </c>
      <c r="AA1887" s="46" t="b">
        <v>1</v>
      </c>
    </row>
    <row r="1888">
      <c r="A1888" s="157" t="s">
        <v>557</v>
      </c>
      <c r="B1888" s="158">
        <v>1.0</v>
      </c>
      <c r="C1888" s="157" t="s">
        <v>642</v>
      </c>
      <c r="D1888" s="157" t="s">
        <v>643</v>
      </c>
      <c r="E1888" s="157" t="s">
        <v>644</v>
      </c>
      <c r="F1888" s="162" t="s">
        <v>5661</v>
      </c>
      <c r="G1888" s="157" t="s">
        <v>5662</v>
      </c>
      <c r="H1888" s="157"/>
      <c r="I1888" s="158">
        <v>11.0021131062364</v>
      </c>
      <c r="J1888" s="158">
        <v>49.592518924696</v>
      </c>
      <c r="K1888" s="157" t="s">
        <v>5663</v>
      </c>
      <c r="L1888" s="157" t="s">
        <v>648</v>
      </c>
      <c r="M1888" s="158">
        <v>2022.0</v>
      </c>
      <c r="N1888" s="157" t="s">
        <v>649</v>
      </c>
      <c r="O1888" s="157" t="s">
        <v>650</v>
      </c>
      <c r="P1888" s="161" t="b">
        <v>0</v>
      </c>
      <c r="Q1888" s="158">
        <v>0.112</v>
      </c>
      <c r="R1888" s="158">
        <v>0.0</v>
      </c>
      <c r="S1888" s="158">
        <v>0.112</v>
      </c>
      <c r="T1888" s="157" t="s">
        <v>594</v>
      </c>
      <c r="U1888" s="46" t="s">
        <v>651</v>
      </c>
      <c r="V1888" s="46" t="b">
        <v>1</v>
      </c>
      <c r="W1888" s="46">
        <v>0.95</v>
      </c>
      <c r="X1888" s="46">
        <v>0.0</v>
      </c>
      <c r="Y1888" s="46">
        <v>6.38293617101684</v>
      </c>
      <c r="Z1888" s="46" t="b">
        <v>1</v>
      </c>
      <c r="AA1888" s="46" t="b">
        <v>1</v>
      </c>
    </row>
    <row r="1889">
      <c r="A1889" s="157" t="s">
        <v>557</v>
      </c>
      <c r="B1889" s="158">
        <v>1.0</v>
      </c>
      <c r="C1889" s="157" t="s">
        <v>642</v>
      </c>
      <c r="D1889" s="157" t="s">
        <v>643</v>
      </c>
      <c r="E1889" s="157" t="s">
        <v>644</v>
      </c>
      <c r="F1889" s="162" t="s">
        <v>5664</v>
      </c>
      <c r="G1889" s="157" t="s">
        <v>5665</v>
      </c>
      <c r="H1889" s="157"/>
      <c r="I1889" s="158">
        <v>8.61809687912699</v>
      </c>
      <c r="J1889" s="158">
        <v>51.9996757221328</v>
      </c>
      <c r="K1889" s="157" t="s">
        <v>5666</v>
      </c>
      <c r="L1889" s="157" t="s">
        <v>648</v>
      </c>
      <c r="M1889" s="158">
        <v>2022.0</v>
      </c>
      <c r="N1889" s="157" t="s">
        <v>649</v>
      </c>
      <c r="O1889" s="157" t="s">
        <v>650</v>
      </c>
      <c r="P1889" s="161" t="b">
        <v>0</v>
      </c>
      <c r="Q1889" s="158">
        <v>0.11</v>
      </c>
      <c r="R1889" s="158">
        <v>0.0</v>
      </c>
      <c r="S1889" s="158">
        <v>0.11</v>
      </c>
      <c r="T1889" s="157" t="s">
        <v>594</v>
      </c>
      <c r="U1889" s="46" t="s">
        <v>651</v>
      </c>
      <c r="V1889" s="46" t="b">
        <v>1</v>
      </c>
      <c r="W1889" s="46">
        <v>0.95</v>
      </c>
      <c r="X1889" s="46">
        <v>0.0</v>
      </c>
      <c r="Y1889" s="46">
        <v>36.6933277072605</v>
      </c>
      <c r="Z1889" s="46" t="b">
        <v>1</v>
      </c>
      <c r="AA1889" s="46" t="b">
        <v>1</v>
      </c>
    </row>
    <row r="1890">
      <c r="A1890" s="157" t="s">
        <v>557</v>
      </c>
      <c r="B1890" s="158">
        <v>1.0</v>
      </c>
      <c r="C1890" s="157" t="s">
        <v>642</v>
      </c>
      <c r="D1890" s="157" t="s">
        <v>643</v>
      </c>
      <c r="E1890" s="157" t="s">
        <v>644</v>
      </c>
      <c r="F1890" s="162" t="s">
        <v>5667</v>
      </c>
      <c r="G1890" s="157" t="s">
        <v>5668</v>
      </c>
      <c r="H1890" s="157"/>
      <c r="I1890" s="158">
        <v>11.0076788122775</v>
      </c>
      <c r="J1890" s="158">
        <v>49.4208298113942</v>
      </c>
      <c r="K1890" s="157" t="s">
        <v>5524</v>
      </c>
      <c r="L1890" s="157" t="s">
        <v>648</v>
      </c>
      <c r="M1890" s="158">
        <v>2022.0</v>
      </c>
      <c r="N1890" s="157" t="s">
        <v>649</v>
      </c>
      <c r="O1890" s="157" t="s">
        <v>650</v>
      </c>
      <c r="P1890" s="161" t="b">
        <v>0</v>
      </c>
      <c r="Q1890" s="158">
        <v>0.107</v>
      </c>
      <c r="R1890" s="158">
        <v>0.0</v>
      </c>
      <c r="S1890" s="158">
        <v>0.107</v>
      </c>
      <c r="T1890" s="157" t="s">
        <v>594</v>
      </c>
      <c r="U1890" s="46" t="s">
        <v>651</v>
      </c>
      <c r="V1890" s="46" t="b">
        <v>1</v>
      </c>
      <c r="W1890" s="46">
        <v>0.95</v>
      </c>
      <c r="X1890" s="46">
        <v>0.0</v>
      </c>
      <c r="Y1890" s="46">
        <v>23.857454861439</v>
      </c>
      <c r="Z1890" s="46" t="b">
        <v>1</v>
      </c>
      <c r="AA1890" s="46" t="b">
        <v>1</v>
      </c>
    </row>
    <row r="1891">
      <c r="A1891" s="157" t="s">
        <v>557</v>
      </c>
      <c r="B1891" s="158">
        <v>1.0</v>
      </c>
      <c r="C1891" s="157" t="s">
        <v>642</v>
      </c>
      <c r="D1891" s="157" t="s">
        <v>643</v>
      </c>
      <c r="E1891" s="157" t="s">
        <v>644</v>
      </c>
      <c r="F1891" s="162" t="s">
        <v>5669</v>
      </c>
      <c r="G1891" s="157" t="s">
        <v>5670</v>
      </c>
      <c r="H1891" s="157"/>
      <c r="I1891" s="158">
        <v>12.1183570779477</v>
      </c>
      <c r="J1891" s="158">
        <v>47.7959692800943</v>
      </c>
      <c r="K1891" s="157" t="s">
        <v>5671</v>
      </c>
      <c r="L1891" s="157" t="s">
        <v>648</v>
      </c>
      <c r="M1891" s="158">
        <v>2022.0</v>
      </c>
      <c r="N1891" s="157" t="s">
        <v>649</v>
      </c>
      <c r="O1891" s="157" t="s">
        <v>650</v>
      </c>
      <c r="P1891" s="161" t="b">
        <v>0</v>
      </c>
      <c r="Q1891" s="158">
        <v>0.106</v>
      </c>
      <c r="R1891" s="158">
        <v>0.0</v>
      </c>
      <c r="S1891" s="158">
        <v>0.106</v>
      </c>
      <c r="T1891" s="157" t="s">
        <v>594</v>
      </c>
      <c r="U1891" s="46" t="s">
        <v>651</v>
      </c>
      <c r="V1891" s="46" t="b">
        <v>1</v>
      </c>
      <c r="W1891" s="46">
        <v>0.95</v>
      </c>
      <c r="X1891" s="46">
        <v>0.0</v>
      </c>
      <c r="Y1891" s="46">
        <v>48.8987502669807</v>
      </c>
      <c r="Z1891" s="46" t="b">
        <v>1</v>
      </c>
      <c r="AA1891" s="46" t="b">
        <v>1</v>
      </c>
    </row>
    <row r="1892">
      <c r="A1892" s="157" t="s">
        <v>557</v>
      </c>
      <c r="B1892" s="158">
        <v>1.0</v>
      </c>
      <c r="C1892" s="157" t="s">
        <v>642</v>
      </c>
      <c r="D1892" s="157" t="s">
        <v>643</v>
      </c>
      <c r="E1892" s="157" t="s">
        <v>644</v>
      </c>
      <c r="F1892" s="162" t="s">
        <v>5672</v>
      </c>
      <c r="G1892" s="157" t="s">
        <v>5673</v>
      </c>
      <c r="H1892" s="157"/>
      <c r="I1892" s="158">
        <v>13.7832298229824</v>
      </c>
      <c r="J1892" s="158">
        <v>51.024483339737</v>
      </c>
      <c r="K1892" s="157" t="s">
        <v>5497</v>
      </c>
      <c r="L1892" s="157" t="s">
        <v>648</v>
      </c>
      <c r="M1892" s="158">
        <v>2022.0</v>
      </c>
      <c r="N1892" s="157" t="s">
        <v>649</v>
      </c>
      <c r="O1892" s="157" t="s">
        <v>650</v>
      </c>
      <c r="P1892" s="161" t="b">
        <v>0</v>
      </c>
      <c r="Q1892" s="158">
        <v>0.106</v>
      </c>
      <c r="R1892" s="158">
        <v>0.0</v>
      </c>
      <c r="S1892" s="158">
        <v>0.106</v>
      </c>
      <c r="T1892" s="157" t="s">
        <v>594</v>
      </c>
      <c r="U1892" s="46" t="s">
        <v>651</v>
      </c>
      <c r="V1892" s="46" t="b">
        <v>1</v>
      </c>
      <c r="W1892" s="46">
        <v>0.95</v>
      </c>
      <c r="X1892" s="46">
        <v>0.0</v>
      </c>
      <c r="Y1892" s="46">
        <v>10.3563594496251</v>
      </c>
      <c r="Z1892" s="46" t="b">
        <v>1</v>
      </c>
      <c r="AA1892" s="46" t="b">
        <v>1</v>
      </c>
    </row>
    <row r="1893">
      <c r="A1893" s="157" t="s">
        <v>557</v>
      </c>
      <c r="B1893" s="158">
        <v>1.0</v>
      </c>
      <c r="C1893" s="157" t="s">
        <v>642</v>
      </c>
      <c r="D1893" s="157" t="s">
        <v>643</v>
      </c>
      <c r="E1893" s="157" t="s">
        <v>644</v>
      </c>
      <c r="F1893" s="162" t="s">
        <v>5674</v>
      </c>
      <c r="G1893" s="157" t="s">
        <v>5675</v>
      </c>
      <c r="H1893" s="157"/>
      <c r="I1893" s="158">
        <v>7.662230264</v>
      </c>
      <c r="J1893" s="158">
        <v>47.550105521758</v>
      </c>
      <c r="K1893" s="157" t="s">
        <v>5676</v>
      </c>
      <c r="L1893" s="157" t="s">
        <v>648</v>
      </c>
      <c r="M1893" s="158">
        <v>2022.0</v>
      </c>
      <c r="N1893" s="157" t="s">
        <v>649</v>
      </c>
      <c r="O1893" s="157" t="s">
        <v>650</v>
      </c>
      <c r="P1893" s="161" t="b">
        <v>0</v>
      </c>
      <c r="Q1893" s="158">
        <v>0.103</v>
      </c>
      <c r="R1893" s="158">
        <v>0.0</v>
      </c>
      <c r="S1893" s="158">
        <v>0.103</v>
      </c>
      <c r="T1893" s="157" t="s">
        <v>594</v>
      </c>
      <c r="U1893" s="46" t="s">
        <v>651</v>
      </c>
      <c r="V1893" s="46" t="b">
        <v>1</v>
      </c>
      <c r="W1893" s="46">
        <v>0.95</v>
      </c>
      <c r="X1893" s="46">
        <v>0.0</v>
      </c>
      <c r="Y1893" s="46">
        <v>29.1245068329152</v>
      </c>
      <c r="Z1893" s="46" t="b">
        <v>1</v>
      </c>
      <c r="AA1893" s="46" t="b">
        <v>1</v>
      </c>
    </row>
    <row r="1894">
      <c r="A1894" s="157" t="s">
        <v>557</v>
      </c>
      <c r="B1894" s="158">
        <v>1.0</v>
      </c>
      <c r="C1894" s="157" t="s">
        <v>642</v>
      </c>
      <c r="D1894" s="157" t="s">
        <v>643</v>
      </c>
      <c r="E1894" s="157" t="s">
        <v>644</v>
      </c>
      <c r="F1894" s="162" t="s">
        <v>5677</v>
      </c>
      <c r="G1894" s="157" t="s">
        <v>5678</v>
      </c>
      <c r="H1894" s="157"/>
      <c r="I1894" s="158">
        <v>7.76087239410964</v>
      </c>
      <c r="J1894" s="158">
        <v>49.4349680461841</v>
      </c>
      <c r="K1894" s="157" t="s">
        <v>5679</v>
      </c>
      <c r="L1894" s="157" t="s">
        <v>648</v>
      </c>
      <c r="M1894" s="158">
        <v>2022.0</v>
      </c>
      <c r="N1894" s="157" t="s">
        <v>649</v>
      </c>
      <c r="O1894" s="157" t="s">
        <v>650</v>
      </c>
      <c r="P1894" s="161" t="b">
        <v>0</v>
      </c>
      <c r="Q1894" s="158">
        <v>0.103</v>
      </c>
      <c r="R1894" s="158">
        <v>0.0</v>
      </c>
      <c r="S1894" s="158">
        <v>0.103</v>
      </c>
      <c r="T1894" s="157" t="s">
        <v>594</v>
      </c>
      <c r="U1894" s="46" t="s">
        <v>651</v>
      </c>
      <c r="V1894" s="46" t="b">
        <v>1</v>
      </c>
      <c r="W1894" s="46">
        <v>0.95</v>
      </c>
      <c r="X1894" s="46">
        <v>0.0</v>
      </c>
      <c r="Y1894" s="46">
        <v>14.0892789614141</v>
      </c>
      <c r="Z1894" s="46" t="b">
        <v>1</v>
      </c>
      <c r="AA1894" s="46" t="b">
        <v>1</v>
      </c>
    </row>
    <row r="1895">
      <c r="A1895" s="157" t="s">
        <v>557</v>
      </c>
      <c r="B1895" s="158">
        <v>1.0</v>
      </c>
      <c r="C1895" s="157" t="s">
        <v>642</v>
      </c>
      <c r="D1895" s="157" t="s">
        <v>643</v>
      </c>
      <c r="E1895" s="157" t="s">
        <v>644</v>
      </c>
      <c r="F1895" s="162" t="s">
        <v>5680</v>
      </c>
      <c r="G1895" s="157" t="s">
        <v>5681</v>
      </c>
      <c r="H1895" s="157"/>
      <c r="I1895" s="158">
        <v>12.2309618436402</v>
      </c>
      <c r="J1895" s="158">
        <v>51.6389738319338</v>
      </c>
      <c r="K1895" s="157" t="s">
        <v>5682</v>
      </c>
      <c r="L1895" s="157" t="s">
        <v>648</v>
      </c>
      <c r="M1895" s="158">
        <v>2022.0</v>
      </c>
      <c r="N1895" s="157" t="s">
        <v>649</v>
      </c>
      <c r="O1895" s="157" t="s">
        <v>650</v>
      </c>
      <c r="P1895" s="161" t="b">
        <v>0</v>
      </c>
      <c r="Q1895" s="158">
        <v>0.103</v>
      </c>
      <c r="R1895" s="158">
        <v>0.0</v>
      </c>
      <c r="S1895" s="158">
        <v>0.103</v>
      </c>
      <c r="T1895" s="157" t="s">
        <v>594</v>
      </c>
      <c r="U1895" s="46" t="s">
        <v>651</v>
      </c>
      <c r="V1895" s="46" t="b">
        <v>1</v>
      </c>
      <c r="W1895" s="46">
        <v>0.95</v>
      </c>
      <c r="X1895" s="46">
        <v>0.0</v>
      </c>
      <c r="Y1895" s="46">
        <v>25.1581434948005</v>
      </c>
      <c r="Z1895" s="46" t="b">
        <v>1</v>
      </c>
      <c r="AA1895" s="46" t="b">
        <v>1</v>
      </c>
    </row>
    <row r="1896">
      <c r="A1896" s="157" t="s">
        <v>583</v>
      </c>
      <c r="B1896" s="158">
        <v>1.0</v>
      </c>
      <c r="C1896" s="157" t="s">
        <v>642</v>
      </c>
      <c r="D1896" s="157" t="s">
        <v>643</v>
      </c>
      <c r="E1896" s="157" t="s">
        <v>644</v>
      </c>
      <c r="F1896" s="157" t="s">
        <v>5683</v>
      </c>
      <c r="G1896" s="157" t="s">
        <v>5684</v>
      </c>
      <c r="H1896" s="157"/>
      <c r="I1896" s="158">
        <v>-9.42322</v>
      </c>
      <c r="J1896" s="158">
        <v>52.607832</v>
      </c>
      <c r="K1896" s="157" t="s">
        <v>5685</v>
      </c>
      <c r="L1896" s="157" t="s">
        <v>648</v>
      </c>
      <c r="M1896" s="158">
        <v>2022.0</v>
      </c>
      <c r="N1896" s="157" t="s">
        <v>649</v>
      </c>
      <c r="O1896" s="157" t="s">
        <v>650</v>
      </c>
      <c r="P1896" s="161" t="b">
        <v>0</v>
      </c>
      <c r="Q1896" s="158">
        <v>2.649234</v>
      </c>
      <c r="R1896" s="158">
        <v>0.0</v>
      </c>
      <c r="S1896" s="158">
        <v>2.649234</v>
      </c>
      <c r="T1896" s="157" t="s">
        <v>594</v>
      </c>
      <c r="U1896" s="46" t="s">
        <v>651</v>
      </c>
      <c r="V1896" s="46" t="b">
        <v>1</v>
      </c>
      <c r="W1896" s="46">
        <v>0.95</v>
      </c>
      <c r="X1896" s="46">
        <v>0.0</v>
      </c>
      <c r="Y1896" s="46" t="s">
        <v>640</v>
      </c>
      <c r="Z1896" s="46" t="b">
        <v>0</v>
      </c>
      <c r="AA1896" s="46" t="b">
        <v>0</v>
      </c>
    </row>
    <row r="1897">
      <c r="A1897" s="157" t="s">
        <v>583</v>
      </c>
      <c r="B1897" s="158">
        <v>1.0</v>
      </c>
      <c r="C1897" s="157" t="s">
        <v>642</v>
      </c>
      <c r="D1897" s="157" t="s">
        <v>643</v>
      </c>
      <c r="E1897" s="157" t="s">
        <v>644</v>
      </c>
      <c r="F1897" s="157" t="s">
        <v>5686</v>
      </c>
      <c r="G1897" s="157" t="s">
        <v>5687</v>
      </c>
      <c r="H1897" s="157"/>
      <c r="I1897" s="158">
        <v>-8.251072</v>
      </c>
      <c r="J1897" s="158">
        <v>51.815217</v>
      </c>
      <c r="K1897" s="157" t="s">
        <v>4543</v>
      </c>
      <c r="L1897" s="157" t="s">
        <v>648</v>
      </c>
      <c r="M1897" s="158">
        <v>2022.0</v>
      </c>
      <c r="N1897" s="157" t="s">
        <v>649</v>
      </c>
      <c r="O1897" s="157" t="s">
        <v>650</v>
      </c>
      <c r="P1897" s="161" t="b">
        <v>0</v>
      </c>
      <c r="Q1897" s="158">
        <v>0.937719474</v>
      </c>
      <c r="R1897" s="158">
        <v>0.0</v>
      </c>
      <c r="S1897" s="158">
        <v>0.937719474</v>
      </c>
      <c r="T1897" s="157" t="s">
        <v>594</v>
      </c>
      <c r="U1897" s="46" t="s">
        <v>651</v>
      </c>
      <c r="V1897" s="46" t="b">
        <v>1</v>
      </c>
      <c r="W1897" s="46">
        <v>0.95</v>
      </c>
      <c r="X1897" s="46">
        <v>0.0</v>
      </c>
      <c r="Y1897" s="46" t="s">
        <v>640</v>
      </c>
      <c r="Z1897" s="46" t="b">
        <v>0</v>
      </c>
      <c r="AA1897" s="46" t="b">
        <v>0</v>
      </c>
    </row>
    <row r="1898">
      <c r="A1898" s="157" t="s">
        <v>583</v>
      </c>
      <c r="B1898" s="158">
        <v>1.0</v>
      </c>
      <c r="C1898" s="157" t="s">
        <v>642</v>
      </c>
      <c r="D1898" s="157" t="s">
        <v>643</v>
      </c>
      <c r="E1898" s="157" t="s">
        <v>644</v>
      </c>
      <c r="F1898" s="157" t="s">
        <v>5688</v>
      </c>
      <c r="G1898" s="157" t="s">
        <v>5689</v>
      </c>
      <c r="H1898" s="157"/>
      <c r="I1898" s="158">
        <v>-6.327038</v>
      </c>
      <c r="J1898" s="158">
        <v>53.411865</v>
      </c>
      <c r="K1898" s="157" t="s">
        <v>5690</v>
      </c>
      <c r="L1898" s="157" t="s">
        <v>648</v>
      </c>
      <c r="M1898" s="158">
        <v>2022.0</v>
      </c>
      <c r="N1898" s="157" t="s">
        <v>649</v>
      </c>
      <c r="O1898" s="157" t="s">
        <v>650</v>
      </c>
      <c r="P1898" s="161" t="b">
        <v>0</v>
      </c>
      <c r="Q1898" s="158">
        <v>0.830163</v>
      </c>
      <c r="R1898" s="158">
        <v>0.0</v>
      </c>
      <c r="S1898" s="158">
        <v>0.830163</v>
      </c>
      <c r="T1898" s="157" t="s">
        <v>594</v>
      </c>
      <c r="U1898" s="46" t="s">
        <v>651</v>
      </c>
      <c r="V1898" s="46" t="b">
        <v>1</v>
      </c>
      <c r="W1898" s="46">
        <v>0.95</v>
      </c>
      <c r="X1898" s="46">
        <v>0.0</v>
      </c>
      <c r="Y1898" s="46" t="s">
        <v>640</v>
      </c>
      <c r="Z1898" s="46" t="b">
        <v>0</v>
      </c>
      <c r="AA1898" s="46" t="b">
        <v>0</v>
      </c>
    </row>
    <row r="1899">
      <c r="A1899" s="157" t="s">
        <v>583</v>
      </c>
      <c r="B1899" s="158">
        <v>1.0</v>
      </c>
      <c r="C1899" s="157" t="s">
        <v>642</v>
      </c>
      <c r="D1899" s="157" t="s">
        <v>643</v>
      </c>
      <c r="E1899" s="157" t="s">
        <v>644</v>
      </c>
      <c r="F1899" s="157" t="s">
        <v>5691</v>
      </c>
      <c r="G1899" s="157" t="s">
        <v>5692</v>
      </c>
      <c r="H1899" s="157"/>
      <c r="I1899" s="158">
        <v>-6.326141</v>
      </c>
      <c r="J1899" s="158">
        <v>53.412877</v>
      </c>
      <c r="K1899" s="157" t="s">
        <v>5690</v>
      </c>
      <c r="L1899" s="157" t="s">
        <v>648</v>
      </c>
      <c r="M1899" s="158">
        <v>2022.0</v>
      </c>
      <c r="N1899" s="157" t="s">
        <v>649</v>
      </c>
      <c r="O1899" s="157" t="s">
        <v>650</v>
      </c>
      <c r="P1899" s="161" t="b">
        <v>0</v>
      </c>
      <c r="Q1899" s="158">
        <v>0.735149</v>
      </c>
      <c r="R1899" s="158">
        <v>0.0</v>
      </c>
      <c r="S1899" s="158">
        <v>0.735149</v>
      </c>
      <c r="T1899" s="157" t="s">
        <v>594</v>
      </c>
      <c r="U1899" s="46" t="s">
        <v>651</v>
      </c>
      <c r="V1899" s="46" t="b">
        <v>1</v>
      </c>
      <c r="W1899" s="46">
        <v>0.95</v>
      </c>
      <c r="X1899" s="46">
        <v>0.0</v>
      </c>
      <c r="Y1899" s="46" t="s">
        <v>640</v>
      </c>
      <c r="Z1899" s="46" t="b">
        <v>0</v>
      </c>
      <c r="AA1899" s="46" t="b">
        <v>0</v>
      </c>
    </row>
    <row r="1900">
      <c r="A1900" s="157" t="s">
        <v>583</v>
      </c>
      <c r="B1900" s="158">
        <v>1.0</v>
      </c>
      <c r="C1900" s="157" t="s">
        <v>642</v>
      </c>
      <c r="D1900" s="157" t="s">
        <v>643</v>
      </c>
      <c r="E1900" s="157" t="s">
        <v>644</v>
      </c>
      <c r="F1900" s="157" t="s">
        <v>5693</v>
      </c>
      <c r="G1900" s="157" t="s">
        <v>5694</v>
      </c>
      <c r="H1900" s="157"/>
      <c r="I1900" s="158">
        <v>-8.233573</v>
      </c>
      <c r="J1900" s="158">
        <v>51.835582</v>
      </c>
      <c r="K1900" s="157" t="s">
        <v>4543</v>
      </c>
      <c r="L1900" s="157" t="s">
        <v>648</v>
      </c>
      <c r="M1900" s="158">
        <v>2022.0</v>
      </c>
      <c r="N1900" s="157" t="s">
        <v>649</v>
      </c>
      <c r="O1900" s="157" t="s">
        <v>650</v>
      </c>
      <c r="P1900" s="161" t="b">
        <v>0</v>
      </c>
      <c r="Q1900" s="158">
        <v>0.705157</v>
      </c>
      <c r="R1900" s="158">
        <v>0.0</v>
      </c>
      <c r="S1900" s="158">
        <v>0.705157</v>
      </c>
      <c r="T1900" s="157" t="s">
        <v>594</v>
      </c>
      <c r="U1900" s="46" t="s">
        <v>651</v>
      </c>
      <c r="V1900" s="46" t="b">
        <v>1</v>
      </c>
      <c r="W1900" s="46">
        <v>0.95</v>
      </c>
      <c r="X1900" s="46">
        <v>0.0</v>
      </c>
      <c r="Y1900" s="46" t="s">
        <v>640</v>
      </c>
      <c r="Z1900" s="46" t="b">
        <v>0</v>
      </c>
      <c r="AA1900" s="46" t="b">
        <v>0</v>
      </c>
    </row>
    <row r="1901">
      <c r="A1901" s="157" t="s">
        <v>583</v>
      </c>
      <c r="B1901" s="158">
        <v>1.0</v>
      </c>
      <c r="C1901" s="157" t="s">
        <v>642</v>
      </c>
      <c r="D1901" s="157" t="s">
        <v>643</v>
      </c>
      <c r="E1901" s="157" t="s">
        <v>644</v>
      </c>
      <c r="F1901" s="157" t="s">
        <v>5695</v>
      </c>
      <c r="G1901" s="157" t="s">
        <v>5696</v>
      </c>
      <c r="H1901" s="157"/>
      <c r="I1901" s="158">
        <v>-6.20501</v>
      </c>
      <c r="J1901" s="158">
        <v>53.339946</v>
      </c>
      <c r="K1901" s="157" t="s">
        <v>5690</v>
      </c>
      <c r="L1901" s="157" t="s">
        <v>648</v>
      </c>
      <c r="M1901" s="158">
        <v>2022.0</v>
      </c>
      <c r="N1901" s="157" t="s">
        <v>649</v>
      </c>
      <c r="O1901" s="157" t="s">
        <v>650</v>
      </c>
      <c r="P1901" s="161" t="b">
        <v>0</v>
      </c>
      <c r="Q1901" s="158">
        <v>0.68054738</v>
      </c>
      <c r="R1901" s="158">
        <v>0.0</v>
      </c>
      <c r="S1901" s="158">
        <v>0.68054738</v>
      </c>
      <c r="T1901" s="157" t="s">
        <v>594</v>
      </c>
      <c r="U1901" s="46" t="s">
        <v>651</v>
      </c>
      <c r="V1901" s="46" t="b">
        <v>1</v>
      </c>
      <c r="W1901" s="46">
        <v>0.95</v>
      </c>
      <c r="X1901" s="46">
        <v>0.0</v>
      </c>
      <c r="Y1901" s="46" t="s">
        <v>640</v>
      </c>
      <c r="Z1901" s="46" t="b">
        <v>0</v>
      </c>
      <c r="AA1901" s="46" t="b">
        <v>0</v>
      </c>
    </row>
    <row r="1902">
      <c r="A1902" s="157" t="s">
        <v>583</v>
      </c>
      <c r="B1902" s="158">
        <v>1.0</v>
      </c>
      <c r="C1902" s="157" t="s">
        <v>642</v>
      </c>
      <c r="D1902" s="157" t="s">
        <v>643</v>
      </c>
      <c r="E1902" s="157" t="s">
        <v>644</v>
      </c>
      <c r="F1902" s="157" t="s">
        <v>5697</v>
      </c>
      <c r="G1902" s="157" t="s">
        <v>5698</v>
      </c>
      <c r="H1902" s="157"/>
      <c r="I1902" s="158">
        <v>-8.382838</v>
      </c>
      <c r="J1902" s="158">
        <v>53.166873</v>
      </c>
      <c r="K1902" s="157" t="s">
        <v>5699</v>
      </c>
      <c r="L1902" s="157" t="s">
        <v>648</v>
      </c>
      <c r="M1902" s="158">
        <v>2022.0</v>
      </c>
      <c r="N1902" s="157" t="s">
        <v>649</v>
      </c>
      <c r="O1902" s="157" t="s">
        <v>650</v>
      </c>
      <c r="P1902" s="161" t="b">
        <v>0</v>
      </c>
      <c r="Q1902" s="158">
        <v>0.655786</v>
      </c>
      <c r="R1902" s="158">
        <v>0.0</v>
      </c>
      <c r="S1902" s="158">
        <v>0.655786</v>
      </c>
      <c r="T1902" s="157" t="s">
        <v>594</v>
      </c>
      <c r="U1902" s="46" t="s">
        <v>651</v>
      </c>
      <c r="V1902" s="46" t="b">
        <v>1</v>
      </c>
      <c r="W1902" s="46">
        <v>0.95</v>
      </c>
      <c r="X1902" s="46">
        <v>0.0</v>
      </c>
      <c r="Y1902" s="46" t="s">
        <v>640</v>
      </c>
      <c r="Z1902" s="46" t="b">
        <v>0</v>
      </c>
      <c r="AA1902" s="46" t="b">
        <v>0</v>
      </c>
    </row>
    <row r="1903">
      <c r="A1903" s="157" t="s">
        <v>583</v>
      </c>
      <c r="B1903" s="158">
        <v>1.0</v>
      </c>
      <c r="C1903" s="157" t="s">
        <v>642</v>
      </c>
      <c r="D1903" s="157" t="s">
        <v>643</v>
      </c>
      <c r="E1903" s="157" t="s">
        <v>644</v>
      </c>
      <c r="F1903" s="157" t="s">
        <v>5700</v>
      </c>
      <c r="G1903" s="157" t="s">
        <v>5701</v>
      </c>
      <c r="H1903" s="157"/>
      <c r="I1903" s="158">
        <v>-6.187482</v>
      </c>
      <c r="J1903" s="158">
        <v>53.339393</v>
      </c>
      <c r="K1903" s="157" t="s">
        <v>5690</v>
      </c>
      <c r="L1903" s="157" t="s">
        <v>648</v>
      </c>
      <c r="M1903" s="158">
        <v>2022.0</v>
      </c>
      <c r="N1903" s="157" t="s">
        <v>649</v>
      </c>
      <c r="O1903" s="157" t="s">
        <v>650</v>
      </c>
      <c r="P1903" s="161" t="b">
        <v>0</v>
      </c>
      <c r="Q1903" s="158">
        <v>0.64932</v>
      </c>
      <c r="R1903" s="158">
        <v>0.0</v>
      </c>
      <c r="S1903" s="158">
        <v>0.64932</v>
      </c>
      <c r="T1903" s="157" t="s">
        <v>594</v>
      </c>
      <c r="U1903" s="46" t="s">
        <v>651</v>
      </c>
      <c r="V1903" s="46" t="b">
        <v>1</v>
      </c>
      <c r="W1903" s="46">
        <v>0.95</v>
      </c>
      <c r="X1903" s="46">
        <v>0.0</v>
      </c>
      <c r="Y1903" s="46" t="s">
        <v>640</v>
      </c>
      <c r="Z1903" s="46" t="b">
        <v>0</v>
      </c>
      <c r="AA1903" s="46" t="b">
        <v>0</v>
      </c>
    </row>
    <row r="1904">
      <c r="A1904" s="157" t="s">
        <v>583</v>
      </c>
      <c r="B1904" s="158">
        <v>1.0</v>
      </c>
      <c r="C1904" s="157" t="s">
        <v>642</v>
      </c>
      <c r="D1904" s="157" t="s">
        <v>643</v>
      </c>
      <c r="E1904" s="157" t="s">
        <v>644</v>
      </c>
      <c r="F1904" s="157" t="s">
        <v>5702</v>
      </c>
      <c r="G1904" s="157" t="s">
        <v>5703</v>
      </c>
      <c r="H1904" s="157"/>
      <c r="I1904" s="158">
        <v>-6.991127</v>
      </c>
      <c r="J1904" s="158">
        <v>52.279006</v>
      </c>
      <c r="K1904" s="157" t="s">
        <v>5704</v>
      </c>
      <c r="L1904" s="157" t="s">
        <v>648</v>
      </c>
      <c r="M1904" s="158">
        <v>2022.0</v>
      </c>
      <c r="N1904" s="157" t="s">
        <v>649</v>
      </c>
      <c r="O1904" s="157" t="s">
        <v>650</v>
      </c>
      <c r="P1904" s="161" t="b">
        <v>0</v>
      </c>
      <c r="Q1904" s="158">
        <v>0.41298298</v>
      </c>
      <c r="R1904" s="158">
        <v>0.0</v>
      </c>
      <c r="S1904" s="158">
        <v>0.41298298</v>
      </c>
      <c r="T1904" s="157" t="s">
        <v>594</v>
      </c>
      <c r="U1904" s="46" t="s">
        <v>651</v>
      </c>
      <c r="V1904" s="46" t="b">
        <v>1</v>
      </c>
      <c r="W1904" s="46">
        <v>0.95</v>
      </c>
      <c r="X1904" s="46">
        <v>0.0</v>
      </c>
      <c r="Y1904" s="46" t="s">
        <v>640</v>
      </c>
      <c r="Z1904" s="46" t="b">
        <v>0</v>
      </c>
      <c r="AA1904" s="46" t="b">
        <v>0</v>
      </c>
    </row>
    <row r="1905">
      <c r="A1905" s="157" t="s">
        <v>583</v>
      </c>
      <c r="B1905" s="158">
        <v>1.0</v>
      </c>
      <c r="C1905" s="157" t="s">
        <v>642</v>
      </c>
      <c r="D1905" s="157" t="s">
        <v>643</v>
      </c>
      <c r="E1905" s="157" t="s">
        <v>644</v>
      </c>
      <c r="F1905" s="157" t="s">
        <v>5705</v>
      </c>
      <c r="G1905" s="157" t="s">
        <v>5706</v>
      </c>
      <c r="H1905" s="157"/>
      <c r="I1905" s="158">
        <v>-7.085629</v>
      </c>
      <c r="J1905" s="158">
        <v>53.29005</v>
      </c>
      <c r="K1905" s="157" t="s">
        <v>5707</v>
      </c>
      <c r="L1905" s="157" t="s">
        <v>648</v>
      </c>
      <c r="M1905" s="158">
        <v>2022.0</v>
      </c>
      <c r="N1905" s="157" t="s">
        <v>649</v>
      </c>
      <c r="O1905" s="157" t="s">
        <v>650</v>
      </c>
      <c r="P1905" s="161" t="b">
        <v>0</v>
      </c>
      <c r="Q1905" s="158">
        <v>0.302659</v>
      </c>
      <c r="R1905" s="158">
        <v>0.0</v>
      </c>
      <c r="S1905" s="158">
        <v>0.302659</v>
      </c>
      <c r="T1905" s="157" t="s">
        <v>594</v>
      </c>
      <c r="U1905" s="46" t="s">
        <v>651</v>
      </c>
      <c r="V1905" s="46" t="b">
        <v>1</v>
      </c>
      <c r="W1905" s="46">
        <v>0.95</v>
      </c>
      <c r="X1905" s="46">
        <v>0.0</v>
      </c>
      <c r="Y1905" s="46" t="s">
        <v>640</v>
      </c>
      <c r="Z1905" s="46" t="b">
        <v>0</v>
      </c>
      <c r="AA1905" s="46" t="b">
        <v>0</v>
      </c>
    </row>
    <row r="1906">
      <c r="A1906" s="157" t="s">
        <v>583</v>
      </c>
      <c r="B1906" s="158">
        <v>1.0</v>
      </c>
      <c r="C1906" s="157" t="s">
        <v>642</v>
      </c>
      <c r="D1906" s="157" t="s">
        <v>643</v>
      </c>
      <c r="E1906" s="157" t="s">
        <v>644</v>
      </c>
      <c r="F1906" s="157" t="s">
        <v>5708</v>
      </c>
      <c r="G1906" s="157" t="s">
        <v>5709</v>
      </c>
      <c r="H1906" s="157"/>
      <c r="I1906" s="158">
        <v>-9.364819</v>
      </c>
      <c r="J1906" s="158">
        <v>52.588766</v>
      </c>
      <c r="K1906" s="157" t="s">
        <v>5710</v>
      </c>
      <c r="L1906" s="157" t="s">
        <v>648</v>
      </c>
      <c r="M1906" s="158">
        <v>2022.0</v>
      </c>
      <c r="N1906" s="157" t="s">
        <v>649</v>
      </c>
      <c r="O1906" s="157" t="s">
        <v>650</v>
      </c>
      <c r="P1906" s="161" t="b">
        <v>0</v>
      </c>
      <c r="Q1906" s="158">
        <v>0.297905373</v>
      </c>
      <c r="R1906" s="158">
        <v>0.0</v>
      </c>
      <c r="S1906" s="158">
        <v>0.297905373</v>
      </c>
      <c r="T1906" s="157" t="s">
        <v>594</v>
      </c>
      <c r="U1906" s="46" t="s">
        <v>651</v>
      </c>
      <c r="V1906" s="46" t="b">
        <v>1</v>
      </c>
      <c r="W1906" s="46">
        <v>0.95</v>
      </c>
      <c r="X1906" s="46">
        <v>0.0</v>
      </c>
      <c r="Y1906" s="46" t="s">
        <v>640</v>
      </c>
      <c r="Z1906" s="46" t="b">
        <v>0</v>
      </c>
      <c r="AA1906" s="46" t="b">
        <v>0</v>
      </c>
    </row>
    <row r="1907">
      <c r="A1907" s="157" t="s">
        <v>570</v>
      </c>
      <c r="B1907" s="158">
        <v>1.0</v>
      </c>
      <c r="C1907" s="157" t="s">
        <v>642</v>
      </c>
      <c r="D1907" s="157" t="s">
        <v>643</v>
      </c>
      <c r="E1907" s="157" t="s">
        <v>644</v>
      </c>
      <c r="F1907" s="157" t="s">
        <v>5711</v>
      </c>
      <c r="G1907" s="157" t="s">
        <v>5712</v>
      </c>
      <c r="H1907" s="157"/>
      <c r="I1907" s="158">
        <v>6.86172</v>
      </c>
      <c r="J1907" s="158">
        <v>53.44212</v>
      </c>
      <c r="K1907" s="157" t="s">
        <v>5713</v>
      </c>
      <c r="L1907" s="157" t="s">
        <v>648</v>
      </c>
      <c r="M1907" s="158">
        <v>2022.0</v>
      </c>
      <c r="N1907" s="157" t="s">
        <v>649</v>
      </c>
      <c r="O1907" s="157" t="s">
        <v>650</v>
      </c>
      <c r="P1907" s="161" t="b">
        <v>0</v>
      </c>
      <c r="Q1907" s="158">
        <v>6.0</v>
      </c>
      <c r="R1907" s="158">
        <v>0.0</v>
      </c>
      <c r="S1907" s="158">
        <v>6.0</v>
      </c>
      <c r="T1907" s="157" t="s">
        <v>594</v>
      </c>
      <c r="U1907" s="46" t="s">
        <v>651</v>
      </c>
      <c r="V1907" s="46" t="b">
        <v>1</v>
      </c>
      <c r="W1907" s="46">
        <v>0.95</v>
      </c>
      <c r="X1907" s="46">
        <v>0.0</v>
      </c>
      <c r="Y1907" s="46">
        <v>16.7796827606047</v>
      </c>
      <c r="Z1907" s="46" t="b">
        <v>1</v>
      </c>
      <c r="AA1907" s="46" t="b">
        <v>1</v>
      </c>
    </row>
    <row r="1908">
      <c r="A1908" s="157" t="s">
        <v>570</v>
      </c>
      <c r="B1908" s="158">
        <v>1.0</v>
      </c>
      <c r="C1908" s="157" t="s">
        <v>642</v>
      </c>
      <c r="D1908" s="157" t="s">
        <v>643</v>
      </c>
      <c r="E1908" s="157" t="s">
        <v>644</v>
      </c>
      <c r="F1908" s="157" t="s">
        <v>5714</v>
      </c>
      <c r="G1908" s="157" t="s">
        <v>5715</v>
      </c>
      <c r="H1908" s="157"/>
      <c r="I1908" s="158">
        <v>4.02657</v>
      </c>
      <c r="J1908" s="158">
        <v>51.95906</v>
      </c>
      <c r="K1908" s="157" t="s">
        <v>5716</v>
      </c>
      <c r="L1908" s="157" t="s">
        <v>648</v>
      </c>
      <c r="M1908" s="158">
        <v>2022.0</v>
      </c>
      <c r="N1908" s="157" t="s">
        <v>649</v>
      </c>
      <c r="O1908" s="157" t="s">
        <v>650</v>
      </c>
      <c r="P1908" s="161" t="b">
        <v>0</v>
      </c>
      <c r="Q1908" s="158">
        <v>4.27</v>
      </c>
      <c r="R1908" s="158">
        <v>0.0</v>
      </c>
      <c r="S1908" s="158">
        <v>4.27</v>
      </c>
      <c r="T1908" s="157" t="s">
        <v>594</v>
      </c>
      <c r="U1908" s="46" t="s">
        <v>651</v>
      </c>
      <c r="V1908" s="46" t="b">
        <v>1</v>
      </c>
      <c r="W1908" s="46">
        <v>0.95</v>
      </c>
      <c r="X1908" s="46">
        <v>0.0</v>
      </c>
      <c r="Y1908" s="46">
        <v>9.41533976228792</v>
      </c>
      <c r="Z1908" s="46" t="b">
        <v>1</v>
      </c>
      <c r="AA1908" s="46" t="b">
        <v>1</v>
      </c>
    </row>
    <row r="1909">
      <c r="A1909" s="157" t="s">
        <v>570</v>
      </c>
      <c r="B1909" s="158">
        <v>1.0</v>
      </c>
      <c r="C1909" s="157" t="s">
        <v>642</v>
      </c>
      <c r="D1909" s="157" t="s">
        <v>643</v>
      </c>
      <c r="E1909" s="157" t="s">
        <v>644</v>
      </c>
      <c r="F1909" s="157" t="s">
        <v>5717</v>
      </c>
      <c r="G1909" s="157" t="s">
        <v>5718</v>
      </c>
      <c r="H1909" s="157"/>
      <c r="I1909" s="158">
        <v>4.63213</v>
      </c>
      <c r="J1909" s="158">
        <v>52.47276</v>
      </c>
      <c r="K1909" s="157" t="s">
        <v>5063</v>
      </c>
      <c r="L1909" s="157" t="s">
        <v>648</v>
      </c>
      <c r="M1909" s="158">
        <v>2022.0</v>
      </c>
      <c r="N1909" s="157" t="s">
        <v>649</v>
      </c>
      <c r="O1909" s="157" t="s">
        <v>650</v>
      </c>
      <c r="P1909" s="161" t="b">
        <v>0</v>
      </c>
      <c r="Q1909" s="158">
        <v>3.91</v>
      </c>
      <c r="R1909" s="158">
        <v>0.0</v>
      </c>
      <c r="S1909" s="158">
        <v>3.91</v>
      </c>
      <c r="T1909" s="157" t="s">
        <v>594</v>
      </c>
      <c r="U1909" s="46" t="s">
        <v>651</v>
      </c>
      <c r="V1909" s="46" t="b">
        <v>1</v>
      </c>
      <c r="W1909" s="46">
        <v>0.95</v>
      </c>
      <c r="X1909" s="46">
        <v>0.0</v>
      </c>
      <c r="Y1909" s="46">
        <v>33.7920874211413</v>
      </c>
      <c r="Z1909" s="46" t="b">
        <v>1</v>
      </c>
      <c r="AA1909" s="46" t="b">
        <v>1</v>
      </c>
    </row>
    <row r="1910">
      <c r="A1910" s="157" t="s">
        <v>570</v>
      </c>
      <c r="B1910" s="158">
        <v>1.0</v>
      </c>
      <c r="C1910" s="157" t="s">
        <v>642</v>
      </c>
      <c r="D1910" s="157" t="s">
        <v>643</v>
      </c>
      <c r="E1910" s="157" t="s">
        <v>644</v>
      </c>
      <c r="F1910" s="157" t="s">
        <v>5719</v>
      </c>
      <c r="G1910" s="157" t="s">
        <v>5720</v>
      </c>
      <c r="H1910" s="157"/>
      <c r="I1910" s="158">
        <v>4.84388</v>
      </c>
      <c r="J1910" s="158">
        <v>51.70785</v>
      </c>
      <c r="K1910" s="157" t="s">
        <v>5721</v>
      </c>
      <c r="L1910" s="157" t="s">
        <v>648</v>
      </c>
      <c r="M1910" s="158">
        <v>2022.0</v>
      </c>
      <c r="N1910" s="157" t="s">
        <v>649</v>
      </c>
      <c r="O1910" s="157" t="s">
        <v>650</v>
      </c>
      <c r="P1910" s="161" t="b">
        <v>0</v>
      </c>
      <c r="Q1910" s="158">
        <v>3.46</v>
      </c>
      <c r="R1910" s="158">
        <v>0.0</v>
      </c>
      <c r="S1910" s="158">
        <v>3.46</v>
      </c>
      <c r="T1910" s="157" t="s">
        <v>594</v>
      </c>
      <c r="U1910" s="46" t="s">
        <v>651</v>
      </c>
      <c r="V1910" s="46" t="b">
        <v>1</v>
      </c>
      <c r="W1910" s="46">
        <v>0.95</v>
      </c>
      <c r="X1910" s="46">
        <v>0.0</v>
      </c>
      <c r="Y1910" s="46">
        <v>8.15312464782643</v>
      </c>
      <c r="Z1910" s="46" t="b">
        <v>1</v>
      </c>
      <c r="AA1910" s="46" t="b">
        <v>1</v>
      </c>
    </row>
    <row r="1911">
      <c r="A1911" s="157" t="s">
        <v>570</v>
      </c>
      <c r="B1911" s="158">
        <v>1.0</v>
      </c>
      <c r="C1911" s="157" t="s">
        <v>642</v>
      </c>
      <c r="D1911" s="157" t="s">
        <v>643</v>
      </c>
      <c r="E1911" s="157" t="s">
        <v>644</v>
      </c>
      <c r="F1911" s="157" t="s">
        <v>5722</v>
      </c>
      <c r="G1911" s="157" t="s">
        <v>5723</v>
      </c>
      <c r="H1911" s="157"/>
      <c r="I1911" s="158">
        <v>4.07205</v>
      </c>
      <c r="J1911" s="158">
        <v>51.94482</v>
      </c>
      <c r="K1911" s="157" t="s">
        <v>5716</v>
      </c>
      <c r="L1911" s="157" t="s">
        <v>648</v>
      </c>
      <c r="M1911" s="158">
        <v>2022.0</v>
      </c>
      <c r="N1911" s="157" t="s">
        <v>649</v>
      </c>
      <c r="O1911" s="157" t="s">
        <v>650</v>
      </c>
      <c r="P1911" s="161" t="b">
        <v>0</v>
      </c>
      <c r="Q1911" s="158">
        <v>2.49</v>
      </c>
      <c r="R1911" s="158">
        <v>0.0</v>
      </c>
      <c r="S1911" s="158">
        <v>2.49</v>
      </c>
      <c r="T1911" s="157" t="s">
        <v>594</v>
      </c>
      <c r="U1911" s="46" t="s">
        <v>651</v>
      </c>
      <c r="V1911" s="46" t="b">
        <v>1</v>
      </c>
      <c r="W1911" s="46">
        <v>0.95</v>
      </c>
      <c r="X1911" s="46">
        <v>0.0</v>
      </c>
      <c r="Y1911" s="46">
        <v>7.38011456906357</v>
      </c>
      <c r="Z1911" s="46" t="b">
        <v>1</v>
      </c>
      <c r="AA1911" s="46" t="b">
        <v>1</v>
      </c>
    </row>
    <row r="1912">
      <c r="A1912" s="157" t="s">
        <v>570</v>
      </c>
      <c r="B1912" s="158">
        <v>1.0</v>
      </c>
      <c r="C1912" s="157" t="s">
        <v>642</v>
      </c>
      <c r="D1912" s="157" t="s">
        <v>643</v>
      </c>
      <c r="E1912" s="157" t="s">
        <v>644</v>
      </c>
      <c r="F1912" s="157" t="s">
        <v>5724</v>
      </c>
      <c r="G1912" s="157" t="s">
        <v>5725</v>
      </c>
      <c r="H1912" s="157"/>
      <c r="I1912" s="158">
        <v>4.60557</v>
      </c>
      <c r="J1912" s="158">
        <v>52.47489</v>
      </c>
      <c r="K1912" s="157" t="s">
        <v>5063</v>
      </c>
      <c r="L1912" s="157" t="s">
        <v>648</v>
      </c>
      <c r="M1912" s="158">
        <v>2022.0</v>
      </c>
      <c r="N1912" s="157" t="s">
        <v>649</v>
      </c>
      <c r="O1912" s="157" t="s">
        <v>650</v>
      </c>
      <c r="P1912" s="161" t="b">
        <v>0</v>
      </c>
      <c r="Q1912" s="158">
        <v>1.54</v>
      </c>
      <c r="R1912" s="158">
        <v>0.0</v>
      </c>
      <c r="S1912" s="158">
        <v>1.54</v>
      </c>
      <c r="T1912" s="157" t="s">
        <v>594</v>
      </c>
      <c r="U1912" s="46" t="s">
        <v>651</v>
      </c>
      <c r="V1912" s="46" t="b">
        <v>1</v>
      </c>
      <c r="W1912" s="46">
        <v>0.95</v>
      </c>
      <c r="X1912" s="46">
        <v>0.0</v>
      </c>
      <c r="Y1912" s="46">
        <v>31.9884264883397</v>
      </c>
      <c r="Z1912" s="46" t="b">
        <v>1</v>
      </c>
      <c r="AA1912" s="46" t="b">
        <v>1</v>
      </c>
    </row>
    <row r="1913">
      <c r="A1913" s="157" t="s">
        <v>570</v>
      </c>
      <c r="B1913" s="158">
        <v>1.0</v>
      </c>
      <c r="C1913" s="157" t="s">
        <v>642</v>
      </c>
      <c r="D1913" s="157" t="s">
        <v>643</v>
      </c>
      <c r="E1913" s="157" t="s">
        <v>644</v>
      </c>
      <c r="F1913" s="157" t="s">
        <v>5726</v>
      </c>
      <c r="G1913" s="157" t="s">
        <v>5727</v>
      </c>
      <c r="H1913" s="157"/>
      <c r="I1913" s="158">
        <v>6.8809</v>
      </c>
      <c r="J1913" s="158">
        <v>53.43663</v>
      </c>
      <c r="K1913" s="157" t="s">
        <v>5713</v>
      </c>
      <c r="L1913" s="157" t="s">
        <v>648</v>
      </c>
      <c r="M1913" s="158">
        <v>2022.0</v>
      </c>
      <c r="N1913" s="157" t="s">
        <v>649</v>
      </c>
      <c r="O1913" s="157" t="s">
        <v>650</v>
      </c>
      <c r="P1913" s="161" t="b">
        <v>0</v>
      </c>
      <c r="Q1913" s="158">
        <v>1.22</v>
      </c>
      <c r="R1913" s="158">
        <v>0.0</v>
      </c>
      <c r="S1913" s="158">
        <v>1.22</v>
      </c>
      <c r="T1913" s="157" t="s">
        <v>594</v>
      </c>
      <c r="U1913" s="46" t="s">
        <v>651</v>
      </c>
      <c r="V1913" s="46" t="b">
        <v>1</v>
      </c>
      <c r="W1913" s="46">
        <v>0.95</v>
      </c>
      <c r="X1913" s="46">
        <v>0.0</v>
      </c>
      <c r="Y1913" s="46">
        <v>15.6915412428799</v>
      </c>
      <c r="Z1913" s="46" t="b">
        <v>1</v>
      </c>
      <c r="AA1913" s="46" t="b">
        <v>1</v>
      </c>
    </row>
    <row r="1914">
      <c r="A1914" s="157" t="s">
        <v>570</v>
      </c>
      <c r="B1914" s="158">
        <v>1.0</v>
      </c>
      <c r="C1914" s="157" t="s">
        <v>642</v>
      </c>
      <c r="D1914" s="157" t="s">
        <v>643</v>
      </c>
      <c r="E1914" s="157" t="s">
        <v>644</v>
      </c>
      <c r="F1914" s="157" t="s">
        <v>5728</v>
      </c>
      <c r="G1914" s="157" t="s">
        <v>5729</v>
      </c>
      <c r="H1914" s="157"/>
      <c r="I1914" s="158">
        <v>5.53022</v>
      </c>
      <c r="J1914" s="158">
        <v>52.57722</v>
      </c>
      <c r="K1914" s="157" t="s">
        <v>5730</v>
      </c>
      <c r="L1914" s="157" t="s">
        <v>648</v>
      </c>
      <c r="M1914" s="158">
        <v>2022.0</v>
      </c>
      <c r="N1914" s="157" t="s">
        <v>649</v>
      </c>
      <c r="O1914" s="157" t="s">
        <v>650</v>
      </c>
      <c r="P1914" s="161" t="b">
        <v>0</v>
      </c>
      <c r="Q1914" s="158">
        <v>1.22</v>
      </c>
      <c r="R1914" s="158">
        <v>0.0</v>
      </c>
      <c r="S1914" s="158">
        <v>1.22</v>
      </c>
      <c r="T1914" s="157" t="s">
        <v>594</v>
      </c>
      <c r="U1914" s="46" t="s">
        <v>651</v>
      </c>
      <c r="V1914" s="46" t="b">
        <v>1</v>
      </c>
      <c r="W1914" s="46">
        <v>0.95</v>
      </c>
      <c r="X1914" s="46">
        <v>0.0</v>
      </c>
      <c r="Y1914" s="46">
        <v>94.6939224191035</v>
      </c>
      <c r="Z1914" s="46" t="b">
        <v>0</v>
      </c>
      <c r="AA1914" s="46" t="b">
        <v>1</v>
      </c>
    </row>
    <row r="1915">
      <c r="A1915" s="157" t="s">
        <v>570</v>
      </c>
      <c r="B1915" s="158">
        <v>1.0</v>
      </c>
      <c r="C1915" s="157" t="s">
        <v>642</v>
      </c>
      <c r="D1915" s="157" t="s">
        <v>643</v>
      </c>
      <c r="E1915" s="157" t="s">
        <v>644</v>
      </c>
      <c r="F1915" s="157" t="s">
        <v>5731</v>
      </c>
      <c r="G1915" s="157" t="s">
        <v>5732</v>
      </c>
      <c r="H1915" s="157"/>
      <c r="I1915" s="158">
        <v>6.85915</v>
      </c>
      <c r="J1915" s="158">
        <v>53.44777</v>
      </c>
      <c r="K1915" s="157" t="s">
        <v>5713</v>
      </c>
      <c r="L1915" s="157" t="s">
        <v>648</v>
      </c>
      <c r="M1915" s="158">
        <v>2022.0</v>
      </c>
      <c r="N1915" s="157" t="s">
        <v>649</v>
      </c>
      <c r="O1915" s="157" t="s">
        <v>650</v>
      </c>
      <c r="P1915" s="161" t="b">
        <v>0</v>
      </c>
      <c r="Q1915" s="158">
        <v>1.2</v>
      </c>
      <c r="R1915" s="158">
        <v>0.0</v>
      </c>
      <c r="S1915" s="158">
        <v>1.2</v>
      </c>
      <c r="T1915" s="157" t="s">
        <v>594</v>
      </c>
      <c r="U1915" s="46" t="s">
        <v>651</v>
      </c>
      <c r="V1915" s="46" t="b">
        <v>1</v>
      </c>
      <c r="W1915" s="46">
        <v>0.95</v>
      </c>
      <c r="X1915" s="46">
        <v>0.0</v>
      </c>
      <c r="Y1915" s="46">
        <v>16.7927170402404</v>
      </c>
      <c r="Z1915" s="46" t="b">
        <v>1</v>
      </c>
      <c r="AA1915" s="46" t="b">
        <v>1</v>
      </c>
    </row>
    <row r="1916">
      <c r="A1916" s="157" t="s">
        <v>570</v>
      </c>
      <c r="B1916" s="158">
        <v>1.0</v>
      </c>
      <c r="C1916" s="157" t="s">
        <v>642</v>
      </c>
      <c r="D1916" s="157" t="s">
        <v>643</v>
      </c>
      <c r="E1916" s="157" t="s">
        <v>644</v>
      </c>
      <c r="F1916" s="157" t="s">
        <v>5733</v>
      </c>
      <c r="G1916" s="157" t="s">
        <v>5734</v>
      </c>
      <c r="H1916" s="157"/>
      <c r="I1916" s="158">
        <v>4.36753</v>
      </c>
      <c r="J1916" s="158">
        <v>51.88581</v>
      </c>
      <c r="K1916" s="157" t="s">
        <v>5735</v>
      </c>
      <c r="L1916" s="157" t="s">
        <v>648</v>
      </c>
      <c r="M1916" s="158">
        <v>2022.0</v>
      </c>
      <c r="N1916" s="157" t="s">
        <v>649</v>
      </c>
      <c r="O1916" s="157" t="s">
        <v>650</v>
      </c>
      <c r="P1916" s="161" t="b">
        <v>0</v>
      </c>
      <c r="Q1916" s="158">
        <v>1.15</v>
      </c>
      <c r="R1916" s="158">
        <v>0.0</v>
      </c>
      <c r="S1916" s="158">
        <v>1.15</v>
      </c>
      <c r="T1916" s="157" t="s">
        <v>594</v>
      </c>
      <c r="U1916" s="46" t="s">
        <v>651</v>
      </c>
      <c r="V1916" s="46" t="b">
        <v>1</v>
      </c>
      <c r="W1916" s="46">
        <v>0.95</v>
      </c>
      <c r="X1916" s="46">
        <v>0.0</v>
      </c>
      <c r="Y1916" s="46">
        <v>7.62096316363414</v>
      </c>
      <c r="Z1916" s="46" t="b">
        <v>1</v>
      </c>
      <c r="AA1916" s="46" t="b">
        <v>1</v>
      </c>
    </row>
    <row r="1917">
      <c r="A1917" s="157" t="s">
        <v>570</v>
      </c>
      <c r="B1917" s="158">
        <v>1.0</v>
      </c>
      <c r="C1917" s="157" t="s">
        <v>642</v>
      </c>
      <c r="D1917" s="157" t="s">
        <v>643</v>
      </c>
      <c r="E1917" s="157" t="s">
        <v>644</v>
      </c>
      <c r="F1917" s="157" t="s">
        <v>5736</v>
      </c>
      <c r="G1917" s="157" t="s">
        <v>5737</v>
      </c>
      <c r="H1917" s="157"/>
      <c r="I1917" s="158">
        <v>4.09409</v>
      </c>
      <c r="J1917" s="158">
        <v>51.95838</v>
      </c>
      <c r="K1917" s="157" t="s">
        <v>4551</v>
      </c>
      <c r="L1917" s="157" t="s">
        <v>648</v>
      </c>
      <c r="M1917" s="158">
        <v>2022.0</v>
      </c>
      <c r="N1917" s="157" t="s">
        <v>649</v>
      </c>
      <c r="O1917" s="157" t="s">
        <v>650</v>
      </c>
      <c r="P1917" s="161" t="b">
        <v>0</v>
      </c>
      <c r="Q1917" s="158">
        <v>1.13</v>
      </c>
      <c r="R1917" s="158">
        <v>0.0</v>
      </c>
      <c r="S1917" s="158">
        <v>1.13</v>
      </c>
      <c r="T1917" s="157" t="s">
        <v>594</v>
      </c>
      <c r="U1917" s="46" t="s">
        <v>651</v>
      </c>
      <c r="V1917" s="46" t="b">
        <v>1</v>
      </c>
      <c r="W1917" s="46">
        <v>0.95</v>
      </c>
      <c r="X1917" s="46">
        <v>0.0</v>
      </c>
      <c r="Y1917" s="46">
        <v>5.33898979617953</v>
      </c>
      <c r="Z1917" s="46" t="b">
        <v>1</v>
      </c>
      <c r="AA1917" s="46" t="b">
        <v>1</v>
      </c>
    </row>
    <row r="1918">
      <c r="A1918" s="157" t="s">
        <v>570</v>
      </c>
      <c r="B1918" s="158">
        <v>1.0</v>
      </c>
      <c r="C1918" s="157" t="s">
        <v>642</v>
      </c>
      <c r="D1918" s="157" t="s">
        <v>643</v>
      </c>
      <c r="E1918" s="157" t="s">
        <v>644</v>
      </c>
      <c r="F1918" s="157" t="s">
        <v>5738</v>
      </c>
      <c r="G1918" s="157" t="s">
        <v>5739</v>
      </c>
      <c r="H1918" s="157"/>
      <c r="I1918" s="158">
        <v>3.69338</v>
      </c>
      <c r="J1918" s="158">
        <v>51.44882</v>
      </c>
      <c r="K1918" s="157" t="s">
        <v>5740</v>
      </c>
      <c r="L1918" s="157" t="s">
        <v>648</v>
      </c>
      <c r="M1918" s="158">
        <v>2022.0</v>
      </c>
      <c r="N1918" s="157" t="s">
        <v>649</v>
      </c>
      <c r="O1918" s="157" t="s">
        <v>650</v>
      </c>
      <c r="P1918" s="161" t="b">
        <v>0</v>
      </c>
      <c r="Q1918" s="158">
        <v>1.11</v>
      </c>
      <c r="R1918" s="158">
        <v>0.0</v>
      </c>
      <c r="S1918" s="158">
        <v>1.11</v>
      </c>
      <c r="T1918" s="157" t="s">
        <v>594</v>
      </c>
      <c r="U1918" s="46" t="s">
        <v>651</v>
      </c>
      <c r="V1918" s="46" t="b">
        <v>1</v>
      </c>
      <c r="W1918" s="46">
        <v>0.95</v>
      </c>
      <c r="X1918" s="46">
        <v>0.0</v>
      </c>
      <c r="Y1918" s="46">
        <v>31.8572106647978</v>
      </c>
      <c r="Z1918" s="46" t="b">
        <v>1</v>
      </c>
      <c r="AA1918" s="46" t="b">
        <v>1</v>
      </c>
    </row>
    <row r="1919">
      <c r="A1919" s="157" t="s">
        <v>570</v>
      </c>
      <c r="B1919" s="158">
        <v>1.0</v>
      </c>
      <c r="C1919" s="157" t="s">
        <v>642</v>
      </c>
      <c r="D1919" s="157" t="s">
        <v>643</v>
      </c>
      <c r="E1919" s="157" t="s">
        <v>644</v>
      </c>
      <c r="F1919" s="157" t="s">
        <v>5741</v>
      </c>
      <c r="G1919" s="157" t="s">
        <v>5742</v>
      </c>
      <c r="H1919" s="157"/>
      <c r="I1919" s="158">
        <v>5.02118</v>
      </c>
      <c r="J1919" s="158">
        <v>52.33886</v>
      </c>
      <c r="K1919" s="157" t="s">
        <v>5743</v>
      </c>
      <c r="L1919" s="157" t="s">
        <v>648</v>
      </c>
      <c r="M1919" s="158">
        <v>2022.0</v>
      </c>
      <c r="N1919" s="157" t="s">
        <v>649</v>
      </c>
      <c r="O1919" s="157" t="s">
        <v>650</v>
      </c>
      <c r="P1919" s="161" t="b">
        <v>0</v>
      </c>
      <c r="Q1919" s="158">
        <v>1.05</v>
      </c>
      <c r="R1919" s="158">
        <v>0.0</v>
      </c>
      <c r="S1919" s="158">
        <v>1.05</v>
      </c>
      <c r="T1919" s="157" t="s">
        <v>594</v>
      </c>
      <c r="U1919" s="46" t="s">
        <v>651</v>
      </c>
      <c r="V1919" s="46" t="b">
        <v>1</v>
      </c>
      <c r="W1919" s="46">
        <v>0.95</v>
      </c>
      <c r="X1919" s="46">
        <v>0.0</v>
      </c>
      <c r="Y1919" s="46">
        <v>60.2653541616062</v>
      </c>
      <c r="Z1919" s="46" t="b">
        <v>0</v>
      </c>
      <c r="AA1919" s="46" t="b">
        <v>1</v>
      </c>
    </row>
    <row r="1920">
      <c r="A1920" s="157" t="s">
        <v>570</v>
      </c>
      <c r="B1920" s="158">
        <v>1.0</v>
      </c>
      <c r="C1920" s="157" t="s">
        <v>642</v>
      </c>
      <c r="D1920" s="157" t="s">
        <v>643</v>
      </c>
      <c r="E1920" s="157" t="s">
        <v>644</v>
      </c>
      <c r="F1920" s="157" t="s">
        <v>5744</v>
      </c>
      <c r="G1920" s="157" t="s">
        <v>5745</v>
      </c>
      <c r="H1920" s="157"/>
      <c r="I1920" s="158">
        <v>5.90717</v>
      </c>
      <c r="J1920" s="158">
        <v>51.15446</v>
      </c>
      <c r="K1920" s="157" t="s">
        <v>5746</v>
      </c>
      <c r="L1920" s="157" t="s">
        <v>648</v>
      </c>
      <c r="M1920" s="158">
        <v>2022.0</v>
      </c>
      <c r="N1920" s="157" t="s">
        <v>649</v>
      </c>
      <c r="O1920" s="157" t="s">
        <v>650</v>
      </c>
      <c r="P1920" s="161" t="b">
        <v>0</v>
      </c>
      <c r="Q1920" s="158">
        <v>0.993</v>
      </c>
      <c r="R1920" s="158">
        <v>0.0</v>
      </c>
      <c r="S1920" s="158">
        <v>0.993</v>
      </c>
      <c r="T1920" s="157" t="s">
        <v>594</v>
      </c>
      <c r="U1920" s="46" t="s">
        <v>651</v>
      </c>
      <c r="V1920" s="46" t="b">
        <v>1</v>
      </c>
      <c r="W1920" s="46">
        <v>0.95</v>
      </c>
      <c r="X1920" s="46">
        <v>0.0</v>
      </c>
      <c r="Y1920" s="46">
        <v>12.0657170333944</v>
      </c>
      <c r="Z1920" s="46" t="b">
        <v>1</v>
      </c>
      <c r="AA1920" s="46" t="b">
        <v>1</v>
      </c>
    </row>
    <row r="1921">
      <c r="A1921" s="157" t="s">
        <v>570</v>
      </c>
      <c r="B1921" s="158">
        <v>1.0</v>
      </c>
      <c r="C1921" s="157" t="s">
        <v>642</v>
      </c>
      <c r="D1921" s="157" t="s">
        <v>643</v>
      </c>
      <c r="E1921" s="157" t="s">
        <v>644</v>
      </c>
      <c r="F1921" s="157" t="s">
        <v>5747</v>
      </c>
      <c r="G1921" s="157" t="s">
        <v>5748</v>
      </c>
      <c r="H1921" s="157"/>
      <c r="I1921" s="158">
        <v>6.78419</v>
      </c>
      <c r="J1921" s="158">
        <v>52.23427</v>
      </c>
      <c r="K1921" s="157" t="s">
        <v>5749</v>
      </c>
      <c r="L1921" s="157" t="s">
        <v>648</v>
      </c>
      <c r="M1921" s="158">
        <v>2022.0</v>
      </c>
      <c r="N1921" s="157" t="s">
        <v>649</v>
      </c>
      <c r="O1921" s="157" t="s">
        <v>650</v>
      </c>
      <c r="P1921" s="161" t="b">
        <v>0</v>
      </c>
      <c r="Q1921" s="158">
        <v>0.815</v>
      </c>
      <c r="R1921" s="158">
        <v>0.0</v>
      </c>
      <c r="S1921" s="158">
        <v>0.815</v>
      </c>
      <c r="T1921" s="157" t="s">
        <v>594</v>
      </c>
      <c r="U1921" s="46" t="s">
        <v>651</v>
      </c>
      <c r="V1921" s="46" t="b">
        <v>1</v>
      </c>
      <c r="W1921" s="46">
        <v>0.95</v>
      </c>
      <c r="X1921" s="46">
        <v>0.0</v>
      </c>
      <c r="Y1921" s="46">
        <v>44.1529865373835</v>
      </c>
      <c r="Z1921" s="46" t="b">
        <v>1</v>
      </c>
      <c r="AA1921" s="46" t="b">
        <v>1</v>
      </c>
    </row>
    <row r="1922">
      <c r="A1922" s="157" t="s">
        <v>570</v>
      </c>
      <c r="B1922" s="158">
        <v>1.0</v>
      </c>
      <c r="C1922" s="157" t="s">
        <v>642</v>
      </c>
      <c r="D1922" s="157" t="s">
        <v>643</v>
      </c>
      <c r="E1922" s="157" t="s">
        <v>644</v>
      </c>
      <c r="F1922" s="157" t="s">
        <v>5750</v>
      </c>
      <c r="G1922" s="157" t="s">
        <v>5751</v>
      </c>
      <c r="H1922" s="157"/>
      <c r="I1922" s="158">
        <v>6.98765</v>
      </c>
      <c r="J1922" s="158">
        <v>53.30972</v>
      </c>
      <c r="K1922" s="157" t="s">
        <v>4690</v>
      </c>
      <c r="L1922" s="157" t="s">
        <v>648</v>
      </c>
      <c r="M1922" s="158">
        <v>2022.0</v>
      </c>
      <c r="N1922" s="157" t="s">
        <v>649</v>
      </c>
      <c r="O1922" s="157" t="s">
        <v>650</v>
      </c>
      <c r="P1922" s="161" t="b">
        <v>0</v>
      </c>
      <c r="Q1922" s="158">
        <v>0.694</v>
      </c>
      <c r="R1922" s="158">
        <v>0.0</v>
      </c>
      <c r="S1922" s="158">
        <v>0.694</v>
      </c>
      <c r="T1922" s="157" t="s">
        <v>594</v>
      </c>
      <c r="U1922" s="46" t="s">
        <v>651</v>
      </c>
      <c r="V1922" s="46" t="b">
        <v>1</v>
      </c>
      <c r="W1922" s="46">
        <v>0.95</v>
      </c>
      <c r="X1922" s="46">
        <v>0.0</v>
      </c>
      <c r="Y1922" s="46">
        <v>13.1556569989788</v>
      </c>
      <c r="Z1922" s="46" t="b">
        <v>1</v>
      </c>
      <c r="AA1922" s="46" t="b">
        <v>1</v>
      </c>
    </row>
    <row r="1923">
      <c r="A1923" s="157" t="s">
        <v>570</v>
      </c>
      <c r="B1923" s="158">
        <v>1.0</v>
      </c>
      <c r="C1923" s="157" t="s">
        <v>642</v>
      </c>
      <c r="D1923" s="157" t="s">
        <v>643</v>
      </c>
      <c r="E1923" s="157" t="s">
        <v>644</v>
      </c>
      <c r="F1923" s="157" t="s">
        <v>5752</v>
      </c>
      <c r="G1923" s="157" t="s">
        <v>5753</v>
      </c>
      <c r="H1923" s="157"/>
      <c r="I1923" s="158">
        <v>4.8471</v>
      </c>
      <c r="J1923" s="158">
        <v>52.40531</v>
      </c>
      <c r="K1923" s="157" t="s">
        <v>5754</v>
      </c>
      <c r="L1923" s="157" t="s">
        <v>648</v>
      </c>
      <c r="M1923" s="158">
        <v>2022.0</v>
      </c>
      <c r="N1923" s="157" t="s">
        <v>649</v>
      </c>
      <c r="O1923" s="157" t="s">
        <v>650</v>
      </c>
      <c r="P1923" s="161" t="b">
        <v>0</v>
      </c>
      <c r="Q1923" s="158">
        <v>0.629</v>
      </c>
      <c r="R1923" s="158">
        <v>0.0</v>
      </c>
      <c r="S1923" s="158">
        <v>0.629</v>
      </c>
      <c r="T1923" s="157" t="s">
        <v>594</v>
      </c>
      <c r="U1923" s="46" t="s">
        <v>651</v>
      </c>
      <c r="V1923" s="46" t="b">
        <v>1</v>
      </c>
      <c r="W1923" s="46">
        <v>0.95</v>
      </c>
      <c r="X1923" s="46">
        <v>0.0</v>
      </c>
      <c r="Y1923" s="46">
        <v>48.3996191984453</v>
      </c>
      <c r="Z1923" s="46" t="b">
        <v>1</v>
      </c>
      <c r="AA1923" s="46" t="b">
        <v>1</v>
      </c>
    </row>
    <row r="1924">
      <c r="A1924" s="157" t="s">
        <v>570</v>
      </c>
      <c r="B1924" s="158">
        <v>1.0</v>
      </c>
      <c r="C1924" s="157" t="s">
        <v>642</v>
      </c>
      <c r="D1924" s="157" t="s">
        <v>643</v>
      </c>
      <c r="E1924" s="157" t="s">
        <v>644</v>
      </c>
      <c r="F1924" s="157" t="s">
        <v>5755</v>
      </c>
      <c r="G1924" s="157" t="s">
        <v>5756</v>
      </c>
      <c r="H1924" s="157"/>
      <c r="I1924" s="158">
        <v>5.07229</v>
      </c>
      <c r="J1924" s="158">
        <v>52.10303</v>
      </c>
      <c r="K1924" s="157" t="s">
        <v>5757</v>
      </c>
      <c r="L1924" s="157" t="s">
        <v>648</v>
      </c>
      <c r="M1924" s="158">
        <v>2022.0</v>
      </c>
      <c r="N1924" s="157" t="s">
        <v>649</v>
      </c>
      <c r="O1924" s="157" t="s">
        <v>650</v>
      </c>
      <c r="P1924" s="161" t="b">
        <v>0</v>
      </c>
      <c r="Q1924" s="158">
        <v>0.505</v>
      </c>
      <c r="R1924" s="158">
        <v>0.0</v>
      </c>
      <c r="S1924" s="158">
        <v>0.505</v>
      </c>
      <c r="T1924" s="157" t="s">
        <v>594</v>
      </c>
      <c r="U1924" s="46" t="s">
        <v>651</v>
      </c>
      <c r="V1924" s="46" t="b">
        <v>1</v>
      </c>
      <c r="W1924" s="46">
        <v>0.95</v>
      </c>
      <c r="X1924" s="46">
        <v>0.0</v>
      </c>
      <c r="Y1924" s="46">
        <v>54.3282583652377</v>
      </c>
      <c r="Z1924" s="46" t="b">
        <v>0</v>
      </c>
      <c r="AA1924" s="46" t="b">
        <v>1</v>
      </c>
    </row>
    <row r="1925">
      <c r="A1925" s="157" t="s">
        <v>570</v>
      </c>
      <c r="B1925" s="158">
        <v>1.0</v>
      </c>
      <c r="C1925" s="157" t="s">
        <v>642</v>
      </c>
      <c r="D1925" s="157" t="s">
        <v>643</v>
      </c>
      <c r="E1925" s="157" t="s">
        <v>644</v>
      </c>
      <c r="F1925" s="157" t="s">
        <v>5758</v>
      </c>
      <c r="G1925" s="157" t="s">
        <v>5759</v>
      </c>
      <c r="H1925" s="157"/>
      <c r="I1925" s="158">
        <v>4.35213</v>
      </c>
      <c r="J1925" s="158">
        <v>51.88984</v>
      </c>
      <c r="K1925" s="157" t="s">
        <v>4546</v>
      </c>
      <c r="L1925" s="157" t="s">
        <v>648</v>
      </c>
      <c r="M1925" s="158">
        <v>2022.0</v>
      </c>
      <c r="N1925" s="157" t="s">
        <v>649</v>
      </c>
      <c r="O1925" s="157" t="s">
        <v>650</v>
      </c>
      <c r="P1925" s="161" t="b">
        <v>0</v>
      </c>
      <c r="Q1925" s="158">
        <v>0.426</v>
      </c>
      <c r="R1925" s="158">
        <v>0.0</v>
      </c>
      <c r="S1925" s="158">
        <v>0.426</v>
      </c>
      <c r="T1925" s="157" t="s">
        <v>594</v>
      </c>
      <c r="U1925" s="46" t="s">
        <v>651</v>
      </c>
      <c r="V1925" s="46" t="b">
        <v>1</v>
      </c>
      <c r="W1925" s="46">
        <v>0.95</v>
      </c>
      <c r="X1925" s="46">
        <v>0.0</v>
      </c>
      <c r="Y1925" s="46">
        <v>6.88584005075919</v>
      </c>
      <c r="Z1925" s="46" t="b">
        <v>1</v>
      </c>
      <c r="AA1925" s="46" t="b">
        <v>1</v>
      </c>
    </row>
    <row r="1926">
      <c r="A1926" s="157" t="s">
        <v>570</v>
      </c>
      <c r="B1926" s="158">
        <v>1.0</v>
      </c>
      <c r="C1926" s="157" t="s">
        <v>642</v>
      </c>
      <c r="D1926" s="157" t="s">
        <v>643</v>
      </c>
      <c r="E1926" s="157" t="s">
        <v>644</v>
      </c>
      <c r="F1926" s="157" t="s">
        <v>5760</v>
      </c>
      <c r="G1926" s="157" t="s">
        <v>5761</v>
      </c>
      <c r="H1926" s="157"/>
      <c r="I1926" s="158">
        <v>6.95435</v>
      </c>
      <c r="J1926" s="158">
        <v>53.31883</v>
      </c>
      <c r="K1926" s="157" t="s">
        <v>4690</v>
      </c>
      <c r="L1926" s="157" t="s">
        <v>648</v>
      </c>
      <c r="M1926" s="158">
        <v>2022.0</v>
      </c>
      <c r="N1926" s="157" t="s">
        <v>649</v>
      </c>
      <c r="O1926" s="157" t="s">
        <v>650</v>
      </c>
      <c r="P1926" s="161" t="b">
        <v>0</v>
      </c>
      <c r="Q1926" s="158">
        <v>0.406</v>
      </c>
      <c r="R1926" s="158">
        <v>0.0</v>
      </c>
      <c r="S1926" s="158">
        <v>0.406</v>
      </c>
      <c r="T1926" s="157" t="s">
        <v>594</v>
      </c>
      <c r="U1926" s="46" t="s">
        <v>651</v>
      </c>
      <c r="V1926" s="46" t="b">
        <v>1</v>
      </c>
      <c r="W1926" s="46">
        <v>0.95</v>
      </c>
      <c r="X1926" s="46">
        <v>0.0</v>
      </c>
      <c r="Y1926" s="46">
        <v>14.518240387699</v>
      </c>
      <c r="Z1926" s="46" t="b">
        <v>1</v>
      </c>
      <c r="AA1926" s="46" t="b">
        <v>1</v>
      </c>
    </row>
    <row r="1927">
      <c r="A1927" s="157" t="s">
        <v>570</v>
      </c>
      <c r="B1927" s="158">
        <v>1.0</v>
      </c>
      <c r="C1927" s="157" t="s">
        <v>642</v>
      </c>
      <c r="D1927" s="157" t="s">
        <v>643</v>
      </c>
      <c r="E1927" s="157" t="s">
        <v>644</v>
      </c>
      <c r="F1927" s="157" t="s">
        <v>5762</v>
      </c>
      <c r="G1927" s="157" t="s">
        <v>5763</v>
      </c>
      <c r="H1927" s="157"/>
      <c r="I1927" s="158">
        <v>4.35179</v>
      </c>
      <c r="J1927" s="158">
        <v>51.89085</v>
      </c>
      <c r="K1927" s="157" t="s">
        <v>4546</v>
      </c>
      <c r="L1927" s="157" t="s">
        <v>648</v>
      </c>
      <c r="M1927" s="158">
        <v>2022.0</v>
      </c>
      <c r="N1927" s="157" t="s">
        <v>649</v>
      </c>
      <c r="O1927" s="157" t="s">
        <v>650</v>
      </c>
      <c r="P1927" s="161" t="b">
        <v>0</v>
      </c>
      <c r="Q1927" s="158">
        <v>0.375</v>
      </c>
      <c r="R1927" s="158">
        <v>0.0</v>
      </c>
      <c r="S1927" s="158">
        <v>0.375</v>
      </c>
      <c r="T1927" s="157" t="s">
        <v>594</v>
      </c>
      <c r="U1927" s="46" t="s">
        <v>651</v>
      </c>
      <c r="V1927" s="46" t="b">
        <v>1</v>
      </c>
      <c r="W1927" s="46">
        <v>0.95</v>
      </c>
      <c r="X1927" s="46">
        <v>0.0</v>
      </c>
      <c r="Y1927" s="46">
        <v>6.91673319220864</v>
      </c>
      <c r="Z1927" s="46" t="b">
        <v>1</v>
      </c>
      <c r="AA1927" s="46" t="b">
        <v>1</v>
      </c>
    </row>
    <row r="1928">
      <c r="A1928" s="157" t="s">
        <v>570</v>
      </c>
      <c r="B1928" s="158">
        <v>1.0</v>
      </c>
      <c r="C1928" s="157" t="s">
        <v>642</v>
      </c>
      <c r="D1928" s="157" t="s">
        <v>643</v>
      </c>
      <c r="E1928" s="157" t="s">
        <v>644</v>
      </c>
      <c r="F1928" s="157" t="s">
        <v>5764</v>
      </c>
      <c r="G1928" s="157" t="s">
        <v>5765</v>
      </c>
      <c r="H1928" s="157"/>
      <c r="I1928" s="158">
        <v>4.58078</v>
      </c>
      <c r="J1928" s="158">
        <v>51.6849</v>
      </c>
      <c r="K1928" s="157" t="s">
        <v>4025</v>
      </c>
      <c r="L1928" s="157" t="s">
        <v>648</v>
      </c>
      <c r="M1928" s="158">
        <v>2022.0</v>
      </c>
      <c r="N1928" s="157" t="s">
        <v>649</v>
      </c>
      <c r="O1928" s="157" t="s">
        <v>650</v>
      </c>
      <c r="P1928" s="161" t="b">
        <v>0</v>
      </c>
      <c r="Q1928" s="158">
        <v>0.346</v>
      </c>
      <c r="R1928" s="158">
        <v>0.0</v>
      </c>
      <c r="S1928" s="158">
        <v>0.346</v>
      </c>
      <c r="T1928" s="157" t="s">
        <v>594</v>
      </c>
      <c r="U1928" s="46" t="s">
        <v>651</v>
      </c>
      <c r="V1928" s="46" t="b">
        <v>1</v>
      </c>
      <c r="W1928" s="46">
        <v>0.95</v>
      </c>
      <c r="X1928" s="46">
        <v>0.0</v>
      </c>
      <c r="Y1928" s="46">
        <v>2.18234904474745</v>
      </c>
      <c r="Z1928" s="46" t="b">
        <v>1</v>
      </c>
      <c r="AA1928" s="46" t="b">
        <v>1</v>
      </c>
    </row>
    <row r="1929">
      <c r="A1929" s="157" t="s">
        <v>570</v>
      </c>
      <c r="B1929" s="158">
        <v>1.0</v>
      </c>
      <c r="C1929" s="157" t="s">
        <v>642</v>
      </c>
      <c r="D1929" s="157" t="s">
        <v>643</v>
      </c>
      <c r="E1929" s="157" t="s">
        <v>644</v>
      </c>
      <c r="F1929" s="157" t="s">
        <v>5766</v>
      </c>
      <c r="G1929" s="157" t="s">
        <v>5767</v>
      </c>
      <c r="H1929" s="157"/>
      <c r="I1929" s="158">
        <v>4.57803</v>
      </c>
      <c r="J1929" s="158">
        <v>51.68798</v>
      </c>
      <c r="K1929" s="157" t="s">
        <v>4025</v>
      </c>
      <c r="L1929" s="157" t="s">
        <v>648</v>
      </c>
      <c r="M1929" s="158">
        <v>2022.0</v>
      </c>
      <c r="N1929" s="157" t="s">
        <v>649</v>
      </c>
      <c r="O1929" s="157" t="s">
        <v>650</v>
      </c>
      <c r="P1929" s="161" t="b">
        <v>0</v>
      </c>
      <c r="Q1929" s="158">
        <v>0.326</v>
      </c>
      <c r="R1929" s="158">
        <v>0.0</v>
      </c>
      <c r="S1929" s="158">
        <v>0.326</v>
      </c>
      <c r="T1929" s="157" t="s">
        <v>594</v>
      </c>
      <c r="U1929" s="46" t="s">
        <v>651</v>
      </c>
      <c r="V1929" s="46" t="b">
        <v>1</v>
      </c>
      <c r="W1929" s="46">
        <v>0.95</v>
      </c>
      <c r="X1929" s="46">
        <v>0.0</v>
      </c>
      <c r="Y1929" s="46">
        <v>2.48291154253343</v>
      </c>
      <c r="Z1929" s="46" t="b">
        <v>1</v>
      </c>
      <c r="AA1929" s="46" t="b">
        <v>1</v>
      </c>
    </row>
    <row r="1930">
      <c r="A1930" s="157" t="s">
        <v>570</v>
      </c>
      <c r="B1930" s="158">
        <v>1.0</v>
      </c>
      <c r="C1930" s="157" t="s">
        <v>642</v>
      </c>
      <c r="D1930" s="157" t="s">
        <v>643</v>
      </c>
      <c r="E1930" s="157" t="s">
        <v>644</v>
      </c>
      <c r="F1930" s="157" t="s">
        <v>5768</v>
      </c>
      <c r="G1930" s="157" t="s">
        <v>5769</v>
      </c>
      <c r="H1930" s="157"/>
      <c r="I1930" s="158">
        <v>5.79452</v>
      </c>
      <c r="J1930" s="158">
        <v>51.8463</v>
      </c>
      <c r="K1930" s="157" t="s">
        <v>5770</v>
      </c>
      <c r="L1930" s="157" t="s">
        <v>648</v>
      </c>
      <c r="M1930" s="158">
        <v>2022.0</v>
      </c>
      <c r="N1930" s="157" t="s">
        <v>649</v>
      </c>
      <c r="O1930" s="157" t="s">
        <v>650</v>
      </c>
      <c r="P1930" s="161" t="b">
        <v>0</v>
      </c>
      <c r="Q1930" s="158">
        <v>0.322</v>
      </c>
      <c r="R1930" s="158">
        <v>0.0</v>
      </c>
      <c r="S1930" s="158">
        <v>0.322</v>
      </c>
      <c r="T1930" s="157" t="s">
        <v>594</v>
      </c>
      <c r="U1930" s="46" t="s">
        <v>651</v>
      </c>
      <c r="V1930" s="46" t="b">
        <v>1</v>
      </c>
      <c r="W1930" s="46">
        <v>0.95</v>
      </c>
      <c r="X1930" s="46">
        <v>0.0</v>
      </c>
      <c r="Y1930" s="46">
        <v>41.0762301042079</v>
      </c>
      <c r="Z1930" s="46" t="b">
        <v>1</v>
      </c>
      <c r="AA1930" s="46" t="b">
        <v>1</v>
      </c>
    </row>
    <row r="1931">
      <c r="A1931" s="157" t="s">
        <v>570</v>
      </c>
      <c r="B1931" s="158">
        <v>1.0</v>
      </c>
      <c r="C1931" s="157" t="s">
        <v>642</v>
      </c>
      <c r="D1931" s="157" t="s">
        <v>643</v>
      </c>
      <c r="E1931" s="157" t="s">
        <v>644</v>
      </c>
      <c r="F1931" s="157" t="s">
        <v>5771</v>
      </c>
      <c r="G1931" s="157" t="s">
        <v>5772</v>
      </c>
      <c r="H1931" s="157"/>
      <c r="I1931" s="158">
        <v>6.79425</v>
      </c>
      <c r="J1931" s="158">
        <v>52.24675</v>
      </c>
      <c r="K1931" s="157" t="s">
        <v>5749</v>
      </c>
      <c r="L1931" s="157" t="s">
        <v>648</v>
      </c>
      <c r="M1931" s="158">
        <v>2022.0</v>
      </c>
      <c r="N1931" s="157" t="s">
        <v>649</v>
      </c>
      <c r="O1931" s="157" t="s">
        <v>650</v>
      </c>
      <c r="P1931" s="161" t="b">
        <v>0</v>
      </c>
      <c r="Q1931" s="158">
        <v>0.217</v>
      </c>
      <c r="R1931" s="158">
        <v>0.0</v>
      </c>
      <c r="S1931" s="158">
        <v>0.217</v>
      </c>
      <c r="T1931" s="157" t="s">
        <v>594</v>
      </c>
      <c r="U1931" s="46" t="s">
        <v>651</v>
      </c>
      <c r="V1931" s="46" t="b">
        <v>1</v>
      </c>
      <c r="W1931" s="46">
        <v>0.95</v>
      </c>
      <c r="X1931" s="46">
        <v>0.0</v>
      </c>
      <c r="Y1931" s="46">
        <v>43.4042506725256</v>
      </c>
      <c r="Z1931" s="46" t="b">
        <v>1</v>
      </c>
      <c r="AA1931" s="46" t="b">
        <v>1</v>
      </c>
    </row>
    <row r="1932">
      <c r="A1932" s="157" t="s">
        <v>570</v>
      </c>
      <c r="B1932" s="158">
        <v>1.0</v>
      </c>
      <c r="C1932" s="157" t="s">
        <v>642</v>
      </c>
      <c r="D1932" s="157" t="s">
        <v>643</v>
      </c>
      <c r="E1932" s="157" t="s">
        <v>644</v>
      </c>
      <c r="F1932" s="157" t="s">
        <v>5773</v>
      </c>
      <c r="G1932" s="157" t="s">
        <v>5774</v>
      </c>
      <c r="H1932" s="157"/>
      <c r="I1932" s="158">
        <v>5.08426</v>
      </c>
      <c r="J1932" s="158">
        <v>52.02578</v>
      </c>
      <c r="K1932" s="157" t="s">
        <v>5775</v>
      </c>
      <c r="L1932" s="157" t="s">
        <v>648</v>
      </c>
      <c r="M1932" s="158">
        <v>2022.0</v>
      </c>
      <c r="N1932" s="157" t="s">
        <v>649</v>
      </c>
      <c r="O1932" s="157" t="s">
        <v>650</v>
      </c>
      <c r="P1932" s="161" t="b">
        <v>0</v>
      </c>
      <c r="Q1932" s="158">
        <v>0.21</v>
      </c>
      <c r="R1932" s="158">
        <v>0.0</v>
      </c>
      <c r="S1932" s="158">
        <v>0.21</v>
      </c>
      <c r="T1932" s="157" t="s">
        <v>594</v>
      </c>
      <c r="U1932" s="46" t="s">
        <v>651</v>
      </c>
      <c r="V1932" s="46" t="b">
        <v>1</v>
      </c>
      <c r="W1932" s="46">
        <v>0.95</v>
      </c>
      <c r="X1932" s="46">
        <v>0.0</v>
      </c>
      <c r="Y1932" s="46">
        <v>46.060513057099</v>
      </c>
      <c r="Z1932" s="46" t="b">
        <v>1</v>
      </c>
      <c r="AA1932" s="46" t="b">
        <v>1</v>
      </c>
    </row>
    <row r="1933">
      <c r="A1933" s="157" t="s">
        <v>570</v>
      </c>
      <c r="B1933" s="158">
        <v>1.0</v>
      </c>
      <c r="C1933" s="157" t="s">
        <v>642</v>
      </c>
      <c r="D1933" s="157" t="s">
        <v>643</v>
      </c>
      <c r="E1933" s="157" t="s">
        <v>644</v>
      </c>
      <c r="F1933" s="157" t="s">
        <v>5776</v>
      </c>
      <c r="G1933" s="157" t="s">
        <v>5777</v>
      </c>
      <c r="H1933" s="157"/>
      <c r="I1933" s="158">
        <v>5.85219</v>
      </c>
      <c r="J1933" s="158">
        <v>51.75386</v>
      </c>
      <c r="K1933" s="157" t="s">
        <v>5778</v>
      </c>
      <c r="L1933" s="157" t="s">
        <v>648</v>
      </c>
      <c r="M1933" s="158">
        <v>2022.0</v>
      </c>
      <c r="N1933" s="157" t="s">
        <v>649</v>
      </c>
      <c r="O1933" s="157" t="s">
        <v>650</v>
      </c>
      <c r="P1933" s="161" t="b">
        <v>0</v>
      </c>
      <c r="Q1933" s="158">
        <v>0.202</v>
      </c>
      <c r="R1933" s="158">
        <v>0.0</v>
      </c>
      <c r="S1933" s="158">
        <v>0.202</v>
      </c>
      <c r="T1933" s="157" t="s">
        <v>594</v>
      </c>
      <c r="U1933" s="46" t="s">
        <v>651</v>
      </c>
      <c r="V1933" s="46" t="b">
        <v>1</v>
      </c>
      <c r="W1933" s="46">
        <v>0.95</v>
      </c>
      <c r="X1933" s="46">
        <v>0.0</v>
      </c>
      <c r="Y1933" s="46">
        <v>32.5483285074538</v>
      </c>
      <c r="Z1933" s="46" t="b">
        <v>1</v>
      </c>
      <c r="AA1933" s="46" t="b">
        <v>1</v>
      </c>
    </row>
    <row r="1934">
      <c r="A1934" s="157" t="s">
        <v>570</v>
      </c>
      <c r="B1934" s="158">
        <v>1.0</v>
      </c>
      <c r="C1934" s="157" t="s">
        <v>642</v>
      </c>
      <c r="D1934" s="157" t="s">
        <v>643</v>
      </c>
      <c r="E1934" s="157" t="s">
        <v>644</v>
      </c>
      <c r="F1934" s="157" t="s">
        <v>5779</v>
      </c>
      <c r="G1934" s="157" t="s">
        <v>5780</v>
      </c>
      <c r="H1934" s="157"/>
      <c r="I1934" s="158">
        <v>4.25436</v>
      </c>
      <c r="J1934" s="158">
        <v>51.89</v>
      </c>
      <c r="K1934" s="157" t="s">
        <v>4113</v>
      </c>
      <c r="L1934" s="157" t="s">
        <v>648</v>
      </c>
      <c r="M1934" s="158">
        <v>2022.0</v>
      </c>
      <c r="N1934" s="157" t="s">
        <v>649</v>
      </c>
      <c r="O1934" s="157" t="s">
        <v>650</v>
      </c>
      <c r="P1934" s="161" t="b">
        <v>0</v>
      </c>
      <c r="Q1934" s="158">
        <v>0.199</v>
      </c>
      <c r="R1934" s="158">
        <v>0.0</v>
      </c>
      <c r="S1934" s="158">
        <v>0.199</v>
      </c>
      <c r="T1934" s="157" t="s">
        <v>594</v>
      </c>
      <c r="U1934" s="46" t="s">
        <v>651</v>
      </c>
      <c r="V1934" s="46" t="b">
        <v>1</v>
      </c>
      <c r="W1934" s="46">
        <v>0.95</v>
      </c>
      <c r="X1934" s="46">
        <v>0.0</v>
      </c>
      <c r="Y1934" s="46">
        <v>0.921018540075203</v>
      </c>
      <c r="Z1934" s="46" t="b">
        <v>1</v>
      </c>
      <c r="AA1934" s="46" t="b">
        <v>1</v>
      </c>
    </row>
    <row r="1935">
      <c r="A1935" s="157" t="s">
        <v>570</v>
      </c>
      <c r="B1935" s="158">
        <v>1.0</v>
      </c>
      <c r="C1935" s="157" t="s">
        <v>642</v>
      </c>
      <c r="D1935" s="157" t="s">
        <v>643</v>
      </c>
      <c r="E1935" s="157" t="s">
        <v>644</v>
      </c>
      <c r="F1935" s="157" t="s">
        <v>5781</v>
      </c>
      <c r="G1935" s="157" t="s">
        <v>5782</v>
      </c>
      <c r="H1935" s="157"/>
      <c r="I1935" s="158">
        <v>4.25733</v>
      </c>
      <c r="J1935" s="158">
        <v>51.88462</v>
      </c>
      <c r="K1935" s="157" t="s">
        <v>4113</v>
      </c>
      <c r="L1935" s="157" t="s">
        <v>648</v>
      </c>
      <c r="M1935" s="158">
        <v>2022.0</v>
      </c>
      <c r="N1935" s="157" t="s">
        <v>649</v>
      </c>
      <c r="O1935" s="157" t="s">
        <v>650</v>
      </c>
      <c r="P1935" s="161" t="b">
        <v>0</v>
      </c>
      <c r="Q1935" s="158">
        <v>0.176</v>
      </c>
      <c r="R1935" s="158">
        <v>0.0</v>
      </c>
      <c r="S1935" s="158">
        <v>0.176</v>
      </c>
      <c r="T1935" s="157" t="s">
        <v>594</v>
      </c>
      <c r="U1935" s="46" t="s">
        <v>651</v>
      </c>
      <c r="V1935" s="46" t="b">
        <v>1</v>
      </c>
      <c r="W1935" s="46">
        <v>0.95</v>
      </c>
      <c r="X1935" s="46">
        <v>0.0</v>
      </c>
      <c r="Y1935" s="46">
        <v>0.826472010447974</v>
      </c>
      <c r="Z1935" s="46" t="b">
        <v>1</v>
      </c>
      <c r="AA1935" s="46" t="b">
        <v>1</v>
      </c>
    </row>
    <row r="1936">
      <c r="A1936" s="157" t="s">
        <v>570</v>
      </c>
      <c r="B1936" s="158">
        <v>1.0</v>
      </c>
      <c r="C1936" s="157" t="s">
        <v>642</v>
      </c>
      <c r="D1936" s="157" t="s">
        <v>643</v>
      </c>
      <c r="E1936" s="157" t="s">
        <v>644</v>
      </c>
      <c r="F1936" s="157" t="s">
        <v>5783</v>
      </c>
      <c r="G1936" s="157" t="s">
        <v>5784</v>
      </c>
      <c r="H1936" s="157"/>
      <c r="I1936" s="158">
        <v>4.29057</v>
      </c>
      <c r="J1936" s="158">
        <v>52.07592</v>
      </c>
      <c r="K1936" s="165" t="s">
        <v>5785</v>
      </c>
      <c r="L1936" s="157" t="s">
        <v>648</v>
      </c>
      <c r="M1936" s="158">
        <v>2022.0</v>
      </c>
      <c r="N1936" s="157" t="s">
        <v>649</v>
      </c>
      <c r="O1936" s="157" t="s">
        <v>650</v>
      </c>
      <c r="P1936" s="161" t="b">
        <v>0</v>
      </c>
      <c r="Q1936" s="158">
        <v>0.134</v>
      </c>
      <c r="R1936" s="158">
        <v>0.0</v>
      </c>
      <c r="S1936" s="158">
        <v>0.134</v>
      </c>
      <c r="T1936" s="157" t="s">
        <v>594</v>
      </c>
      <c r="U1936" s="46" t="s">
        <v>651</v>
      </c>
      <c r="V1936" s="46" t="b">
        <v>1</v>
      </c>
      <c r="W1936" s="46">
        <v>0.95</v>
      </c>
      <c r="X1936" s="46">
        <v>0.0</v>
      </c>
      <c r="Y1936" s="46">
        <v>10.2661732723819</v>
      </c>
      <c r="Z1936" s="46" t="b">
        <v>1</v>
      </c>
      <c r="AA1936" s="46" t="b">
        <v>1</v>
      </c>
    </row>
    <row r="1937">
      <c r="A1937" s="157" t="s">
        <v>570</v>
      </c>
      <c r="B1937" s="158">
        <v>1.0</v>
      </c>
      <c r="C1937" s="157" t="s">
        <v>642</v>
      </c>
      <c r="D1937" s="157" t="s">
        <v>643</v>
      </c>
      <c r="E1937" s="157" t="s">
        <v>644</v>
      </c>
      <c r="F1937" s="157" t="s">
        <v>5786</v>
      </c>
      <c r="G1937" s="157" t="s">
        <v>5787</v>
      </c>
      <c r="H1937" s="157"/>
      <c r="I1937" s="158">
        <v>4.56111</v>
      </c>
      <c r="J1937" s="158">
        <v>51.95359</v>
      </c>
      <c r="K1937" s="157" t="s">
        <v>5788</v>
      </c>
      <c r="L1937" s="157" t="s">
        <v>648</v>
      </c>
      <c r="M1937" s="158">
        <v>2022.0</v>
      </c>
      <c r="N1937" s="157" t="s">
        <v>649</v>
      </c>
      <c r="O1937" s="157" t="s">
        <v>650</v>
      </c>
      <c r="P1937" s="161" t="b">
        <v>0</v>
      </c>
      <c r="Q1937" s="158">
        <v>0.111</v>
      </c>
      <c r="R1937" s="158">
        <v>0.0</v>
      </c>
      <c r="S1937" s="158">
        <v>0.111</v>
      </c>
      <c r="T1937" s="157" t="s">
        <v>594</v>
      </c>
      <c r="U1937" s="46" t="s">
        <v>651</v>
      </c>
      <c r="V1937" s="46" t="b">
        <v>1</v>
      </c>
      <c r="W1937" s="46">
        <v>0.95</v>
      </c>
      <c r="X1937" s="46">
        <v>0.0</v>
      </c>
      <c r="Y1937" s="46">
        <v>22.9106531742289</v>
      </c>
      <c r="Z1937" s="46" t="b">
        <v>1</v>
      </c>
      <c r="AA1937" s="46" t="b">
        <v>1</v>
      </c>
    </row>
    <row r="1938">
      <c r="A1938" s="157" t="s">
        <v>576</v>
      </c>
      <c r="B1938" s="158">
        <v>1.0</v>
      </c>
      <c r="C1938" s="157" t="s">
        <v>642</v>
      </c>
      <c r="D1938" s="157" t="s">
        <v>643</v>
      </c>
      <c r="E1938" s="157" t="s">
        <v>644</v>
      </c>
      <c r="F1938" s="157" t="s">
        <v>5789</v>
      </c>
      <c r="G1938" s="157" t="s">
        <v>5790</v>
      </c>
      <c r="H1938" s="157"/>
      <c r="I1938" s="158">
        <v>23.135748</v>
      </c>
      <c r="J1938" s="158">
        <v>44.909736</v>
      </c>
      <c r="K1938" s="157" t="s">
        <v>5791</v>
      </c>
      <c r="L1938" s="157" t="s">
        <v>648</v>
      </c>
      <c r="M1938" s="158">
        <v>2022.0</v>
      </c>
      <c r="N1938" s="157" t="s">
        <v>649</v>
      </c>
      <c r="O1938" s="157" t="s">
        <v>650</v>
      </c>
      <c r="P1938" s="161" t="b">
        <v>0</v>
      </c>
      <c r="Q1938" s="158">
        <v>3.44</v>
      </c>
      <c r="R1938" s="158">
        <v>0.0</v>
      </c>
      <c r="S1938" s="158">
        <v>3.44</v>
      </c>
      <c r="T1938" s="157" t="s">
        <v>594</v>
      </c>
      <c r="U1938" s="46" t="s">
        <v>651</v>
      </c>
      <c r="V1938" s="46" t="b">
        <v>1</v>
      </c>
      <c r="W1938" s="46">
        <v>0.95</v>
      </c>
      <c r="X1938" s="46">
        <v>0.0</v>
      </c>
      <c r="Y1938" s="46" t="s">
        <v>640</v>
      </c>
      <c r="Z1938" s="46" t="b">
        <v>0</v>
      </c>
      <c r="AA1938" s="46" t="b">
        <v>0</v>
      </c>
    </row>
    <row r="1939">
      <c r="A1939" s="157" t="s">
        <v>576</v>
      </c>
      <c r="B1939" s="158">
        <v>1.0</v>
      </c>
      <c r="C1939" s="157" t="s">
        <v>642</v>
      </c>
      <c r="D1939" s="157" t="s">
        <v>643</v>
      </c>
      <c r="E1939" s="157" t="s">
        <v>644</v>
      </c>
      <c r="F1939" s="157" t="s">
        <v>5792</v>
      </c>
      <c r="G1939" s="157" t="s">
        <v>5793</v>
      </c>
      <c r="H1939" s="157"/>
      <c r="I1939" s="158">
        <v>23.409223</v>
      </c>
      <c r="J1939" s="158">
        <v>44.670484</v>
      </c>
      <c r="K1939" s="157" t="s">
        <v>5794</v>
      </c>
      <c r="L1939" s="157" t="s">
        <v>648</v>
      </c>
      <c r="M1939" s="158">
        <v>2022.0</v>
      </c>
      <c r="N1939" s="157" t="s">
        <v>649</v>
      </c>
      <c r="O1939" s="157" t="s">
        <v>650</v>
      </c>
      <c r="P1939" s="161" t="b">
        <v>0</v>
      </c>
      <c r="Q1939" s="158">
        <v>2.43</v>
      </c>
      <c r="R1939" s="158">
        <v>0.0</v>
      </c>
      <c r="S1939" s="158">
        <v>2.43</v>
      </c>
      <c r="T1939" s="157" t="s">
        <v>594</v>
      </c>
      <c r="U1939" s="46" t="s">
        <v>651</v>
      </c>
      <c r="V1939" s="46" t="b">
        <v>1</v>
      </c>
      <c r="W1939" s="46">
        <v>0.95</v>
      </c>
      <c r="X1939" s="46">
        <v>0.0</v>
      </c>
      <c r="Y1939" s="46" t="s">
        <v>640</v>
      </c>
      <c r="Z1939" s="46" t="b">
        <v>0</v>
      </c>
      <c r="AA1939" s="46" t="b">
        <v>0</v>
      </c>
    </row>
    <row r="1940">
      <c r="A1940" s="157" t="s">
        <v>576</v>
      </c>
      <c r="B1940" s="158">
        <v>1.0</v>
      </c>
      <c r="C1940" s="157" t="s">
        <v>642</v>
      </c>
      <c r="D1940" s="157" t="s">
        <v>643</v>
      </c>
      <c r="E1940" s="157" t="s">
        <v>644</v>
      </c>
      <c r="F1940" s="157" t="s">
        <v>5795</v>
      </c>
      <c r="G1940" s="157" t="s">
        <v>5796</v>
      </c>
      <c r="H1940" s="157"/>
      <c r="I1940" s="158">
        <v>25.9987928</v>
      </c>
      <c r="J1940" s="158">
        <v>44.8800279</v>
      </c>
      <c r="K1940" s="157" t="s">
        <v>5797</v>
      </c>
      <c r="L1940" s="157" t="s">
        <v>648</v>
      </c>
      <c r="M1940" s="158">
        <v>2022.0</v>
      </c>
      <c r="N1940" s="157" t="s">
        <v>649</v>
      </c>
      <c r="O1940" s="157" t="s">
        <v>650</v>
      </c>
      <c r="P1940" s="161" t="b">
        <v>0</v>
      </c>
      <c r="Q1940" s="158">
        <v>1.81</v>
      </c>
      <c r="R1940" s="158">
        <v>0.0</v>
      </c>
      <c r="S1940" s="158">
        <v>1.81</v>
      </c>
      <c r="T1940" s="157" t="s">
        <v>594</v>
      </c>
      <c r="U1940" s="46" t="s">
        <v>651</v>
      </c>
      <c r="V1940" s="46" t="b">
        <v>1</v>
      </c>
      <c r="W1940" s="46">
        <v>0.95</v>
      </c>
      <c r="X1940" s="46">
        <v>0.0</v>
      </c>
      <c r="Y1940" s="46" t="s">
        <v>640</v>
      </c>
      <c r="Z1940" s="46" t="b">
        <v>0</v>
      </c>
      <c r="AA1940" s="46" t="b">
        <v>0</v>
      </c>
    </row>
    <row r="1941">
      <c r="A1941" s="157" t="s">
        <v>576</v>
      </c>
      <c r="B1941" s="158">
        <v>1.0</v>
      </c>
      <c r="C1941" s="157" t="s">
        <v>642</v>
      </c>
      <c r="D1941" s="157" t="s">
        <v>643</v>
      </c>
      <c r="E1941" s="157" t="s">
        <v>644</v>
      </c>
      <c r="F1941" s="157" t="s">
        <v>5798</v>
      </c>
      <c r="G1941" s="157" t="s">
        <v>5799</v>
      </c>
      <c r="H1941" s="157"/>
      <c r="I1941" s="158">
        <v>23.718711</v>
      </c>
      <c r="J1941" s="158">
        <v>44.388895</v>
      </c>
      <c r="K1941" s="157" t="s">
        <v>5800</v>
      </c>
      <c r="L1941" s="157" t="s">
        <v>648</v>
      </c>
      <c r="M1941" s="158">
        <v>2022.0</v>
      </c>
      <c r="N1941" s="157" t="s">
        <v>649</v>
      </c>
      <c r="O1941" s="157" t="s">
        <v>650</v>
      </c>
      <c r="P1941" s="161" t="b">
        <v>0</v>
      </c>
      <c r="Q1941" s="158">
        <v>1.08</v>
      </c>
      <c r="R1941" s="158">
        <v>0.0</v>
      </c>
      <c r="S1941" s="158">
        <v>1.08</v>
      </c>
      <c r="T1941" s="157" t="s">
        <v>594</v>
      </c>
      <c r="U1941" s="46" t="s">
        <v>651</v>
      </c>
      <c r="V1941" s="46" t="b">
        <v>1</v>
      </c>
      <c r="W1941" s="46">
        <v>0.95</v>
      </c>
      <c r="X1941" s="46">
        <v>0.0</v>
      </c>
      <c r="Y1941" s="46" t="s">
        <v>640</v>
      </c>
      <c r="Z1941" s="46" t="b">
        <v>0</v>
      </c>
      <c r="AA1941" s="46" t="b">
        <v>0</v>
      </c>
    </row>
    <row r="1942">
      <c r="A1942" s="157" t="s">
        <v>576</v>
      </c>
      <c r="B1942" s="158">
        <v>1.0</v>
      </c>
      <c r="C1942" s="157" t="s">
        <v>642</v>
      </c>
      <c r="D1942" s="157" t="s">
        <v>643</v>
      </c>
      <c r="E1942" s="157" t="s">
        <v>644</v>
      </c>
      <c r="F1942" s="157" t="s">
        <v>5801</v>
      </c>
      <c r="G1942" s="157" t="s">
        <v>5802</v>
      </c>
      <c r="H1942" s="157"/>
      <c r="I1942" s="158">
        <v>23.815663</v>
      </c>
      <c r="J1942" s="158">
        <v>44.344025</v>
      </c>
      <c r="K1942" s="157" t="s">
        <v>5803</v>
      </c>
      <c r="L1942" s="157" t="s">
        <v>648</v>
      </c>
      <c r="M1942" s="158">
        <v>2022.0</v>
      </c>
      <c r="N1942" s="157" t="s">
        <v>649</v>
      </c>
      <c r="O1942" s="157" t="s">
        <v>650</v>
      </c>
      <c r="P1942" s="161" t="b">
        <v>0</v>
      </c>
      <c r="Q1942" s="158">
        <v>1.01</v>
      </c>
      <c r="R1942" s="158">
        <v>0.0</v>
      </c>
      <c r="S1942" s="158">
        <v>1.01</v>
      </c>
      <c r="T1942" s="157" t="s">
        <v>594</v>
      </c>
      <c r="U1942" s="46" t="s">
        <v>651</v>
      </c>
      <c r="V1942" s="46" t="b">
        <v>1</v>
      </c>
      <c r="W1942" s="46">
        <v>0.95</v>
      </c>
      <c r="X1942" s="46">
        <v>0.0</v>
      </c>
      <c r="Y1942" s="46" t="s">
        <v>640</v>
      </c>
      <c r="Z1942" s="46" t="b">
        <v>0</v>
      </c>
      <c r="AA1942" s="46" t="b">
        <v>0</v>
      </c>
    </row>
    <row r="1943">
      <c r="A1943" s="157" t="s">
        <v>576</v>
      </c>
      <c r="B1943" s="158">
        <v>1.0</v>
      </c>
      <c r="C1943" s="157" t="s">
        <v>642</v>
      </c>
      <c r="D1943" s="157" t="s">
        <v>643</v>
      </c>
      <c r="E1943" s="157" t="s">
        <v>644</v>
      </c>
      <c r="F1943" s="157" t="s">
        <v>5804</v>
      </c>
      <c r="G1943" s="157" t="s">
        <v>5805</v>
      </c>
      <c r="H1943" s="157"/>
      <c r="I1943" s="158">
        <v>24.289399</v>
      </c>
      <c r="J1943" s="158">
        <v>45.040894</v>
      </c>
      <c r="K1943" s="157" t="s">
        <v>5806</v>
      </c>
      <c r="L1943" s="157" t="s">
        <v>648</v>
      </c>
      <c r="M1943" s="158">
        <v>2022.0</v>
      </c>
      <c r="N1943" s="157" t="s">
        <v>649</v>
      </c>
      <c r="O1943" s="157" t="s">
        <v>650</v>
      </c>
      <c r="P1943" s="161" t="b">
        <v>0</v>
      </c>
      <c r="Q1943" s="158">
        <v>0.907</v>
      </c>
      <c r="R1943" s="158">
        <v>0.0</v>
      </c>
      <c r="S1943" s="158">
        <v>0.907</v>
      </c>
      <c r="T1943" s="157" t="s">
        <v>594</v>
      </c>
      <c r="U1943" s="46" t="s">
        <v>651</v>
      </c>
      <c r="V1943" s="46" t="b">
        <v>1</v>
      </c>
      <c r="W1943" s="46">
        <v>0.95</v>
      </c>
      <c r="X1943" s="46">
        <v>0.0</v>
      </c>
      <c r="Y1943" s="46" t="s">
        <v>640</v>
      </c>
      <c r="Z1943" s="46" t="b">
        <v>0</v>
      </c>
      <c r="AA1943" s="46" t="b">
        <v>0</v>
      </c>
    </row>
    <row r="1944">
      <c r="A1944" s="157" t="s">
        <v>576</v>
      </c>
      <c r="B1944" s="158">
        <v>1.0</v>
      </c>
      <c r="C1944" s="157" t="s">
        <v>642</v>
      </c>
      <c r="D1944" s="157" t="s">
        <v>643</v>
      </c>
      <c r="E1944" s="157" t="s">
        <v>644</v>
      </c>
      <c r="F1944" s="157" t="s">
        <v>5807</v>
      </c>
      <c r="G1944" s="157" t="s">
        <v>5808</v>
      </c>
      <c r="H1944" s="157"/>
      <c r="I1944" s="158">
        <v>26.155651</v>
      </c>
      <c r="J1944" s="158">
        <v>44.405821</v>
      </c>
      <c r="K1944" s="157" t="s">
        <v>5809</v>
      </c>
      <c r="L1944" s="157" t="s">
        <v>648</v>
      </c>
      <c r="M1944" s="158">
        <v>2022.0</v>
      </c>
      <c r="N1944" s="157" t="s">
        <v>649</v>
      </c>
      <c r="O1944" s="157" t="s">
        <v>650</v>
      </c>
      <c r="P1944" s="161" t="b">
        <v>0</v>
      </c>
      <c r="Q1944" s="158">
        <v>0.712</v>
      </c>
      <c r="R1944" s="158">
        <v>0.0</v>
      </c>
      <c r="S1944" s="158">
        <v>0.712</v>
      </c>
      <c r="T1944" s="157" t="s">
        <v>594</v>
      </c>
      <c r="U1944" s="46" t="s">
        <v>651</v>
      </c>
      <c r="V1944" s="46" t="b">
        <v>1</v>
      </c>
      <c r="W1944" s="46">
        <v>0.95</v>
      </c>
      <c r="X1944" s="46">
        <v>0.0</v>
      </c>
      <c r="Y1944" s="46" t="s">
        <v>640</v>
      </c>
      <c r="Z1944" s="46" t="b">
        <v>0</v>
      </c>
      <c r="AA1944" s="46" t="b">
        <v>0</v>
      </c>
    </row>
    <row r="1945">
      <c r="A1945" s="157" t="s">
        <v>576</v>
      </c>
      <c r="B1945" s="158">
        <v>1.0</v>
      </c>
      <c r="C1945" s="157" t="s">
        <v>642</v>
      </c>
      <c r="D1945" s="157" t="s">
        <v>643</v>
      </c>
      <c r="E1945" s="157" t="s">
        <v>644</v>
      </c>
      <c r="F1945" s="157" t="s">
        <v>5810</v>
      </c>
      <c r="G1945" s="157" t="s">
        <v>5811</v>
      </c>
      <c r="H1945" s="157"/>
      <c r="I1945" s="158">
        <v>24.183442</v>
      </c>
      <c r="J1945" s="158">
        <v>46.467739</v>
      </c>
      <c r="K1945" s="157" t="s">
        <v>5812</v>
      </c>
      <c r="L1945" s="157" t="s">
        <v>648</v>
      </c>
      <c r="M1945" s="158">
        <v>2022.0</v>
      </c>
      <c r="N1945" s="157" t="s">
        <v>649</v>
      </c>
      <c r="O1945" s="157" t="s">
        <v>650</v>
      </c>
      <c r="P1945" s="161" t="b">
        <v>0</v>
      </c>
      <c r="Q1945" s="158">
        <v>0.641</v>
      </c>
      <c r="R1945" s="158">
        <v>0.0</v>
      </c>
      <c r="S1945" s="158">
        <v>0.641</v>
      </c>
      <c r="T1945" s="157" t="s">
        <v>594</v>
      </c>
      <c r="U1945" s="46" t="s">
        <v>651</v>
      </c>
      <c r="V1945" s="46" t="b">
        <v>1</v>
      </c>
      <c r="W1945" s="46">
        <v>0.95</v>
      </c>
      <c r="X1945" s="46">
        <v>0.0</v>
      </c>
      <c r="Y1945" s="46" t="s">
        <v>640</v>
      </c>
      <c r="Z1945" s="46" t="b">
        <v>0</v>
      </c>
      <c r="AA1945" s="46" t="b">
        <v>0</v>
      </c>
    </row>
    <row r="1946">
      <c r="A1946" s="157" t="s">
        <v>576</v>
      </c>
      <c r="B1946" s="158">
        <v>1.0</v>
      </c>
      <c r="C1946" s="157" t="s">
        <v>642</v>
      </c>
      <c r="D1946" s="157" t="s">
        <v>643</v>
      </c>
      <c r="E1946" s="157" t="s">
        <v>644</v>
      </c>
      <c r="F1946" s="157" t="s">
        <v>5813</v>
      </c>
      <c r="G1946" s="157" t="s">
        <v>5814</v>
      </c>
      <c r="H1946" s="157"/>
      <c r="I1946" s="158">
        <v>26.078308</v>
      </c>
      <c r="J1946" s="158">
        <v>44.950054</v>
      </c>
      <c r="K1946" s="157" t="s">
        <v>5815</v>
      </c>
      <c r="L1946" s="157" t="s">
        <v>648</v>
      </c>
      <c r="M1946" s="158">
        <v>2022.0</v>
      </c>
      <c r="N1946" s="157" t="s">
        <v>649</v>
      </c>
      <c r="O1946" s="157" t="s">
        <v>650</v>
      </c>
      <c r="P1946" s="161" t="b">
        <v>0</v>
      </c>
      <c r="Q1946" s="158">
        <v>0.395</v>
      </c>
      <c r="R1946" s="158">
        <v>0.0</v>
      </c>
      <c r="S1946" s="158">
        <v>0.395</v>
      </c>
      <c r="T1946" s="157" t="s">
        <v>594</v>
      </c>
      <c r="U1946" s="46" t="s">
        <v>651</v>
      </c>
      <c r="V1946" s="46" t="b">
        <v>1</v>
      </c>
      <c r="W1946" s="46">
        <v>0.95</v>
      </c>
      <c r="X1946" s="46">
        <v>0.0</v>
      </c>
      <c r="Y1946" s="46" t="s">
        <v>640</v>
      </c>
      <c r="Z1946" s="46" t="b">
        <v>0</v>
      </c>
      <c r="AA1946" s="46" t="b">
        <v>0</v>
      </c>
    </row>
    <row r="1947">
      <c r="A1947" s="157" t="s">
        <v>576</v>
      </c>
      <c r="B1947" s="158">
        <v>1.0</v>
      </c>
      <c r="C1947" s="157" t="s">
        <v>642</v>
      </c>
      <c r="D1947" s="157" t="s">
        <v>643</v>
      </c>
      <c r="E1947" s="157" t="s">
        <v>644</v>
      </c>
      <c r="F1947" s="157" t="s">
        <v>5816</v>
      </c>
      <c r="G1947" s="157" t="s">
        <v>5817</v>
      </c>
      <c r="H1947" s="157"/>
      <c r="I1947" s="158">
        <v>25.979132</v>
      </c>
      <c r="J1947" s="158">
        <v>44.423271</v>
      </c>
      <c r="K1947" s="157" t="s">
        <v>5809</v>
      </c>
      <c r="L1947" s="157" t="s">
        <v>648</v>
      </c>
      <c r="M1947" s="158">
        <v>2022.0</v>
      </c>
      <c r="N1947" s="157" t="s">
        <v>649</v>
      </c>
      <c r="O1947" s="157" t="s">
        <v>650</v>
      </c>
      <c r="P1947" s="161" t="b">
        <v>0</v>
      </c>
      <c r="Q1947" s="158">
        <v>0.341</v>
      </c>
      <c r="R1947" s="158">
        <v>0.0</v>
      </c>
      <c r="S1947" s="158">
        <v>0.341</v>
      </c>
      <c r="T1947" s="157" t="s">
        <v>594</v>
      </c>
      <c r="U1947" s="46" t="s">
        <v>651</v>
      </c>
      <c r="V1947" s="46" t="b">
        <v>1</v>
      </c>
      <c r="W1947" s="46">
        <v>0.95</v>
      </c>
      <c r="X1947" s="46">
        <v>0.0</v>
      </c>
      <c r="Y1947" s="46" t="s">
        <v>640</v>
      </c>
      <c r="Z1947" s="46" t="b">
        <v>0</v>
      </c>
      <c r="AA1947" s="46" t="b">
        <v>0</v>
      </c>
    </row>
    <row r="1948">
      <c r="A1948" s="157" t="s">
        <v>576</v>
      </c>
      <c r="B1948" s="158">
        <v>1.0</v>
      </c>
      <c r="C1948" s="157" t="s">
        <v>642</v>
      </c>
      <c r="D1948" s="157" t="s">
        <v>643</v>
      </c>
      <c r="E1948" s="157" t="s">
        <v>644</v>
      </c>
      <c r="F1948" s="157" t="s">
        <v>5818</v>
      </c>
      <c r="G1948" s="157" t="s">
        <v>5819</v>
      </c>
      <c r="H1948" s="157"/>
      <c r="I1948" s="158">
        <v>23.261338</v>
      </c>
      <c r="J1948" s="158">
        <v>45.364411</v>
      </c>
      <c r="K1948" s="157" t="s">
        <v>5820</v>
      </c>
      <c r="L1948" s="157" t="s">
        <v>648</v>
      </c>
      <c r="M1948" s="158">
        <v>2022.0</v>
      </c>
      <c r="N1948" s="157" t="s">
        <v>649</v>
      </c>
      <c r="O1948" s="157" t="s">
        <v>650</v>
      </c>
      <c r="P1948" s="161" t="b">
        <v>0</v>
      </c>
      <c r="Q1948" s="158">
        <v>0.333</v>
      </c>
      <c r="R1948" s="158">
        <v>0.0</v>
      </c>
      <c r="S1948" s="158">
        <v>0.333</v>
      </c>
      <c r="T1948" s="157" t="s">
        <v>594</v>
      </c>
      <c r="U1948" s="46" t="s">
        <v>651</v>
      </c>
      <c r="V1948" s="46" t="b">
        <v>1</v>
      </c>
      <c r="W1948" s="46">
        <v>0.95</v>
      </c>
      <c r="X1948" s="46">
        <v>0.0</v>
      </c>
      <c r="Y1948" s="46" t="s">
        <v>640</v>
      </c>
      <c r="Z1948" s="46" t="b">
        <v>0</v>
      </c>
      <c r="AA1948" s="46" t="b">
        <v>0</v>
      </c>
    </row>
    <row r="1949">
      <c r="A1949" s="157" t="s">
        <v>576</v>
      </c>
      <c r="B1949" s="158">
        <v>1.0</v>
      </c>
      <c r="C1949" s="157" t="s">
        <v>642</v>
      </c>
      <c r="D1949" s="157" t="s">
        <v>643</v>
      </c>
      <c r="E1949" s="157" t="s">
        <v>644</v>
      </c>
      <c r="F1949" s="157" t="s">
        <v>5821</v>
      </c>
      <c r="G1949" s="157" t="s">
        <v>5822</v>
      </c>
      <c r="H1949" s="157"/>
      <c r="I1949" s="158">
        <v>26.107311</v>
      </c>
      <c r="J1949" s="158">
        <v>44.372867</v>
      </c>
      <c r="K1949" s="157" t="s">
        <v>5809</v>
      </c>
      <c r="L1949" s="157" t="s">
        <v>648</v>
      </c>
      <c r="M1949" s="158">
        <v>2022.0</v>
      </c>
      <c r="N1949" s="157" t="s">
        <v>649</v>
      </c>
      <c r="O1949" s="157" t="s">
        <v>650</v>
      </c>
      <c r="P1949" s="161" t="b">
        <v>0</v>
      </c>
      <c r="Q1949" s="158">
        <v>0.312</v>
      </c>
      <c r="R1949" s="158">
        <v>0.0</v>
      </c>
      <c r="S1949" s="158">
        <v>0.312</v>
      </c>
      <c r="T1949" s="157" t="s">
        <v>594</v>
      </c>
      <c r="U1949" s="46" t="s">
        <v>651</v>
      </c>
      <c r="V1949" s="46" t="b">
        <v>1</v>
      </c>
      <c r="W1949" s="46">
        <v>0.95</v>
      </c>
      <c r="X1949" s="46">
        <v>0.0</v>
      </c>
      <c r="Y1949" s="46" t="s">
        <v>640</v>
      </c>
      <c r="Z1949" s="46" t="b">
        <v>0</v>
      </c>
      <c r="AA1949" s="46" t="b">
        <v>0</v>
      </c>
    </row>
    <row r="1950">
      <c r="A1950" s="157" t="s">
        <v>576</v>
      </c>
      <c r="B1950" s="158">
        <v>1.0</v>
      </c>
      <c r="C1950" s="157" t="s">
        <v>642</v>
      </c>
      <c r="D1950" s="157" t="s">
        <v>643</v>
      </c>
      <c r="E1950" s="157" t="s">
        <v>644</v>
      </c>
      <c r="F1950" s="157" t="s">
        <v>5823</v>
      </c>
      <c r="G1950" s="157" t="s">
        <v>5824</v>
      </c>
      <c r="H1950" s="157"/>
      <c r="I1950" s="158">
        <v>21.895833</v>
      </c>
      <c r="J1950" s="158">
        <v>47.082514</v>
      </c>
      <c r="K1950" s="157" t="s">
        <v>5825</v>
      </c>
      <c r="L1950" s="157" t="s">
        <v>648</v>
      </c>
      <c r="M1950" s="158">
        <v>2022.0</v>
      </c>
      <c r="N1950" s="157" t="s">
        <v>649</v>
      </c>
      <c r="O1950" s="157" t="s">
        <v>650</v>
      </c>
      <c r="P1950" s="161" t="b">
        <v>0</v>
      </c>
      <c r="Q1950" s="158">
        <v>0.278</v>
      </c>
      <c r="R1950" s="158">
        <v>0.0</v>
      </c>
      <c r="S1950" s="158">
        <v>0.278</v>
      </c>
      <c r="T1950" s="157" t="s">
        <v>594</v>
      </c>
      <c r="U1950" s="46" t="s">
        <v>651</v>
      </c>
      <c r="V1950" s="46" t="b">
        <v>1</v>
      </c>
      <c r="W1950" s="46">
        <v>0.95</v>
      </c>
      <c r="X1950" s="46">
        <v>0.0</v>
      </c>
      <c r="Y1950" s="46" t="s">
        <v>640</v>
      </c>
      <c r="Z1950" s="46" t="b">
        <v>0</v>
      </c>
      <c r="AA1950" s="46" t="b">
        <v>0</v>
      </c>
    </row>
    <row r="1951">
      <c r="A1951" s="157" t="s">
        <v>576</v>
      </c>
      <c r="B1951" s="158">
        <v>1.0</v>
      </c>
      <c r="C1951" s="157" t="s">
        <v>642</v>
      </c>
      <c r="D1951" s="157" t="s">
        <v>643</v>
      </c>
      <c r="E1951" s="157" t="s">
        <v>644</v>
      </c>
      <c r="F1951" s="157" t="s">
        <v>5826</v>
      </c>
      <c r="G1951" s="157" t="s">
        <v>5827</v>
      </c>
      <c r="H1951" s="157"/>
      <c r="I1951" s="158">
        <v>26.063337</v>
      </c>
      <c r="J1951" s="158">
        <v>44.440378</v>
      </c>
      <c r="K1951" s="157" t="s">
        <v>5809</v>
      </c>
      <c r="L1951" s="157" t="s">
        <v>648</v>
      </c>
      <c r="M1951" s="158">
        <v>2022.0</v>
      </c>
      <c r="N1951" s="157" t="s">
        <v>649</v>
      </c>
      <c r="O1951" s="157" t="s">
        <v>650</v>
      </c>
      <c r="P1951" s="161" t="b">
        <v>0</v>
      </c>
      <c r="Q1951" s="158">
        <v>0.248</v>
      </c>
      <c r="R1951" s="158">
        <v>0.0</v>
      </c>
      <c r="S1951" s="158">
        <v>0.248</v>
      </c>
      <c r="T1951" s="157" t="s">
        <v>594</v>
      </c>
      <c r="U1951" s="46" t="s">
        <v>651</v>
      </c>
      <c r="V1951" s="46" t="b">
        <v>1</v>
      </c>
      <c r="W1951" s="46">
        <v>0.95</v>
      </c>
      <c r="X1951" s="46">
        <v>0.0</v>
      </c>
      <c r="Y1951" s="46" t="s">
        <v>640</v>
      </c>
      <c r="Z1951" s="46" t="b">
        <v>0</v>
      </c>
      <c r="AA1951" s="46" t="b">
        <v>0</v>
      </c>
    </row>
    <row r="1952">
      <c r="A1952" s="157" t="s">
        <v>576</v>
      </c>
      <c r="B1952" s="158">
        <v>1.0</v>
      </c>
      <c r="C1952" s="157" t="s">
        <v>642</v>
      </c>
      <c r="D1952" s="157" t="s">
        <v>643</v>
      </c>
      <c r="E1952" s="157" t="s">
        <v>644</v>
      </c>
      <c r="F1952" s="157" t="s">
        <v>5828</v>
      </c>
      <c r="G1952" s="157" t="s">
        <v>5829</v>
      </c>
      <c r="H1952" s="157"/>
      <c r="I1952" s="158">
        <v>27.718194</v>
      </c>
      <c r="J1952" s="158">
        <v>47.147953</v>
      </c>
      <c r="K1952" s="157" t="s">
        <v>5830</v>
      </c>
      <c r="L1952" s="157" t="s">
        <v>648</v>
      </c>
      <c r="M1952" s="158">
        <v>2022.0</v>
      </c>
      <c r="N1952" s="157" t="s">
        <v>649</v>
      </c>
      <c r="O1952" s="157" t="s">
        <v>650</v>
      </c>
      <c r="P1952" s="161" t="b">
        <v>0</v>
      </c>
      <c r="Q1952" s="158">
        <v>0.233</v>
      </c>
      <c r="R1952" s="158">
        <v>0.0</v>
      </c>
      <c r="S1952" s="158">
        <v>0.233</v>
      </c>
      <c r="T1952" s="157" t="s">
        <v>594</v>
      </c>
      <c r="U1952" s="46" t="s">
        <v>651</v>
      </c>
      <c r="V1952" s="46" t="b">
        <v>1</v>
      </c>
      <c r="W1952" s="46">
        <v>0.95</v>
      </c>
      <c r="X1952" s="46">
        <v>0.0</v>
      </c>
      <c r="Y1952" s="46" t="s">
        <v>640</v>
      </c>
      <c r="Z1952" s="46" t="b">
        <v>0</v>
      </c>
      <c r="AA1952" s="46" t="b">
        <v>0</v>
      </c>
    </row>
    <row r="1953">
      <c r="A1953" s="157" t="s">
        <v>576</v>
      </c>
      <c r="B1953" s="158">
        <v>1.0</v>
      </c>
      <c r="C1953" s="157" t="s">
        <v>642</v>
      </c>
      <c r="D1953" s="157" t="s">
        <v>643</v>
      </c>
      <c r="E1953" s="157" t="s">
        <v>644</v>
      </c>
      <c r="F1953" s="157" t="s">
        <v>5831</v>
      </c>
      <c r="G1953" s="157" t="s">
        <v>5832</v>
      </c>
      <c r="H1953" s="157"/>
      <c r="I1953" s="158">
        <v>21.197777</v>
      </c>
      <c r="J1953" s="158">
        <v>45.708051</v>
      </c>
      <c r="K1953" s="157" t="s">
        <v>5833</v>
      </c>
      <c r="L1953" s="157" t="s">
        <v>648</v>
      </c>
      <c r="M1953" s="158">
        <v>2022.0</v>
      </c>
      <c r="N1953" s="157" t="s">
        <v>649</v>
      </c>
      <c r="O1953" s="157" t="s">
        <v>650</v>
      </c>
      <c r="P1953" s="161" t="b">
        <v>0</v>
      </c>
      <c r="Q1953" s="158">
        <v>0.183</v>
      </c>
      <c r="R1953" s="158">
        <v>0.0</v>
      </c>
      <c r="S1953" s="158">
        <v>0.183</v>
      </c>
      <c r="T1953" s="157" t="s">
        <v>594</v>
      </c>
      <c r="U1953" s="46" t="s">
        <v>651</v>
      </c>
      <c r="V1953" s="46" t="b">
        <v>1</v>
      </c>
      <c r="W1953" s="46">
        <v>0.95</v>
      </c>
      <c r="X1953" s="46">
        <v>0.0</v>
      </c>
      <c r="Y1953" s="46" t="s">
        <v>640</v>
      </c>
      <c r="Z1953" s="46" t="b">
        <v>0</v>
      </c>
      <c r="AA1953" s="46" t="b">
        <v>0</v>
      </c>
    </row>
    <row r="1954">
      <c r="A1954" s="157" t="s">
        <v>576</v>
      </c>
      <c r="B1954" s="158">
        <v>1.0</v>
      </c>
      <c r="C1954" s="157" t="s">
        <v>642</v>
      </c>
      <c r="D1954" s="157" t="s">
        <v>643</v>
      </c>
      <c r="E1954" s="157" t="s">
        <v>644</v>
      </c>
      <c r="F1954" s="157" t="s">
        <v>5834</v>
      </c>
      <c r="G1954" s="157" t="s">
        <v>5835</v>
      </c>
      <c r="H1954" s="157"/>
      <c r="I1954" s="158">
        <v>26.009166</v>
      </c>
      <c r="J1954" s="158">
        <v>44.882674</v>
      </c>
      <c r="K1954" s="157" t="s">
        <v>5836</v>
      </c>
      <c r="L1954" s="157" t="s">
        <v>648</v>
      </c>
      <c r="M1954" s="158">
        <v>2022.0</v>
      </c>
      <c r="N1954" s="157" t="s">
        <v>649</v>
      </c>
      <c r="O1954" s="157" t="s">
        <v>650</v>
      </c>
      <c r="P1954" s="161" t="b">
        <v>0</v>
      </c>
      <c r="Q1954" s="158">
        <v>0.179</v>
      </c>
      <c r="R1954" s="158">
        <v>0.0</v>
      </c>
      <c r="S1954" s="158">
        <v>0.179</v>
      </c>
      <c r="T1954" s="157" t="s">
        <v>594</v>
      </c>
      <c r="U1954" s="46" t="s">
        <v>651</v>
      </c>
      <c r="V1954" s="46" t="b">
        <v>1</v>
      </c>
      <c r="W1954" s="46">
        <v>0.95</v>
      </c>
      <c r="X1954" s="46">
        <v>0.0</v>
      </c>
      <c r="Y1954" s="46" t="s">
        <v>640</v>
      </c>
      <c r="Z1954" s="46" t="b">
        <v>0</v>
      </c>
      <c r="AA1954" s="46" t="b">
        <v>0</v>
      </c>
    </row>
    <row r="1955">
      <c r="A1955" s="157" t="s">
        <v>576</v>
      </c>
      <c r="B1955" s="158">
        <v>1.0</v>
      </c>
      <c r="C1955" s="157" t="s">
        <v>642</v>
      </c>
      <c r="D1955" s="157" t="s">
        <v>643</v>
      </c>
      <c r="E1955" s="157" t="s">
        <v>644</v>
      </c>
      <c r="F1955" s="157" t="s">
        <v>5837</v>
      </c>
      <c r="G1955" s="157" t="s">
        <v>5838</v>
      </c>
      <c r="H1955" s="157"/>
      <c r="I1955" s="158">
        <v>28.648292</v>
      </c>
      <c r="J1955" s="158">
        <v>44.346828</v>
      </c>
      <c r="K1955" s="157" t="s">
        <v>5839</v>
      </c>
      <c r="L1955" s="157" t="s">
        <v>648</v>
      </c>
      <c r="M1955" s="158">
        <v>2022.0</v>
      </c>
      <c r="N1955" s="157" t="s">
        <v>649</v>
      </c>
      <c r="O1955" s="157" t="s">
        <v>650</v>
      </c>
      <c r="P1955" s="161" t="b">
        <v>0</v>
      </c>
      <c r="Q1955" s="158">
        <v>0.144</v>
      </c>
      <c r="R1955" s="158">
        <v>0.0</v>
      </c>
      <c r="S1955" s="158">
        <v>0.144</v>
      </c>
      <c r="T1955" s="157" t="s">
        <v>594</v>
      </c>
      <c r="U1955" s="46" t="s">
        <v>651</v>
      </c>
      <c r="V1955" s="46" t="b">
        <v>1</v>
      </c>
      <c r="W1955" s="46">
        <v>0.95</v>
      </c>
      <c r="X1955" s="46">
        <v>0.0</v>
      </c>
      <c r="Y1955" s="46">
        <v>152.486394288997</v>
      </c>
      <c r="Z1955" s="46" t="b">
        <v>0</v>
      </c>
      <c r="AA1955" s="46" t="b">
        <v>0</v>
      </c>
    </row>
    <row r="1956">
      <c r="A1956" s="157" t="s">
        <v>576</v>
      </c>
      <c r="B1956" s="158">
        <v>1.0</v>
      </c>
      <c r="C1956" s="157" t="s">
        <v>642</v>
      </c>
      <c r="D1956" s="157" t="s">
        <v>643</v>
      </c>
      <c r="E1956" s="157" t="s">
        <v>644</v>
      </c>
      <c r="F1956" s="157" t="s">
        <v>5840</v>
      </c>
      <c r="G1956" s="157" t="s">
        <v>5841</v>
      </c>
      <c r="H1956" s="157"/>
      <c r="I1956" s="158">
        <v>28.607716</v>
      </c>
      <c r="J1956" s="158">
        <v>44.158228</v>
      </c>
      <c r="K1956" s="157" t="s">
        <v>5842</v>
      </c>
      <c r="L1956" s="157" t="s">
        <v>648</v>
      </c>
      <c r="M1956" s="158">
        <v>2022.0</v>
      </c>
      <c r="N1956" s="157" t="s">
        <v>649</v>
      </c>
      <c r="O1956" s="157" t="s">
        <v>650</v>
      </c>
      <c r="P1956" s="161" t="b">
        <v>0</v>
      </c>
      <c r="Q1956" s="158">
        <v>0.12</v>
      </c>
      <c r="R1956" s="158">
        <v>0.0</v>
      </c>
      <c r="S1956" s="158">
        <v>0.12</v>
      </c>
      <c r="T1956" s="157" t="s">
        <v>594</v>
      </c>
      <c r="U1956" s="46" t="s">
        <v>651</v>
      </c>
      <c r="V1956" s="46" t="b">
        <v>1</v>
      </c>
      <c r="W1956" s="46">
        <v>0.95</v>
      </c>
      <c r="X1956" s="46">
        <v>0.0</v>
      </c>
      <c r="Y1956" s="46">
        <v>132.93683145805</v>
      </c>
      <c r="Z1956" s="46" t="b">
        <v>0</v>
      </c>
      <c r="AA1956" s="46" t="b">
        <v>0</v>
      </c>
    </row>
    <row r="1957">
      <c r="A1957" s="157" t="s">
        <v>577</v>
      </c>
      <c r="B1957" s="158">
        <v>1.0</v>
      </c>
      <c r="C1957" s="157" t="s">
        <v>642</v>
      </c>
      <c r="D1957" s="157" t="s">
        <v>643</v>
      </c>
      <c r="E1957" s="157" t="s">
        <v>644</v>
      </c>
      <c r="F1957" s="157" t="s">
        <v>5843</v>
      </c>
      <c r="G1957" s="157" t="s">
        <v>5844</v>
      </c>
      <c r="H1957" s="157"/>
      <c r="I1957" s="158">
        <v>15.053442</v>
      </c>
      <c r="J1957" s="158">
        <v>46.372286</v>
      </c>
      <c r="K1957" s="157" t="s">
        <v>5845</v>
      </c>
      <c r="L1957" s="157" t="s">
        <v>648</v>
      </c>
      <c r="M1957" s="158">
        <v>2022.0</v>
      </c>
      <c r="N1957" s="157" t="s">
        <v>649</v>
      </c>
      <c r="O1957" s="157" t="s">
        <v>650</v>
      </c>
      <c r="P1957" s="161" t="b">
        <v>0</v>
      </c>
      <c r="Q1957" s="158">
        <v>2.660753</v>
      </c>
      <c r="R1957" s="158">
        <v>0.0</v>
      </c>
      <c r="S1957" s="158">
        <v>2.660753</v>
      </c>
      <c r="T1957" s="157" t="s">
        <v>594</v>
      </c>
      <c r="U1957" s="46" t="s">
        <v>651</v>
      </c>
      <c r="V1957" s="46" t="b">
        <v>1</v>
      </c>
      <c r="W1957" s="46">
        <v>0.95</v>
      </c>
      <c r="X1957" s="46">
        <v>0.0</v>
      </c>
      <c r="Y1957" s="46" t="s">
        <v>640</v>
      </c>
      <c r="Z1957" s="46" t="b">
        <v>0</v>
      </c>
      <c r="AA1957" s="46" t="b">
        <v>0</v>
      </c>
    </row>
    <row r="1958">
      <c r="A1958" s="157" t="s">
        <v>554</v>
      </c>
      <c r="B1958" s="158">
        <v>1.0</v>
      </c>
      <c r="C1958" s="157" t="s">
        <v>642</v>
      </c>
      <c r="D1958" s="157" t="s">
        <v>643</v>
      </c>
      <c r="E1958" s="157" t="s">
        <v>644</v>
      </c>
      <c r="F1958" s="157" t="s">
        <v>5846</v>
      </c>
      <c r="G1958" s="157" t="s">
        <v>5847</v>
      </c>
      <c r="H1958" s="157"/>
      <c r="I1958" s="158">
        <v>22.21368</v>
      </c>
      <c r="J1958" s="158">
        <v>65.56796</v>
      </c>
      <c r="K1958" s="157" t="s">
        <v>5167</v>
      </c>
      <c r="L1958" s="157" t="s">
        <v>648</v>
      </c>
      <c r="M1958" s="158">
        <v>2022.0</v>
      </c>
      <c r="N1958" s="157" t="s">
        <v>649</v>
      </c>
      <c r="O1958" s="157" t="s">
        <v>650</v>
      </c>
      <c r="P1958" s="161" t="b">
        <v>0</v>
      </c>
      <c r="Q1958" s="158">
        <v>1.57</v>
      </c>
      <c r="R1958" s="158">
        <v>0.0</v>
      </c>
      <c r="S1958" s="158">
        <v>1.57</v>
      </c>
      <c r="T1958" s="157" t="s">
        <v>594</v>
      </c>
      <c r="U1958" s="46" t="s">
        <v>651</v>
      </c>
      <c r="V1958" s="46" t="b">
        <v>1</v>
      </c>
      <c r="W1958" s="46">
        <v>0.95</v>
      </c>
      <c r="X1958" s="46">
        <v>0.0</v>
      </c>
      <c r="Y1958" s="46" t="s">
        <v>640</v>
      </c>
      <c r="Z1958" s="46" t="b">
        <v>0</v>
      </c>
      <c r="AA1958" s="46" t="b">
        <v>0</v>
      </c>
    </row>
    <row r="1959">
      <c r="A1959" s="157" t="s">
        <v>554</v>
      </c>
      <c r="B1959" s="158">
        <v>1.0</v>
      </c>
      <c r="C1959" s="157" t="s">
        <v>642</v>
      </c>
      <c r="D1959" s="157" t="s">
        <v>643</v>
      </c>
      <c r="E1959" s="157" t="s">
        <v>644</v>
      </c>
      <c r="F1959" s="157" t="s">
        <v>5848</v>
      </c>
      <c r="G1959" s="157" t="s">
        <v>5849</v>
      </c>
      <c r="H1959" s="157"/>
      <c r="I1959" s="158">
        <v>14.83779</v>
      </c>
      <c r="J1959" s="158">
        <v>56.86799</v>
      </c>
      <c r="K1959" s="157" t="s">
        <v>5850</v>
      </c>
      <c r="L1959" s="157" t="s">
        <v>648</v>
      </c>
      <c r="M1959" s="158">
        <v>2022.0</v>
      </c>
      <c r="N1959" s="157" t="s">
        <v>649</v>
      </c>
      <c r="O1959" s="157" t="s">
        <v>650</v>
      </c>
      <c r="P1959" s="161" t="b">
        <v>0</v>
      </c>
      <c r="Q1959" s="158">
        <v>0.357</v>
      </c>
      <c r="R1959" s="158">
        <v>0.0</v>
      </c>
      <c r="S1959" s="158">
        <v>0.357</v>
      </c>
      <c r="T1959" s="157" t="s">
        <v>594</v>
      </c>
      <c r="U1959" s="46" t="s">
        <v>651</v>
      </c>
      <c r="V1959" s="46" t="b">
        <v>1</v>
      </c>
      <c r="W1959" s="46">
        <v>0.95</v>
      </c>
      <c r="X1959" s="46">
        <v>0.0</v>
      </c>
      <c r="Y1959" s="46" t="s">
        <v>640</v>
      </c>
      <c r="Z1959" s="46" t="b">
        <v>0</v>
      </c>
      <c r="AA1959" s="46" t="b">
        <v>0</v>
      </c>
    </row>
    <row r="1960">
      <c r="A1960" s="157" t="s">
        <v>554</v>
      </c>
      <c r="B1960" s="158">
        <v>1.0</v>
      </c>
      <c r="C1960" s="157" t="s">
        <v>642</v>
      </c>
      <c r="D1960" s="157" t="s">
        <v>643</v>
      </c>
      <c r="E1960" s="157" t="s">
        <v>644</v>
      </c>
      <c r="F1960" s="157" t="s">
        <v>5851</v>
      </c>
      <c r="G1960" s="157" t="s">
        <v>5852</v>
      </c>
      <c r="H1960" s="157"/>
      <c r="I1960" s="158">
        <v>14.65081</v>
      </c>
      <c r="J1960" s="158">
        <v>63.20689</v>
      </c>
      <c r="K1960" s="157" t="s">
        <v>5853</v>
      </c>
      <c r="L1960" s="157" t="s">
        <v>648</v>
      </c>
      <c r="M1960" s="158">
        <v>2022.0</v>
      </c>
      <c r="N1960" s="157" t="s">
        <v>649</v>
      </c>
      <c r="O1960" s="157" t="s">
        <v>650</v>
      </c>
      <c r="P1960" s="161" t="b">
        <v>0</v>
      </c>
      <c r="Q1960" s="158">
        <v>0.34</v>
      </c>
      <c r="R1960" s="158">
        <v>0.0</v>
      </c>
      <c r="S1960" s="158">
        <v>0.34</v>
      </c>
      <c r="T1960" s="157" t="s">
        <v>594</v>
      </c>
      <c r="U1960" s="46" t="s">
        <v>651</v>
      </c>
      <c r="V1960" s="46" t="b">
        <v>1</v>
      </c>
      <c r="W1960" s="46">
        <v>0.95</v>
      </c>
      <c r="X1960" s="46">
        <v>0.0</v>
      </c>
      <c r="Y1960" s="46" t="s">
        <v>640</v>
      </c>
      <c r="Z1960" s="46" t="b">
        <v>0</v>
      </c>
      <c r="AA1960" s="46" t="b">
        <v>0</v>
      </c>
    </row>
    <row r="1961">
      <c r="A1961" s="157" t="s">
        <v>554</v>
      </c>
      <c r="B1961" s="158">
        <v>1.0</v>
      </c>
      <c r="C1961" s="157" t="s">
        <v>642</v>
      </c>
      <c r="D1961" s="157" t="s">
        <v>643</v>
      </c>
      <c r="E1961" s="157" t="s">
        <v>644</v>
      </c>
      <c r="F1961" s="157" t="s">
        <v>5854</v>
      </c>
      <c r="G1961" s="157" t="s">
        <v>5855</v>
      </c>
      <c r="H1961" s="157"/>
      <c r="I1961" s="158">
        <v>17.2693</v>
      </c>
      <c r="J1961" s="158">
        <v>60.6839</v>
      </c>
      <c r="K1961" s="157" t="s">
        <v>713</v>
      </c>
      <c r="L1961" s="157" t="s">
        <v>648</v>
      </c>
      <c r="M1961" s="158">
        <v>2022.0</v>
      </c>
      <c r="N1961" s="157" t="s">
        <v>649</v>
      </c>
      <c r="O1961" s="157" t="s">
        <v>650</v>
      </c>
      <c r="P1961" s="161" t="b">
        <v>0</v>
      </c>
      <c r="Q1961" s="158">
        <v>0.28</v>
      </c>
      <c r="R1961" s="158">
        <v>0.0</v>
      </c>
      <c r="S1961" s="158">
        <v>0.28</v>
      </c>
      <c r="T1961" s="157" t="s">
        <v>594</v>
      </c>
      <c r="U1961" s="46" t="s">
        <v>651</v>
      </c>
      <c r="V1961" s="46" t="b">
        <v>1</v>
      </c>
      <c r="W1961" s="46">
        <v>0.95</v>
      </c>
      <c r="X1961" s="46">
        <v>0.0</v>
      </c>
      <c r="Y1961" s="46" t="s">
        <v>640</v>
      </c>
      <c r="Z1961" s="46" t="b">
        <v>0</v>
      </c>
      <c r="AA1961" s="46" t="b">
        <v>0</v>
      </c>
    </row>
    <row r="1962">
      <c r="A1962" s="157" t="s">
        <v>554</v>
      </c>
      <c r="B1962" s="158">
        <v>1.0</v>
      </c>
      <c r="C1962" s="157" t="s">
        <v>642</v>
      </c>
      <c r="D1962" s="157" t="s">
        <v>643</v>
      </c>
      <c r="E1962" s="157" t="s">
        <v>644</v>
      </c>
      <c r="F1962" s="157" t="s">
        <v>5856</v>
      </c>
      <c r="G1962" s="157" t="s">
        <v>5857</v>
      </c>
      <c r="H1962" s="157"/>
      <c r="I1962" s="158">
        <v>18.13086</v>
      </c>
      <c r="J1962" s="158">
        <v>59.15166</v>
      </c>
      <c r="K1962" s="157" t="s">
        <v>5858</v>
      </c>
      <c r="L1962" s="157" t="s">
        <v>648</v>
      </c>
      <c r="M1962" s="158">
        <v>2022.0</v>
      </c>
      <c r="N1962" s="157" t="s">
        <v>649</v>
      </c>
      <c r="O1962" s="157" t="s">
        <v>650</v>
      </c>
      <c r="P1962" s="161" t="b">
        <v>0</v>
      </c>
      <c r="Q1962" s="158">
        <v>0.221</v>
      </c>
      <c r="R1962" s="158">
        <v>0.0</v>
      </c>
      <c r="S1962" s="158">
        <v>0.221</v>
      </c>
      <c r="T1962" s="157" t="s">
        <v>594</v>
      </c>
      <c r="U1962" s="46" t="s">
        <v>651</v>
      </c>
      <c r="V1962" s="46" t="b">
        <v>1</v>
      </c>
      <c r="W1962" s="46">
        <v>0.95</v>
      </c>
      <c r="X1962" s="46">
        <v>0.0</v>
      </c>
      <c r="Y1962" s="46" t="s">
        <v>640</v>
      </c>
      <c r="Z1962" s="46" t="b">
        <v>0</v>
      </c>
      <c r="AA1962" s="46" t="b">
        <v>0</v>
      </c>
    </row>
    <row r="1963">
      <c r="A1963" s="157" t="s">
        <v>554</v>
      </c>
      <c r="B1963" s="158">
        <v>1.0</v>
      </c>
      <c r="C1963" s="157" t="s">
        <v>642</v>
      </c>
      <c r="D1963" s="157" t="s">
        <v>643</v>
      </c>
      <c r="E1963" s="157" t="s">
        <v>644</v>
      </c>
      <c r="F1963" s="157" t="s">
        <v>5859</v>
      </c>
      <c r="G1963" s="157" t="s">
        <v>5860</v>
      </c>
      <c r="H1963" s="157"/>
      <c r="I1963" s="158">
        <v>11.99908</v>
      </c>
      <c r="J1963" s="158">
        <v>57.6401</v>
      </c>
      <c r="K1963" s="157" t="s">
        <v>5861</v>
      </c>
      <c r="L1963" s="157" t="s">
        <v>648</v>
      </c>
      <c r="M1963" s="158">
        <v>2022.0</v>
      </c>
      <c r="N1963" s="157" t="s">
        <v>649</v>
      </c>
      <c r="O1963" s="157" t="s">
        <v>650</v>
      </c>
      <c r="P1963" s="161" t="b">
        <v>0</v>
      </c>
      <c r="Q1963" s="158">
        <v>0.19</v>
      </c>
      <c r="R1963" s="158">
        <v>0.0</v>
      </c>
      <c r="S1963" s="158">
        <v>0.19</v>
      </c>
      <c r="T1963" s="157" t="s">
        <v>594</v>
      </c>
      <c r="U1963" s="46" t="s">
        <v>651</v>
      </c>
      <c r="V1963" s="46" t="b">
        <v>1</v>
      </c>
      <c r="W1963" s="46">
        <v>0.95</v>
      </c>
      <c r="X1963" s="46">
        <v>0.0</v>
      </c>
      <c r="Y1963" s="46">
        <v>133.615481721485</v>
      </c>
      <c r="Z1963" s="46" t="b">
        <v>0</v>
      </c>
      <c r="AA1963" s="46" t="b">
        <v>0</v>
      </c>
    </row>
    <row r="1964">
      <c r="A1964" s="157" t="s">
        <v>554</v>
      </c>
      <c r="B1964" s="158">
        <v>1.0</v>
      </c>
      <c r="C1964" s="157" t="s">
        <v>642</v>
      </c>
      <c r="D1964" s="157" t="s">
        <v>643</v>
      </c>
      <c r="E1964" s="157" t="s">
        <v>644</v>
      </c>
      <c r="F1964" s="157" t="s">
        <v>5862</v>
      </c>
      <c r="G1964" s="157" t="s">
        <v>5863</v>
      </c>
      <c r="H1964" s="157"/>
      <c r="I1964" s="158">
        <v>14.83397</v>
      </c>
      <c r="J1964" s="158">
        <v>56.15316</v>
      </c>
      <c r="K1964" s="157" t="s">
        <v>5864</v>
      </c>
      <c r="L1964" s="157" t="s">
        <v>648</v>
      </c>
      <c r="M1964" s="158">
        <v>2022.0</v>
      </c>
      <c r="N1964" s="157" t="s">
        <v>649</v>
      </c>
      <c r="O1964" s="157" t="s">
        <v>650</v>
      </c>
      <c r="P1964" s="161" t="b">
        <v>0</v>
      </c>
      <c r="Q1964" s="158">
        <v>0.171</v>
      </c>
      <c r="R1964" s="158">
        <v>0.0</v>
      </c>
      <c r="S1964" s="158">
        <v>0.171</v>
      </c>
      <c r="T1964" s="157" t="s">
        <v>594</v>
      </c>
      <c r="U1964" s="46" t="s">
        <v>651</v>
      </c>
      <c r="V1964" s="46" t="b">
        <v>1</v>
      </c>
      <c r="W1964" s="46">
        <v>0.95</v>
      </c>
      <c r="X1964" s="46">
        <v>0.0</v>
      </c>
      <c r="Y1964" s="46" t="s">
        <v>640</v>
      </c>
      <c r="Z1964" s="46" t="b">
        <v>0</v>
      </c>
      <c r="AA1964" s="46" t="b">
        <v>0</v>
      </c>
    </row>
    <row r="1965">
      <c r="A1965" s="157" t="s">
        <v>554</v>
      </c>
      <c r="B1965" s="158">
        <v>1.0</v>
      </c>
      <c r="C1965" s="157" t="s">
        <v>642</v>
      </c>
      <c r="D1965" s="157" t="s">
        <v>643</v>
      </c>
      <c r="E1965" s="157" t="s">
        <v>644</v>
      </c>
      <c r="F1965" s="157" t="s">
        <v>5865</v>
      </c>
      <c r="G1965" s="157" t="s">
        <v>5866</v>
      </c>
      <c r="H1965" s="157"/>
      <c r="I1965" s="158">
        <v>17.13577</v>
      </c>
      <c r="J1965" s="158">
        <v>60.6347</v>
      </c>
      <c r="K1965" s="157" t="s">
        <v>5867</v>
      </c>
      <c r="L1965" s="157" t="s">
        <v>648</v>
      </c>
      <c r="M1965" s="158">
        <v>2022.0</v>
      </c>
      <c r="N1965" s="157" t="s">
        <v>649</v>
      </c>
      <c r="O1965" s="157" t="s">
        <v>650</v>
      </c>
      <c r="P1965" s="161" t="b">
        <v>0</v>
      </c>
      <c r="Q1965" s="158">
        <v>0.128</v>
      </c>
      <c r="R1965" s="158">
        <v>0.0</v>
      </c>
      <c r="S1965" s="158">
        <v>0.128</v>
      </c>
      <c r="T1965" s="157" t="s">
        <v>594</v>
      </c>
      <c r="U1965" s="46" t="s">
        <v>651</v>
      </c>
      <c r="V1965" s="46" t="b">
        <v>1</v>
      </c>
      <c r="W1965" s="46">
        <v>0.95</v>
      </c>
      <c r="X1965" s="46">
        <v>0.0</v>
      </c>
      <c r="Y1965" s="46" t="s">
        <v>640</v>
      </c>
      <c r="Z1965" s="46" t="b">
        <v>0</v>
      </c>
      <c r="AA1965" s="46" t="b">
        <v>0</v>
      </c>
    </row>
    <row r="1966">
      <c r="A1966" s="157" t="s">
        <v>563</v>
      </c>
      <c r="B1966" s="158">
        <v>1.0</v>
      </c>
      <c r="C1966" s="157" t="s">
        <v>642</v>
      </c>
      <c r="D1966" s="157" t="s">
        <v>643</v>
      </c>
      <c r="E1966" s="157" t="s">
        <v>644</v>
      </c>
      <c r="F1966" s="157" t="s">
        <v>5868</v>
      </c>
      <c r="G1966" s="157" t="s">
        <v>5869</v>
      </c>
      <c r="H1966" s="157"/>
      <c r="I1966" s="158">
        <v>-0.62002078</v>
      </c>
      <c r="J1966" s="158">
        <v>53.581236</v>
      </c>
      <c r="K1966" s="157" t="s">
        <v>5870</v>
      </c>
      <c r="L1966" s="157" t="s">
        <v>648</v>
      </c>
      <c r="M1966" s="158">
        <v>2019.0</v>
      </c>
      <c r="N1966" s="157" t="s">
        <v>649</v>
      </c>
      <c r="O1966" s="157" t="s">
        <v>650</v>
      </c>
      <c r="P1966" s="161" t="b">
        <v>0</v>
      </c>
      <c r="Q1966" s="158">
        <v>4.53</v>
      </c>
      <c r="R1966" s="158">
        <v>0.0</v>
      </c>
      <c r="S1966" s="158">
        <v>4.53</v>
      </c>
      <c r="T1966" s="157" t="s">
        <v>594</v>
      </c>
      <c r="U1966" s="46" t="s">
        <v>651</v>
      </c>
      <c r="V1966" s="46" t="b">
        <v>1</v>
      </c>
      <c r="W1966" s="46">
        <v>0.95</v>
      </c>
      <c r="X1966" s="46">
        <v>0.0</v>
      </c>
      <c r="Y1966" s="46">
        <v>2.58657697718791</v>
      </c>
      <c r="Z1966" s="46" t="b">
        <v>1</v>
      </c>
      <c r="AA1966" s="46" t="b">
        <v>1</v>
      </c>
    </row>
    <row r="1967">
      <c r="A1967" s="157" t="s">
        <v>563</v>
      </c>
      <c r="B1967" s="158">
        <v>1.0</v>
      </c>
      <c r="C1967" s="157" t="s">
        <v>642</v>
      </c>
      <c r="D1967" s="157" t="s">
        <v>643</v>
      </c>
      <c r="E1967" s="157" t="s">
        <v>644</v>
      </c>
      <c r="F1967" s="157" t="s">
        <v>5871</v>
      </c>
      <c r="G1967" s="157" t="s">
        <v>5872</v>
      </c>
      <c r="H1967" s="157"/>
      <c r="I1967" s="158">
        <v>-5.0002</v>
      </c>
      <c r="J1967" s="158">
        <v>51.6838</v>
      </c>
      <c r="K1967" s="157" t="s">
        <v>5873</v>
      </c>
      <c r="L1967" s="157" t="s">
        <v>648</v>
      </c>
      <c r="M1967" s="158">
        <v>2019.0</v>
      </c>
      <c r="N1967" s="157" t="s">
        <v>649</v>
      </c>
      <c r="O1967" s="157" t="s">
        <v>650</v>
      </c>
      <c r="P1967" s="161" t="b">
        <v>0</v>
      </c>
      <c r="Q1967" s="158">
        <v>4.28</v>
      </c>
      <c r="R1967" s="158">
        <v>0.0</v>
      </c>
      <c r="S1967" s="158">
        <v>4.28</v>
      </c>
      <c r="T1967" s="157" t="s">
        <v>594</v>
      </c>
      <c r="U1967" s="46" t="s">
        <v>651</v>
      </c>
      <c r="V1967" s="46" t="b">
        <v>1</v>
      </c>
      <c r="W1967" s="46">
        <v>0.95</v>
      </c>
      <c r="X1967" s="46">
        <v>0.0</v>
      </c>
      <c r="Y1967" s="46" t="s">
        <v>640</v>
      </c>
      <c r="Z1967" s="46" t="b">
        <v>0</v>
      </c>
      <c r="AA1967" s="46" t="b">
        <v>0</v>
      </c>
    </row>
    <row r="1968">
      <c r="A1968" s="157" t="s">
        <v>563</v>
      </c>
      <c r="B1968" s="158">
        <v>1.0</v>
      </c>
      <c r="C1968" s="157" t="s">
        <v>642</v>
      </c>
      <c r="D1968" s="157" t="s">
        <v>643</v>
      </c>
      <c r="E1968" s="157" t="s">
        <v>644</v>
      </c>
      <c r="F1968" s="157" t="s">
        <v>5874</v>
      </c>
      <c r="G1968" s="157" t="s">
        <v>5875</v>
      </c>
      <c r="H1968" s="157"/>
      <c r="I1968" s="158">
        <v>-0.86486931</v>
      </c>
      <c r="J1968" s="158">
        <v>53.077899</v>
      </c>
      <c r="K1968" s="157" t="s">
        <v>5876</v>
      </c>
      <c r="L1968" s="157" t="s">
        <v>648</v>
      </c>
      <c r="M1968" s="158">
        <v>2019.0</v>
      </c>
      <c r="N1968" s="157" t="s">
        <v>649</v>
      </c>
      <c r="O1968" s="157" t="s">
        <v>650</v>
      </c>
      <c r="P1968" s="161" t="b">
        <v>0</v>
      </c>
      <c r="Q1968" s="158">
        <v>3.42</v>
      </c>
      <c r="R1968" s="158">
        <v>0.0</v>
      </c>
      <c r="S1968" s="158">
        <v>3.42</v>
      </c>
      <c r="T1968" s="157" t="s">
        <v>594</v>
      </c>
      <c r="U1968" s="46" t="s">
        <v>651</v>
      </c>
      <c r="V1968" s="46" t="b">
        <v>1</v>
      </c>
      <c r="W1968" s="46">
        <v>0.95</v>
      </c>
      <c r="X1968" s="46">
        <v>0.0</v>
      </c>
      <c r="Y1968" s="46">
        <v>52.0793095571405</v>
      </c>
      <c r="Z1968" s="46" t="b">
        <v>0</v>
      </c>
      <c r="AA1968" s="46" t="b">
        <v>1</v>
      </c>
    </row>
    <row r="1969">
      <c r="A1969" s="157" t="s">
        <v>563</v>
      </c>
      <c r="B1969" s="158">
        <v>1.0</v>
      </c>
      <c r="C1969" s="157" t="s">
        <v>642</v>
      </c>
      <c r="D1969" s="157" t="s">
        <v>643</v>
      </c>
      <c r="E1969" s="157" t="s">
        <v>644</v>
      </c>
      <c r="F1969" s="157" t="s">
        <v>5877</v>
      </c>
      <c r="G1969" s="157" t="s">
        <v>5878</v>
      </c>
      <c r="H1969" s="157"/>
      <c r="I1969" s="158">
        <v>-0.23947463</v>
      </c>
      <c r="J1969" s="158">
        <v>53.636561</v>
      </c>
      <c r="K1969" s="157" t="s">
        <v>5879</v>
      </c>
      <c r="L1969" s="157" t="s">
        <v>648</v>
      </c>
      <c r="M1969" s="158">
        <v>2019.0</v>
      </c>
      <c r="N1969" s="157" t="s">
        <v>649</v>
      </c>
      <c r="O1969" s="157" t="s">
        <v>650</v>
      </c>
      <c r="P1969" s="161" t="b">
        <v>0</v>
      </c>
      <c r="Q1969" s="158">
        <v>3.36</v>
      </c>
      <c r="R1969" s="158">
        <v>0.0</v>
      </c>
      <c r="S1969" s="158">
        <v>3.36</v>
      </c>
      <c r="T1969" s="157" t="s">
        <v>594</v>
      </c>
      <c r="U1969" s="46" t="s">
        <v>651</v>
      </c>
      <c r="V1969" s="46" t="b">
        <v>1</v>
      </c>
      <c r="W1969" s="46">
        <v>0.95</v>
      </c>
      <c r="X1969" s="46">
        <v>0.0</v>
      </c>
      <c r="Y1969" s="46">
        <v>3.12596303645767</v>
      </c>
      <c r="Z1969" s="46" t="b">
        <v>1</v>
      </c>
      <c r="AA1969" s="46" t="b">
        <v>1</v>
      </c>
    </row>
    <row r="1970">
      <c r="A1970" s="157" t="s">
        <v>563</v>
      </c>
      <c r="B1970" s="158">
        <v>1.0</v>
      </c>
      <c r="C1970" s="157" t="s">
        <v>642</v>
      </c>
      <c r="D1970" s="157" t="s">
        <v>643</v>
      </c>
      <c r="E1970" s="157" t="s">
        <v>644</v>
      </c>
      <c r="F1970" s="157" t="s">
        <v>5880</v>
      </c>
      <c r="G1970" s="157" t="s">
        <v>5881</v>
      </c>
      <c r="H1970" s="157"/>
      <c r="I1970" s="158">
        <v>-0.41534129</v>
      </c>
      <c r="J1970" s="158">
        <v>53.524674</v>
      </c>
      <c r="K1970" s="157" t="s">
        <v>5882</v>
      </c>
      <c r="L1970" s="157" t="s">
        <v>648</v>
      </c>
      <c r="M1970" s="158">
        <v>2019.0</v>
      </c>
      <c r="N1970" s="157" t="s">
        <v>649</v>
      </c>
      <c r="O1970" s="157" t="s">
        <v>650</v>
      </c>
      <c r="P1970" s="161" t="b">
        <v>0</v>
      </c>
      <c r="Q1970" s="158">
        <v>2.77</v>
      </c>
      <c r="R1970" s="158">
        <v>0.0</v>
      </c>
      <c r="S1970" s="158">
        <v>2.77</v>
      </c>
      <c r="T1970" s="157" t="s">
        <v>594</v>
      </c>
      <c r="U1970" s="46" t="s">
        <v>651</v>
      </c>
      <c r="V1970" s="46" t="b">
        <v>1</v>
      </c>
      <c r="W1970" s="46">
        <v>0.95</v>
      </c>
      <c r="X1970" s="46">
        <v>0.0</v>
      </c>
      <c r="Y1970" s="46">
        <v>8.56209884411244</v>
      </c>
      <c r="Z1970" s="46" t="b">
        <v>1</v>
      </c>
      <c r="AA1970" s="46" t="b">
        <v>1</v>
      </c>
    </row>
    <row r="1971">
      <c r="A1971" s="157" t="s">
        <v>563</v>
      </c>
      <c r="B1971" s="158">
        <v>1.0</v>
      </c>
      <c r="C1971" s="157" t="s">
        <v>642</v>
      </c>
      <c r="D1971" s="157" t="s">
        <v>643</v>
      </c>
      <c r="E1971" s="157" t="s">
        <v>644</v>
      </c>
      <c r="F1971" s="157" t="s">
        <v>5883</v>
      </c>
      <c r="G1971" s="157" t="s">
        <v>5884</v>
      </c>
      <c r="H1971" s="157"/>
      <c r="I1971" s="158">
        <v>0.71282154</v>
      </c>
      <c r="J1971" s="158">
        <v>51.444375</v>
      </c>
      <c r="K1971" s="157" t="s">
        <v>5885</v>
      </c>
      <c r="L1971" s="157" t="s">
        <v>648</v>
      </c>
      <c r="M1971" s="158">
        <v>2019.0</v>
      </c>
      <c r="N1971" s="157" t="s">
        <v>649</v>
      </c>
      <c r="O1971" s="157" t="s">
        <v>650</v>
      </c>
      <c r="P1971" s="161" t="b">
        <v>0</v>
      </c>
      <c r="Q1971" s="158">
        <v>2.44</v>
      </c>
      <c r="R1971" s="158">
        <v>0.0</v>
      </c>
      <c r="S1971" s="158">
        <v>2.44</v>
      </c>
      <c r="T1971" s="157" t="s">
        <v>594</v>
      </c>
      <c r="U1971" s="46" t="s">
        <v>651</v>
      </c>
      <c r="V1971" s="46" t="b">
        <v>1</v>
      </c>
      <c r="W1971" s="46">
        <v>0.95</v>
      </c>
      <c r="X1971" s="46">
        <v>0.0</v>
      </c>
      <c r="Y1971" s="46">
        <v>95.9362478596318</v>
      </c>
      <c r="Z1971" s="46" t="b">
        <v>0</v>
      </c>
      <c r="AA1971" s="46" t="b">
        <v>1</v>
      </c>
    </row>
    <row r="1972">
      <c r="A1972" s="157" t="s">
        <v>563</v>
      </c>
      <c r="B1972" s="158">
        <v>1.0</v>
      </c>
      <c r="C1972" s="157" t="s">
        <v>642</v>
      </c>
      <c r="D1972" s="157" t="s">
        <v>643</v>
      </c>
      <c r="E1972" s="157" t="s">
        <v>644</v>
      </c>
      <c r="F1972" s="157" t="s">
        <v>5886</v>
      </c>
      <c r="G1972" s="157" t="s">
        <v>5887</v>
      </c>
      <c r="H1972" s="157"/>
      <c r="I1972" s="158">
        <v>-1.2690166</v>
      </c>
      <c r="J1972" s="158">
        <v>51.623643</v>
      </c>
      <c r="K1972" s="157" t="s">
        <v>5888</v>
      </c>
      <c r="L1972" s="157" t="s">
        <v>648</v>
      </c>
      <c r="M1972" s="158">
        <v>2019.0</v>
      </c>
      <c r="N1972" s="157" t="s">
        <v>649</v>
      </c>
      <c r="O1972" s="157" t="s">
        <v>650</v>
      </c>
      <c r="P1972" s="161" t="b">
        <v>0</v>
      </c>
      <c r="Q1972" s="158">
        <v>2.39</v>
      </c>
      <c r="R1972" s="158">
        <v>0.0</v>
      </c>
      <c r="S1972" s="158">
        <v>2.39</v>
      </c>
      <c r="T1972" s="157" t="s">
        <v>594</v>
      </c>
      <c r="U1972" s="46" t="s">
        <v>651</v>
      </c>
      <c r="V1972" s="46" t="b">
        <v>1</v>
      </c>
      <c r="W1972" s="46">
        <v>0.95</v>
      </c>
      <c r="X1972" s="46">
        <v>0.0</v>
      </c>
      <c r="Y1972" s="46" t="s">
        <v>640</v>
      </c>
      <c r="Z1972" s="46" t="b">
        <v>0</v>
      </c>
      <c r="AA1972" s="46" t="b">
        <v>0</v>
      </c>
    </row>
    <row r="1973">
      <c r="A1973" s="157" t="s">
        <v>563</v>
      </c>
      <c r="B1973" s="158">
        <v>1.0</v>
      </c>
      <c r="C1973" s="157" t="s">
        <v>642</v>
      </c>
      <c r="D1973" s="157" t="s">
        <v>643</v>
      </c>
      <c r="E1973" s="157" t="s">
        <v>644</v>
      </c>
      <c r="F1973" s="157" t="s">
        <v>5889</v>
      </c>
      <c r="G1973" s="157" t="s">
        <v>5890</v>
      </c>
      <c r="H1973" s="157"/>
      <c r="I1973" s="158">
        <v>-0.79927458</v>
      </c>
      <c r="J1973" s="158">
        <v>53.363927</v>
      </c>
      <c r="K1973" s="157" t="s">
        <v>5891</v>
      </c>
      <c r="L1973" s="157" t="s">
        <v>648</v>
      </c>
      <c r="M1973" s="158">
        <v>2019.0</v>
      </c>
      <c r="N1973" s="157" t="s">
        <v>649</v>
      </c>
      <c r="O1973" s="157" t="s">
        <v>650</v>
      </c>
      <c r="P1973" s="161" t="b">
        <v>0</v>
      </c>
      <c r="Q1973" s="158">
        <v>2.38</v>
      </c>
      <c r="R1973" s="158">
        <v>0.0</v>
      </c>
      <c r="S1973" s="158">
        <v>2.38</v>
      </c>
      <c r="T1973" s="157" t="s">
        <v>594</v>
      </c>
      <c r="U1973" s="46" t="s">
        <v>651</v>
      </c>
      <c r="V1973" s="46" t="b">
        <v>1</v>
      </c>
      <c r="W1973" s="46">
        <v>0.95</v>
      </c>
      <c r="X1973" s="46">
        <v>0.0</v>
      </c>
      <c r="Y1973" s="46">
        <v>22.2604691762996</v>
      </c>
      <c r="Z1973" s="46" t="b">
        <v>1</v>
      </c>
      <c r="AA1973" s="46" t="b">
        <v>1</v>
      </c>
    </row>
    <row r="1974">
      <c r="A1974" s="157" t="s">
        <v>563</v>
      </c>
      <c r="B1974" s="158">
        <v>1.0</v>
      </c>
      <c r="C1974" s="157" t="s">
        <v>642</v>
      </c>
      <c r="D1974" s="157" t="s">
        <v>643</v>
      </c>
      <c r="E1974" s="157" t="s">
        <v>644</v>
      </c>
      <c r="F1974" s="157" t="s">
        <v>5892</v>
      </c>
      <c r="G1974" s="157" t="s">
        <v>5893</v>
      </c>
      <c r="H1974" s="157"/>
      <c r="I1974" s="158">
        <v>-1.5390161</v>
      </c>
      <c r="J1974" s="158">
        <v>55.20069</v>
      </c>
      <c r="K1974" s="157" t="s">
        <v>5894</v>
      </c>
      <c r="L1974" s="157" t="s">
        <v>648</v>
      </c>
      <c r="M1974" s="158">
        <v>2019.0</v>
      </c>
      <c r="N1974" s="157" t="s">
        <v>649</v>
      </c>
      <c r="O1974" s="157" t="s">
        <v>650</v>
      </c>
      <c r="P1974" s="161" t="b">
        <v>0</v>
      </c>
      <c r="Q1974" s="158">
        <v>2.37</v>
      </c>
      <c r="R1974" s="158">
        <v>0.0</v>
      </c>
      <c r="S1974" s="158">
        <v>2.37</v>
      </c>
      <c r="T1974" s="157" t="s">
        <v>594</v>
      </c>
      <c r="U1974" s="46" t="s">
        <v>651</v>
      </c>
      <c r="V1974" s="46" t="b">
        <v>1</v>
      </c>
      <c r="W1974" s="46">
        <v>0.95</v>
      </c>
      <c r="X1974" s="46">
        <v>0.0</v>
      </c>
      <c r="Y1974" s="46">
        <v>78.3900110098284</v>
      </c>
      <c r="Z1974" s="46" t="b">
        <v>0</v>
      </c>
      <c r="AA1974" s="46" t="b">
        <v>1</v>
      </c>
    </row>
    <row r="1975">
      <c r="A1975" s="157" t="s">
        <v>563</v>
      </c>
      <c r="B1975" s="158">
        <v>1.0</v>
      </c>
      <c r="C1975" s="157" t="s">
        <v>642</v>
      </c>
      <c r="D1975" s="157" t="s">
        <v>643</v>
      </c>
      <c r="E1975" s="157" t="s">
        <v>644</v>
      </c>
      <c r="F1975" s="157" t="s">
        <v>5895</v>
      </c>
      <c r="G1975" s="157" t="s">
        <v>5896</v>
      </c>
      <c r="H1975" s="157"/>
      <c r="I1975" s="158">
        <v>-0.24406367</v>
      </c>
      <c r="J1975" s="158">
        <v>53.631684</v>
      </c>
      <c r="K1975" s="157" t="s">
        <v>5897</v>
      </c>
      <c r="L1975" s="157" t="s">
        <v>648</v>
      </c>
      <c r="M1975" s="158">
        <v>2019.0</v>
      </c>
      <c r="N1975" s="157" t="s">
        <v>649</v>
      </c>
      <c r="O1975" s="157" t="s">
        <v>650</v>
      </c>
      <c r="P1975" s="161" t="b">
        <v>0</v>
      </c>
      <c r="Q1975" s="158">
        <v>2.08</v>
      </c>
      <c r="R1975" s="158">
        <v>0.0</v>
      </c>
      <c r="S1975" s="158">
        <v>2.08</v>
      </c>
      <c r="T1975" s="157" t="s">
        <v>594</v>
      </c>
      <c r="U1975" s="46" t="s">
        <v>651</v>
      </c>
      <c r="V1975" s="46" t="b">
        <v>1</v>
      </c>
      <c r="W1975" s="46">
        <v>0.95</v>
      </c>
      <c r="X1975" s="46">
        <v>0.0</v>
      </c>
      <c r="Y1975" s="46">
        <v>3.74571505146572</v>
      </c>
      <c r="Z1975" s="46" t="b">
        <v>1</v>
      </c>
      <c r="AA1975" s="46" t="b">
        <v>1</v>
      </c>
    </row>
    <row r="1976">
      <c r="A1976" s="157" t="s">
        <v>563</v>
      </c>
      <c r="B1976" s="158">
        <v>1.0</v>
      </c>
      <c r="C1976" s="157" t="s">
        <v>642</v>
      </c>
      <c r="D1976" s="157" t="s">
        <v>643</v>
      </c>
      <c r="E1976" s="157" t="s">
        <v>644</v>
      </c>
      <c r="F1976" s="157" t="s">
        <v>5898</v>
      </c>
      <c r="G1976" s="157" t="s">
        <v>5899</v>
      </c>
      <c r="H1976" s="157"/>
      <c r="I1976" s="158">
        <v>-0.14480713</v>
      </c>
      <c r="J1976" s="158">
        <v>53.6016</v>
      </c>
      <c r="K1976" s="157" t="s">
        <v>5900</v>
      </c>
      <c r="L1976" s="157" t="s">
        <v>648</v>
      </c>
      <c r="M1976" s="158">
        <v>2019.0</v>
      </c>
      <c r="N1976" s="157" t="s">
        <v>649</v>
      </c>
      <c r="O1976" s="157" t="s">
        <v>650</v>
      </c>
      <c r="P1976" s="161" t="b">
        <v>0</v>
      </c>
      <c r="Q1976" s="158">
        <v>1.99</v>
      </c>
      <c r="R1976" s="158">
        <v>0.0</v>
      </c>
      <c r="S1976" s="158">
        <v>1.99</v>
      </c>
      <c r="T1976" s="157" t="s">
        <v>594</v>
      </c>
      <c r="U1976" s="46" t="s">
        <v>651</v>
      </c>
      <c r="V1976" s="46" t="b">
        <v>1</v>
      </c>
      <c r="W1976" s="46">
        <v>0.95</v>
      </c>
      <c r="X1976" s="46">
        <v>0.0</v>
      </c>
      <c r="Y1976" s="46">
        <v>4.07327389314213</v>
      </c>
      <c r="Z1976" s="46" t="b">
        <v>1</v>
      </c>
      <c r="AA1976" s="46" t="b">
        <v>1</v>
      </c>
    </row>
    <row r="1977">
      <c r="A1977" s="157" t="s">
        <v>563</v>
      </c>
      <c r="B1977" s="158">
        <v>1.0</v>
      </c>
      <c r="C1977" s="157" t="s">
        <v>642</v>
      </c>
      <c r="D1977" s="157" t="s">
        <v>643</v>
      </c>
      <c r="E1977" s="157" t="s">
        <v>644</v>
      </c>
      <c r="F1977" s="157" t="s">
        <v>5901</v>
      </c>
      <c r="G1977" s="157" t="s">
        <v>5902</v>
      </c>
      <c r="H1977" s="157"/>
      <c r="I1977" s="158">
        <v>-0.1321921</v>
      </c>
      <c r="J1977" s="158">
        <v>52.807839</v>
      </c>
      <c r="K1977" s="157" t="s">
        <v>5903</v>
      </c>
      <c r="L1977" s="157" t="s">
        <v>648</v>
      </c>
      <c r="M1977" s="158">
        <v>2019.0</v>
      </c>
      <c r="N1977" s="157" t="s">
        <v>649</v>
      </c>
      <c r="O1977" s="157" t="s">
        <v>650</v>
      </c>
      <c r="P1977" s="161" t="b">
        <v>0</v>
      </c>
      <c r="Q1977" s="158">
        <v>1.71</v>
      </c>
      <c r="R1977" s="158">
        <v>0.0</v>
      </c>
      <c r="S1977" s="158">
        <v>1.71</v>
      </c>
      <c r="T1977" s="157" t="s">
        <v>594</v>
      </c>
      <c r="U1977" s="46" t="s">
        <v>651</v>
      </c>
      <c r="V1977" s="46" t="b">
        <v>1</v>
      </c>
      <c r="W1977" s="46">
        <v>0.95</v>
      </c>
      <c r="X1977" s="46">
        <v>0.0</v>
      </c>
      <c r="Y1977" s="46">
        <v>65.6032090358321</v>
      </c>
      <c r="Z1977" s="46" t="b">
        <v>0</v>
      </c>
      <c r="AA1977" s="46" t="b">
        <v>1</v>
      </c>
    </row>
    <row r="1978">
      <c r="A1978" s="157" t="s">
        <v>563</v>
      </c>
      <c r="B1978" s="158">
        <v>1.0</v>
      </c>
      <c r="C1978" s="157" t="s">
        <v>642</v>
      </c>
      <c r="D1978" s="157" t="s">
        <v>643</v>
      </c>
      <c r="E1978" s="157" t="s">
        <v>644</v>
      </c>
      <c r="F1978" s="157" t="s">
        <v>5904</v>
      </c>
      <c r="G1978" s="157" t="s">
        <v>5905</v>
      </c>
      <c r="H1978" s="157"/>
      <c r="I1978" s="158">
        <v>-1.78838</v>
      </c>
      <c r="J1978" s="158">
        <v>57.4779</v>
      </c>
      <c r="K1978" s="157" t="s">
        <v>4594</v>
      </c>
      <c r="L1978" s="157" t="s">
        <v>648</v>
      </c>
      <c r="M1978" s="158">
        <v>2019.0</v>
      </c>
      <c r="N1978" s="157" t="s">
        <v>649</v>
      </c>
      <c r="O1978" s="157" t="s">
        <v>650</v>
      </c>
      <c r="P1978" s="161" t="b">
        <v>0</v>
      </c>
      <c r="Q1978" s="158">
        <v>1.58</v>
      </c>
      <c r="R1978" s="158">
        <v>0.0</v>
      </c>
      <c r="S1978" s="158">
        <v>1.58</v>
      </c>
      <c r="T1978" s="157" t="s">
        <v>594</v>
      </c>
      <c r="U1978" s="46" t="s">
        <v>651</v>
      </c>
      <c r="V1978" s="46" t="b">
        <v>1</v>
      </c>
      <c r="W1978" s="46">
        <v>0.95</v>
      </c>
      <c r="X1978" s="46">
        <v>0.0</v>
      </c>
      <c r="Y1978" s="46">
        <v>4.4072879043703</v>
      </c>
      <c r="Z1978" s="46" t="b">
        <v>1</v>
      </c>
      <c r="AA1978" s="46" t="b">
        <v>1</v>
      </c>
    </row>
    <row r="1979">
      <c r="A1979" s="157" t="s">
        <v>563</v>
      </c>
      <c r="B1979" s="158">
        <v>1.0</v>
      </c>
      <c r="C1979" s="157" t="s">
        <v>642</v>
      </c>
      <c r="D1979" s="157" t="s">
        <v>643</v>
      </c>
      <c r="E1979" s="157" t="s">
        <v>644</v>
      </c>
      <c r="F1979" s="157" t="s">
        <v>5906</v>
      </c>
      <c r="G1979" s="157" t="s">
        <v>5907</v>
      </c>
      <c r="H1979" s="157"/>
      <c r="I1979" s="158">
        <v>-1.4314543</v>
      </c>
      <c r="J1979" s="158">
        <v>50.897365</v>
      </c>
      <c r="K1979" s="157" t="s">
        <v>5908</v>
      </c>
      <c r="L1979" s="157" t="s">
        <v>648</v>
      </c>
      <c r="M1979" s="158">
        <v>2019.0</v>
      </c>
      <c r="N1979" s="157" t="s">
        <v>649</v>
      </c>
      <c r="O1979" s="157" t="s">
        <v>650</v>
      </c>
      <c r="P1979" s="161" t="b">
        <v>0</v>
      </c>
      <c r="Q1979" s="158">
        <v>1.56</v>
      </c>
      <c r="R1979" s="158">
        <v>0.0</v>
      </c>
      <c r="S1979" s="158">
        <v>1.56</v>
      </c>
      <c r="T1979" s="157" t="s">
        <v>594</v>
      </c>
      <c r="U1979" s="46" t="s">
        <v>651</v>
      </c>
      <c r="V1979" s="46" t="b">
        <v>1</v>
      </c>
      <c r="W1979" s="46">
        <v>0.95</v>
      </c>
      <c r="X1979" s="46">
        <v>0.0</v>
      </c>
      <c r="Y1979" s="46" t="s">
        <v>640</v>
      </c>
      <c r="Z1979" s="46" t="b">
        <v>0</v>
      </c>
      <c r="AA1979" s="46" t="b">
        <v>0</v>
      </c>
    </row>
    <row r="1980">
      <c r="A1980" s="157" t="s">
        <v>563</v>
      </c>
      <c r="B1980" s="158">
        <v>1.0</v>
      </c>
      <c r="C1980" s="157" t="s">
        <v>642</v>
      </c>
      <c r="D1980" s="157" t="s">
        <v>643</v>
      </c>
      <c r="E1980" s="157" t="s">
        <v>644</v>
      </c>
      <c r="F1980" s="157" t="s">
        <v>5909</v>
      </c>
      <c r="G1980" s="157" t="s">
        <v>5910</v>
      </c>
      <c r="H1980" s="157"/>
      <c r="I1980" s="158">
        <v>-2.4109007</v>
      </c>
      <c r="J1980" s="158">
        <v>53.43667</v>
      </c>
      <c r="K1980" s="157" t="s">
        <v>5911</v>
      </c>
      <c r="L1980" s="157" t="s">
        <v>648</v>
      </c>
      <c r="M1980" s="158">
        <v>2019.0</v>
      </c>
      <c r="N1980" s="157" t="s">
        <v>649</v>
      </c>
      <c r="O1980" s="157" t="s">
        <v>650</v>
      </c>
      <c r="P1980" s="161" t="b">
        <v>0</v>
      </c>
      <c r="Q1980" s="158">
        <v>1.49</v>
      </c>
      <c r="R1980" s="158">
        <v>0.0</v>
      </c>
      <c r="S1980" s="158">
        <v>1.49</v>
      </c>
      <c r="T1980" s="157" t="s">
        <v>594</v>
      </c>
      <c r="U1980" s="46" t="s">
        <v>651</v>
      </c>
      <c r="V1980" s="46" t="b">
        <v>1</v>
      </c>
      <c r="W1980" s="46">
        <v>0.95</v>
      </c>
      <c r="X1980" s="46">
        <v>0.0</v>
      </c>
      <c r="Y1980" s="46">
        <v>7.75647355984596</v>
      </c>
      <c r="Z1980" s="46" t="b">
        <v>1</v>
      </c>
      <c r="AA1980" s="46" t="b">
        <v>1</v>
      </c>
    </row>
    <row r="1981">
      <c r="A1981" s="157" t="s">
        <v>563</v>
      </c>
      <c r="B1981" s="158">
        <v>1.0</v>
      </c>
      <c r="C1981" s="157" t="s">
        <v>642</v>
      </c>
      <c r="D1981" s="157" t="s">
        <v>643</v>
      </c>
      <c r="E1981" s="157" t="s">
        <v>644</v>
      </c>
      <c r="F1981" s="157" t="s">
        <v>5912</v>
      </c>
      <c r="G1981" s="157" t="s">
        <v>5913</v>
      </c>
      <c r="H1981" s="157"/>
      <c r="I1981" s="158">
        <v>-0.78176602</v>
      </c>
      <c r="J1981" s="158">
        <v>53.303342</v>
      </c>
      <c r="K1981" s="157" t="s">
        <v>5914</v>
      </c>
      <c r="L1981" s="157" t="s">
        <v>648</v>
      </c>
      <c r="M1981" s="158">
        <v>2019.0</v>
      </c>
      <c r="N1981" s="157" t="s">
        <v>649</v>
      </c>
      <c r="O1981" s="157" t="s">
        <v>650</v>
      </c>
      <c r="P1981" s="161" t="b">
        <v>0</v>
      </c>
      <c r="Q1981" s="158">
        <v>1.38</v>
      </c>
      <c r="R1981" s="158">
        <v>0.0</v>
      </c>
      <c r="S1981" s="158">
        <v>1.38</v>
      </c>
      <c r="T1981" s="157" t="s">
        <v>594</v>
      </c>
      <c r="U1981" s="46" t="s">
        <v>651</v>
      </c>
      <c r="V1981" s="46" t="b">
        <v>1</v>
      </c>
      <c r="W1981" s="46">
        <v>0.95</v>
      </c>
      <c r="X1981" s="46">
        <v>0.0</v>
      </c>
      <c r="Y1981" s="46">
        <v>27.0333219400201</v>
      </c>
      <c r="Z1981" s="46" t="b">
        <v>1</v>
      </c>
      <c r="AA1981" s="46" t="b">
        <v>1</v>
      </c>
    </row>
    <row r="1982">
      <c r="A1982" s="157" t="s">
        <v>563</v>
      </c>
      <c r="B1982" s="158">
        <v>1.0</v>
      </c>
      <c r="C1982" s="157" t="s">
        <v>642</v>
      </c>
      <c r="D1982" s="157" t="s">
        <v>643</v>
      </c>
      <c r="E1982" s="157" t="s">
        <v>644</v>
      </c>
      <c r="F1982" s="157" t="s">
        <v>5915</v>
      </c>
      <c r="G1982" s="157" t="s">
        <v>5916</v>
      </c>
      <c r="H1982" s="157"/>
      <c r="I1982" s="158">
        <v>-2.7255485</v>
      </c>
      <c r="J1982" s="158">
        <v>53.315352</v>
      </c>
      <c r="K1982" s="157" t="s">
        <v>5917</v>
      </c>
      <c r="L1982" s="157" t="s">
        <v>648</v>
      </c>
      <c r="M1982" s="158">
        <v>2019.0</v>
      </c>
      <c r="N1982" s="157" t="s">
        <v>649</v>
      </c>
      <c r="O1982" s="157" t="s">
        <v>650</v>
      </c>
      <c r="P1982" s="161" t="b">
        <v>0</v>
      </c>
      <c r="Q1982" s="158">
        <v>1.28</v>
      </c>
      <c r="R1982" s="158">
        <v>0.0</v>
      </c>
      <c r="S1982" s="158">
        <v>1.28</v>
      </c>
      <c r="T1982" s="157" t="s">
        <v>594</v>
      </c>
      <c r="U1982" s="46" t="s">
        <v>651</v>
      </c>
      <c r="V1982" s="46" t="b">
        <v>1</v>
      </c>
      <c r="W1982" s="46">
        <v>0.95</v>
      </c>
      <c r="X1982" s="46">
        <v>0.0</v>
      </c>
      <c r="Y1982" s="46">
        <v>9.5174260258355</v>
      </c>
      <c r="Z1982" s="46" t="b">
        <v>1</v>
      </c>
      <c r="AA1982" s="46" t="b">
        <v>1</v>
      </c>
    </row>
    <row r="1983">
      <c r="A1983" s="157" t="s">
        <v>563</v>
      </c>
      <c r="B1983" s="158">
        <v>1.0</v>
      </c>
      <c r="C1983" s="157" t="s">
        <v>642</v>
      </c>
      <c r="D1983" s="157" t="s">
        <v>643</v>
      </c>
      <c r="E1983" s="157" t="s">
        <v>644</v>
      </c>
      <c r="F1983" s="157" t="s">
        <v>5918</v>
      </c>
      <c r="G1983" s="157" t="s">
        <v>5919</v>
      </c>
      <c r="H1983" s="157"/>
      <c r="I1983" s="158">
        <v>-0.25703528</v>
      </c>
      <c r="J1983" s="158">
        <v>53.639874</v>
      </c>
      <c r="K1983" s="157" t="s">
        <v>5920</v>
      </c>
      <c r="L1983" s="157" t="s">
        <v>648</v>
      </c>
      <c r="M1983" s="158">
        <v>2019.0</v>
      </c>
      <c r="N1983" s="157" t="s">
        <v>649</v>
      </c>
      <c r="O1983" s="157" t="s">
        <v>650</v>
      </c>
      <c r="P1983" s="161" t="b">
        <v>0</v>
      </c>
      <c r="Q1983" s="158">
        <v>1.23</v>
      </c>
      <c r="R1983" s="158">
        <v>0.0</v>
      </c>
      <c r="S1983" s="158">
        <v>1.23</v>
      </c>
      <c r="T1983" s="157" t="s">
        <v>594</v>
      </c>
      <c r="U1983" s="46" t="s">
        <v>651</v>
      </c>
      <c r="V1983" s="46" t="b">
        <v>1</v>
      </c>
      <c r="W1983" s="46">
        <v>0.95</v>
      </c>
      <c r="X1983" s="46">
        <v>0.0</v>
      </c>
      <c r="Y1983" s="46">
        <v>3.27043919062375</v>
      </c>
      <c r="Z1983" s="46" t="b">
        <v>1</v>
      </c>
      <c r="AA1983" s="46" t="b">
        <v>1</v>
      </c>
    </row>
    <row r="1984">
      <c r="A1984" s="157" t="s">
        <v>563</v>
      </c>
      <c r="B1984" s="158">
        <v>1.0</v>
      </c>
      <c r="C1984" s="157" t="s">
        <v>642</v>
      </c>
      <c r="D1984" s="157" t="s">
        <v>643</v>
      </c>
      <c r="E1984" s="157" t="s">
        <v>644</v>
      </c>
      <c r="F1984" s="157" t="s">
        <v>5921</v>
      </c>
      <c r="G1984" s="157" t="s">
        <v>5922</v>
      </c>
      <c r="H1984" s="157"/>
      <c r="I1984" s="158">
        <v>-2.6883565</v>
      </c>
      <c r="J1984" s="158">
        <v>53.373371</v>
      </c>
      <c r="K1984" s="157" t="s">
        <v>5923</v>
      </c>
      <c r="L1984" s="157" t="s">
        <v>648</v>
      </c>
      <c r="M1984" s="158">
        <v>2019.0</v>
      </c>
      <c r="N1984" s="157" t="s">
        <v>649</v>
      </c>
      <c r="O1984" s="157" t="s">
        <v>650</v>
      </c>
      <c r="P1984" s="161" t="b">
        <v>0</v>
      </c>
      <c r="Q1984" s="158">
        <v>1.19</v>
      </c>
      <c r="R1984" s="158">
        <v>0.0</v>
      </c>
      <c r="S1984" s="158">
        <v>1.19</v>
      </c>
      <c r="T1984" s="157" t="s">
        <v>594</v>
      </c>
      <c r="U1984" s="46" t="s">
        <v>651</v>
      </c>
      <c r="V1984" s="46" t="b">
        <v>1</v>
      </c>
      <c r="W1984" s="46">
        <v>0.95</v>
      </c>
      <c r="X1984" s="46">
        <v>0.0</v>
      </c>
      <c r="Y1984" s="46">
        <v>12.9285048803224</v>
      </c>
      <c r="Z1984" s="46" t="b">
        <v>1</v>
      </c>
      <c r="AA1984" s="46" t="b">
        <v>1</v>
      </c>
    </row>
    <row r="1985">
      <c r="A1985" s="157" t="s">
        <v>563</v>
      </c>
      <c r="B1985" s="158">
        <v>1.0</v>
      </c>
      <c r="C1985" s="157" t="s">
        <v>642</v>
      </c>
      <c r="D1985" s="157" t="s">
        <v>643</v>
      </c>
      <c r="E1985" s="157" t="s">
        <v>644</v>
      </c>
      <c r="F1985" s="157" t="s">
        <v>5924</v>
      </c>
      <c r="G1985" s="157" t="s">
        <v>5925</v>
      </c>
      <c r="H1985" s="157"/>
      <c r="I1985" s="158">
        <v>-5.7864</v>
      </c>
      <c r="J1985" s="158">
        <v>54.845</v>
      </c>
      <c r="K1985" s="157" t="s">
        <v>5926</v>
      </c>
      <c r="L1985" s="157" t="s">
        <v>648</v>
      </c>
      <c r="M1985" s="158">
        <v>2019.0</v>
      </c>
      <c r="N1985" s="157" t="s">
        <v>649</v>
      </c>
      <c r="O1985" s="157" t="s">
        <v>650</v>
      </c>
      <c r="P1985" s="161" t="b">
        <v>0</v>
      </c>
      <c r="Q1985" s="158">
        <v>1.14</v>
      </c>
      <c r="R1985" s="158">
        <v>0.0</v>
      </c>
      <c r="S1985" s="158">
        <v>1.14</v>
      </c>
      <c r="T1985" s="157" t="s">
        <v>594</v>
      </c>
      <c r="U1985" s="46" t="s">
        <v>651</v>
      </c>
      <c r="V1985" s="46" t="b">
        <v>1</v>
      </c>
      <c r="W1985" s="46">
        <v>0.95</v>
      </c>
      <c r="X1985" s="46">
        <v>0.0</v>
      </c>
      <c r="Y1985" s="46" t="s">
        <v>640</v>
      </c>
      <c r="Z1985" s="46" t="b">
        <v>0</v>
      </c>
      <c r="AA1985" s="46" t="b">
        <v>0</v>
      </c>
    </row>
    <row r="1986">
      <c r="A1986" s="157" t="s">
        <v>563</v>
      </c>
      <c r="B1986" s="158">
        <v>1.0</v>
      </c>
      <c r="C1986" s="157" t="s">
        <v>642</v>
      </c>
      <c r="D1986" s="157" t="s">
        <v>643</v>
      </c>
      <c r="E1986" s="157" t="s">
        <v>644</v>
      </c>
      <c r="F1986" s="157" t="s">
        <v>5927</v>
      </c>
      <c r="G1986" s="157" t="s">
        <v>5928</v>
      </c>
      <c r="H1986" s="157"/>
      <c r="I1986" s="158">
        <v>-2.6534001</v>
      </c>
      <c r="J1986" s="158">
        <v>51.528968</v>
      </c>
      <c r="K1986" s="157" t="s">
        <v>5929</v>
      </c>
      <c r="L1986" s="157" t="s">
        <v>648</v>
      </c>
      <c r="M1986" s="158">
        <v>2019.0</v>
      </c>
      <c r="N1986" s="157" t="s">
        <v>649</v>
      </c>
      <c r="O1986" s="157" t="s">
        <v>650</v>
      </c>
      <c r="P1986" s="161" t="b">
        <v>0</v>
      </c>
      <c r="Q1986" s="158">
        <v>1.13</v>
      </c>
      <c r="R1986" s="158">
        <v>0.0</v>
      </c>
      <c r="S1986" s="158">
        <v>1.13</v>
      </c>
      <c r="T1986" s="157" t="s">
        <v>594</v>
      </c>
      <c r="U1986" s="46" t="s">
        <v>651</v>
      </c>
      <c r="V1986" s="46" t="b">
        <v>1</v>
      </c>
      <c r="W1986" s="46">
        <v>0.95</v>
      </c>
      <c r="X1986" s="46">
        <v>0.0</v>
      </c>
      <c r="Y1986" s="46" t="s">
        <v>640</v>
      </c>
      <c r="Z1986" s="46" t="b">
        <v>0</v>
      </c>
      <c r="AA1986" s="46" t="b">
        <v>0</v>
      </c>
    </row>
    <row r="1987">
      <c r="A1987" s="157" t="s">
        <v>563</v>
      </c>
      <c r="B1987" s="158">
        <v>1.0</v>
      </c>
      <c r="C1987" s="157" t="s">
        <v>642</v>
      </c>
      <c r="D1987" s="157" t="s">
        <v>643</v>
      </c>
      <c r="E1987" s="157" t="s">
        <v>644</v>
      </c>
      <c r="F1987" s="157" t="s">
        <v>5930</v>
      </c>
      <c r="G1987" s="157" t="s">
        <v>5931</v>
      </c>
      <c r="H1987" s="157"/>
      <c r="I1987" s="158">
        <v>-0.26734612</v>
      </c>
      <c r="J1987" s="158">
        <v>52.204796</v>
      </c>
      <c r="K1987" s="157" t="s">
        <v>5932</v>
      </c>
      <c r="L1987" s="157" t="s">
        <v>648</v>
      </c>
      <c r="M1987" s="158">
        <v>2019.0</v>
      </c>
      <c r="N1987" s="157" t="s">
        <v>649</v>
      </c>
      <c r="O1987" s="157" t="s">
        <v>650</v>
      </c>
      <c r="P1987" s="161" t="b">
        <v>0</v>
      </c>
      <c r="Q1987" s="158">
        <v>1.08</v>
      </c>
      <c r="R1987" s="158">
        <v>0.0</v>
      </c>
      <c r="S1987" s="158">
        <v>1.08</v>
      </c>
      <c r="T1987" s="157" t="s">
        <v>594</v>
      </c>
      <c r="U1987" s="46" t="s">
        <v>651</v>
      </c>
      <c r="V1987" s="46" t="b">
        <v>1</v>
      </c>
      <c r="W1987" s="46">
        <v>0.95</v>
      </c>
      <c r="X1987" s="46">
        <v>0.0</v>
      </c>
      <c r="Y1987" s="46" t="s">
        <v>640</v>
      </c>
      <c r="Z1987" s="46" t="b">
        <v>0</v>
      </c>
      <c r="AA1987" s="46" t="b">
        <v>0</v>
      </c>
    </row>
    <row r="1988">
      <c r="A1988" s="157" t="s">
        <v>563</v>
      </c>
      <c r="B1988" s="158">
        <v>1.0</v>
      </c>
      <c r="C1988" s="157" t="s">
        <v>642</v>
      </c>
      <c r="D1988" s="157" t="s">
        <v>643</v>
      </c>
      <c r="E1988" s="157" t="s">
        <v>644</v>
      </c>
      <c r="F1988" s="157" t="s">
        <v>5933</v>
      </c>
      <c r="G1988" s="157" t="s">
        <v>5934</v>
      </c>
      <c r="H1988" s="157"/>
      <c r="I1988" s="158">
        <v>-5.7661</v>
      </c>
      <c r="J1988" s="158">
        <v>54.7258</v>
      </c>
      <c r="K1988" s="157" t="s">
        <v>5935</v>
      </c>
      <c r="L1988" s="157" t="s">
        <v>648</v>
      </c>
      <c r="M1988" s="158">
        <v>2019.0</v>
      </c>
      <c r="N1988" s="157" t="s">
        <v>649</v>
      </c>
      <c r="O1988" s="157" t="s">
        <v>650</v>
      </c>
      <c r="P1988" s="161" t="b">
        <v>0</v>
      </c>
      <c r="Q1988" s="158">
        <v>1.01</v>
      </c>
      <c r="R1988" s="158">
        <v>0.0</v>
      </c>
      <c r="S1988" s="158">
        <v>1.01</v>
      </c>
      <c r="T1988" s="157" t="s">
        <v>594</v>
      </c>
      <c r="U1988" s="46" t="s">
        <v>651</v>
      </c>
      <c r="V1988" s="46" t="b">
        <v>1</v>
      </c>
      <c r="W1988" s="46">
        <v>0.95</v>
      </c>
      <c r="X1988" s="46">
        <v>0.0</v>
      </c>
      <c r="Y1988" s="46" t="s">
        <v>640</v>
      </c>
      <c r="Z1988" s="46" t="b">
        <v>0</v>
      </c>
      <c r="AA1988" s="46" t="b">
        <v>0</v>
      </c>
    </row>
    <row r="1989">
      <c r="A1989" s="157" t="s">
        <v>563</v>
      </c>
      <c r="B1989" s="158">
        <v>1.0</v>
      </c>
      <c r="C1989" s="157" t="s">
        <v>642</v>
      </c>
      <c r="D1989" s="157" t="s">
        <v>643</v>
      </c>
      <c r="E1989" s="157" t="s">
        <v>644</v>
      </c>
      <c r="F1989" s="157" t="s">
        <v>5936</v>
      </c>
      <c r="G1989" s="157" t="s">
        <v>5937</v>
      </c>
      <c r="H1989" s="157"/>
      <c r="I1989" s="158">
        <v>0.50526849</v>
      </c>
      <c r="J1989" s="158">
        <v>51.51231</v>
      </c>
      <c r="K1989" s="157" t="s">
        <v>5938</v>
      </c>
      <c r="L1989" s="157" t="s">
        <v>648</v>
      </c>
      <c r="M1989" s="158">
        <v>2019.0</v>
      </c>
      <c r="N1989" s="157" t="s">
        <v>649</v>
      </c>
      <c r="O1989" s="157" t="s">
        <v>650</v>
      </c>
      <c r="P1989" s="161" t="b">
        <v>0</v>
      </c>
      <c r="Q1989" s="158">
        <v>0.934</v>
      </c>
      <c r="R1989" s="158">
        <v>0.0</v>
      </c>
      <c r="S1989" s="158">
        <v>0.934</v>
      </c>
      <c r="T1989" s="157" t="s">
        <v>594</v>
      </c>
      <c r="U1989" s="46" t="s">
        <v>651</v>
      </c>
      <c r="V1989" s="46" t="b">
        <v>1</v>
      </c>
      <c r="W1989" s="46">
        <v>0.95</v>
      </c>
      <c r="X1989" s="46">
        <v>0.0</v>
      </c>
      <c r="Y1989" s="46">
        <v>111.265642187168</v>
      </c>
      <c r="Z1989" s="46" t="b">
        <v>0</v>
      </c>
      <c r="AA1989" s="46" t="b">
        <v>0</v>
      </c>
    </row>
    <row r="1990">
      <c r="A1990" s="157" t="s">
        <v>563</v>
      </c>
      <c r="B1990" s="158">
        <v>1.0</v>
      </c>
      <c r="C1990" s="157" t="s">
        <v>642</v>
      </c>
      <c r="D1990" s="157" t="s">
        <v>643</v>
      </c>
      <c r="E1990" s="157" t="s">
        <v>644</v>
      </c>
      <c r="F1990" s="157" t="s">
        <v>5939</v>
      </c>
      <c r="G1990" s="157" t="s">
        <v>5940</v>
      </c>
      <c r="H1990" s="157"/>
      <c r="I1990" s="158">
        <v>-0.78568665</v>
      </c>
      <c r="J1990" s="158">
        <v>53.307967</v>
      </c>
      <c r="K1990" s="157" t="s">
        <v>5914</v>
      </c>
      <c r="L1990" s="157" t="s">
        <v>648</v>
      </c>
      <c r="M1990" s="158">
        <v>2019.0</v>
      </c>
      <c r="N1990" s="157" t="s">
        <v>649</v>
      </c>
      <c r="O1990" s="157" t="s">
        <v>650</v>
      </c>
      <c r="P1990" s="161" t="b">
        <v>0</v>
      </c>
      <c r="Q1990" s="158">
        <v>0.904</v>
      </c>
      <c r="R1990" s="158">
        <v>0.0</v>
      </c>
      <c r="S1990" s="158">
        <v>0.904</v>
      </c>
      <c r="T1990" s="157" t="s">
        <v>594</v>
      </c>
      <c r="U1990" s="46" t="s">
        <v>651</v>
      </c>
      <c r="V1990" s="46" t="b">
        <v>1</v>
      </c>
      <c r="W1990" s="46">
        <v>0.95</v>
      </c>
      <c r="X1990" s="46">
        <v>0.0</v>
      </c>
      <c r="Y1990" s="46">
        <v>26.7269380831033</v>
      </c>
      <c r="Z1990" s="46" t="b">
        <v>1</v>
      </c>
      <c r="AA1990" s="46" t="b">
        <v>1</v>
      </c>
    </row>
    <row r="1991">
      <c r="A1991" s="157" t="s">
        <v>563</v>
      </c>
      <c r="B1991" s="158">
        <v>1.0</v>
      </c>
      <c r="C1991" s="157" t="s">
        <v>642</v>
      </c>
      <c r="D1991" s="157" t="s">
        <v>643</v>
      </c>
      <c r="E1991" s="157" t="s">
        <v>644</v>
      </c>
      <c r="F1991" s="157" t="s">
        <v>5941</v>
      </c>
      <c r="G1991" s="157" t="s">
        <v>5942</v>
      </c>
      <c r="H1991" s="157"/>
      <c r="I1991" s="158">
        <v>-3.07414</v>
      </c>
      <c r="J1991" s="158">
        <v>53.22697</v>
      </c>
      <c r="K1991" s="157" t="s">
        <v>5943</v>
      </c>
      <c r="L1991" s="157" t="s">
        <v>648</v>
      </c>
      <c r="M1991" s="158">
        <v>2019.0</v>
      </c>
      <c r="N1991" s="157" t="s">
        <v>649</v>
      </c>
      <c r="O1991" s="157" t="s">
        <v>650</v>
      </c>
      <c r="P1991" s="161" t="b">
        <v>0</v>
      </c>
      <c r="Q1991" s="158">
        <v>0.886</v>
      </c>
      <c r="R1991" s="158">
        <v>0.0</v>
      </c>
      <c r="S1991" s="158">
        <v>0.886</v>
      </c>
      <c r="T1991" s="157" t="s">
        <v>594</v>
      </c>
      <c r="U1991" s="46" t="s">
        <v>651</v>
      </c>
      <c r="V1991" s="46" t="b">
        <v>1</v>
      </c>
      <c r="W1991" s="46">
        <v>0.95</v>
      </c>
      <c r="X1991" s="46">
        <v>0.0</v>
      </c>
      <c r="Y1991" s="46">
        <v>14.1001747049024</v>
      </c>
      <c r="Z1991" s="46" t="b">
        <v>1</v>
      </c>
      <c r="AA1991" s="46" t="b">
        <v>1</v>
      </c>
    </row>
    <row r="1992">
      <c r="A1992" s="157" t="s">
        <v>563</v>
      </c>
      <c r="B1992" s="158">
        <v>1.0</v>
      </c>
      <c r="C1992" s="157" t="s">
        <v>642</v>
      </c>
      <c r="D1992" s="157" t="s">
        <v>643</v>
      </c>
      <c r="E1992" s="157" t="s">
        <v>644</v>
      </c>
      <c r="F1992" s="157" t="s">
        <v>5944</v>
      </c>
      <c r="G1992" s="157" t="s">
        <v>5945</v>
      </c>
      <c r="H1992" s="157"/>
      <c r="I1992" s="158">
        <v>1.7314323</v>
      </c>
      <c r="J1992" s="158">
        <v>52.585022</v>
      </c>
      <c r="K1992" s="157" t="s">
        <v>5946</v>
      </c>
      <c r="L1992" s="157" t="s">
        <v>648</v>
      </c>
      <c r="M1992" s="158">
        <v>2019.0</v>
      </c>
      <c r="N1992" s="157" t="s">
        <v>649</v>
      </c>
      <c r="O1992" s="157" t="s">
        <v>650</v>
      </c>
      <c r="P1992" s="161" t="b">
        <v>0</v>
      </c>
      <c r="Q1992" s="158">
        <v>0.885</v>
      </c>
      <c r="R1992" s="158">
        <v>0.0</v>
      </c>
      <c r="S1992" s="158">
        <v>0.885</v>
      </c>
      <c r="T1992" s="157" t="s">
        <v>594</v>
      </c>
      <c r="U1992" s="46" t="s">
        <v>651</v>
      </c>
      <c r="V1992" s="46" t="b">
        <v>1</v>
      </c>
      <c r="W1992" s="46">
        <v>0.95</v>
      </c>
      <c r="X1992" s="46">
        <v>0.0</v>
      </c>
      <c r="Y1992" s="46">
        <v>94.9567952696448</v>
      </c>
      <c r="Z1992" s="46" t="b">
        <v>0</v>
      </c>
      <c r="AA1992" s="46" t="b">
        <v>1</v>
      </c>
    </row>
    <row r="1993">
      <c r="A1993" s="157" t="s">
        <v>563</v>
      </c>
      <c r="B1993" s="158">
        <v>1.0</v>
      </c>
      <c r="C1993" s="157" t="s">
        <v>642</v>
      </c>
      <c r="D1993" s="157" t="s">
        <v>643</v>
      </c>
      <c r="E1993" s="157" t="s">
        <v>644</v>
      </c>
      <c r="F1993" s="157" t="s">
        <v>5947</v>
      </c>
      <c r="G1993" s="157" t="s">
        <v>5948</v>
      </c>
      <c r="H1993" s="157"/>
      <c r="I1993" s="158">
        <v>-0.75044205</v>
      </c>
      <c r="J1993" s="158">
        <v>53.594445</v>
      </c>
      <c r="K1993" s="157" t="s">
        <v>5949</v>
      </c>
      <c r="L1993" s="157" t="s">
        <v>648</v>
      </c>
      <c r="M1993" s="158">
        <v>2019.0</v>
      </c>
      <c r="N1993" s="157" t="s">
        <v>649</v>
      </c>
      <c r="O1993" s="157" t="s">
        <v>650</v>
      </c>
      <c r="P1993" s="161" t="b">
        <v>0</v>
      </c>
      <c r="Q1993" s="158">
        <v>0.803</v>
      </c>
      <c r="R1993" s="158">
        <v>0.0</v>
      </c>
      <c r="S1993" s="158">
        <v>0.803</v>
      </c>
      <c r="T1993" s="157" t="s">
        <v>594</v>
      </c>
      <c r="U1993" s="46" t="s">
        <v>651</v>
      </c>
      <c r="V1993" s="46" t="b">
        <v>1</v>
      </c>
      <c r="W1993" s="46">
        <v>0.95</v>
      </c>
      <c r="X1993" s="46">
        <v>0.0</v>
      </c>
      <c r="Y1993" s="46">
        <v>3.111421489754</v>
      </c>
      <c r="Z1993" s="46" t="b">
        <v>1</v>
      </c>
      <c r="AA1993" s="46" t="b">
        <v>1</v>
      </c>
    </row>
    <row r="1994">
      <c r="A1994" s="157" t="s">
        <v>563</v>
      </c>
      <c r="B1994" s="158">
        <v>1.0</v>
      </c>
      <c r="C1994" s="157" t="s">
        <v>642</v>
      </c>
      <c r="D1994" s="157" t="s">
        <v>643</v>
      </c>
      <c r="E1994" s="157" t="s">
        <v>644</v>
      </c>
      <c r="F1994" s="157" t="s">
        <v>5950</v>
      </c>
      <c r="G1994" s="157" t="s">
        <v>5951</v>
      </c>
      <c r="H1994" s="157"/>
      <c r="I1994" s="158">
        <v>0.61157746</v>
      </c>
      <c r="J1994" s="158">
        <v>51.428059</v>
      </c>
      <c r="K1994" s="157" t="s">
        <v>5885</v>
      </c>
      <c r="L1994" s="157" t="s">
        <v>648</v>
      </c>
      <c r="M1994" s="158">
        <v>2019.0</v>
      </c>
      <c r="N1994" s="157" t="s">
        <v>649</v>
      </c>
      <c r="O1994" s="157" t="s">
        <v>650</v>
      </c>
      <c r="P1994" s="161" t="b">
        <v>0</v>
      </c>
      <c r="Q1994" s="158">
        <v>0.799</v>
      </c>
      <c r="R1994" s="158">
        <v>0.0</v>
      </c>
      <c r="S1994" s="158">
        <v>0.799</v>
      </c>
      <c r="T1994" s="157" t="s">
        <v>594</v>
      </c>
      <c r="U1994" s="46" t="s">
        <v>651</v>
      </c>
      <c r="V1994" s="46" t="b">
        <v>1</v>
      </c>
      <c r="W1994" s="46">
        <v>0.95</v>
      </c>
      <c r="X1994" s="46">
        <v>0.0</v>
      </c>
      <c r="Y1994" s="46">
        <v>99.4033052367301</v>
      </c>
      <c r="Z1994" s="46" t="b">
        <v>0</v>
      </c>
      <c r="AA1994" s="46" t="b">
        <v>1</v>
      </c>
    </row>
    <row r="1995">
      <c r="A1995" s="157" t="s">
        <v>563</v>
      </c>
      <c r="B1995" s="158">
        <v>1.0</v>
      </c>
      <c r="C1995" s="157" t="s">
        <v>642</v>
      </c>
      <c r="D1995" s="157" t="s">
        <v>643</v>
      </c>
      <c r="E1995" s="157" t="s">
        <v>644</v>
      </c>
      <c r="F1995" s="157" t="s">
        <v>5952</v>
      </c>
      <c r="G1995" s="157" t="s">
        <v>5953</v>
      </c>
      <c r="H1995" s="157"/>
      <c r="I1995" s="158">
        <v>-0.81153637</v>
      </c>
      <c r="J1995" s="158">
        <v>53.360724</v>
      </c>
      <c r="K1995" s="157" t="s">
        <v>5954</v>
      </c>
      <c r="L1995" s="157" t="s">
        <v>648</v>
      </c>
      <c r="M1995" s="158">
        <v>2019.0</v>
      </c>
      <c r="N1995" s="157" t="s">
        <v>649</v>
      </c>
      <c r="O1995" s="157" t="s">
        <v>650</v>
      </c>
      <c r="P1995" s="161" t="b">
        <v>0</v>
      </c>
      <c r="Q1995" s="158">
        <v>0.791</v>
      </c>
      <c r="R1995" s="158">
        <v>0.0</v>
      </c>
      <c r="S1995" s="158">
        <v>0.791</v>
      </c>
      <c r="T1995" s="157" t="s">
        <v>594</v>
      </c>
      <c r="U1995" s="46" t="s">
        <v>651</v>
      </c>
      <c r="V1995" s="46" t="b">
        <v>1</v>
      </c>
      <c r="W1995" s="46">
        <v>0.95</v>
      </c>
      <c r="X1995" s="46">
        <v>0.0</v>
      </c>
      <c r="Y1995" s="46">
        <v>23.0741325395809</v>
      </c>
      <c r="Z1995" s="46" t="b">
        <v>1</v>
      </c>
      <c r="AA1995" s="46" t="b">
        <v>1</v>
      </c>
    </row>
    <row r="1996">
      <c r="A1996" s="157" t="s">
        <v>563</v>
      </c>
      <c r="B1996" s="158">
        <v>1.0</v>
      </c>
      <c r="C1996" s="157" t="s">
        <v>642</v>
      </c>
      <c r="D1996" s="157" t="s">
        <v>643</v>
      </c>
      <c r="E1996" s="157" t="s">
        <v>644</v>
      </c>
      <c r="F1996" s="157" t="s">
        <v>5955</v>
      </c>
      <c r="G1996" s="157" t="s">
        <v>5956</v>
      </c>
      <c r="H1996" s="157"/>
      <c r="I1996" s="158">
        <v>0.1916851</v>
      </c>
      <c r="J1996" s="158">
        <v>52.757342</v>
      </c>
      <c r="K1996" s="157" t="s">
        <v>5957</v>
      </c>
      <c r="L1996" s="157" t="s">
        <v>648</v>
      </c>
      <c r="M1996" s="158">
        <v>2019.0</v>
      </c>
      <c r="N1996" s="157" t="s">
        <v>649</v>
      </c>
      <c r="O1996" s="157" t="s">
        <v>650</v>
      </c>
      <c r="P1996" s="161" t="b">
        <v>0</v>
      </c>
      <c r="Q1996" s="158">
        <v>0.777</v>
      </c>
      <c r="R1996" s="158">
        <v>0.0</v>
      </c>
      <c r="S1996" s="158">
        <v>0.777</v>
      </c>
      <c r="T1996" s="157" t="s">
        <v>594</v>
      </c>
      <c r="U1996" s="46" t="s">
        <v>651</v>
      </c>
      <c r="V1996" s="46" t="b">
        <v>1</v>
      </c>
      <c r="W1996" s="46">
        <v>0.95</v>
      </c>
      <c r="X1996" s="46">
        <v>0.0</v>
      </c>
      <c r="Y1996" s="46">
        <v>68.8620792665155</v>
      </c>
      <c r="Z1996" s="46" t="b">
        <v>0</v>
      </c>
      <c r="AA1996" s="46" t="b">
        <v>1</v>
      </c>
    </row>
    <row r="1997">
      <c r="A1997" s="157" t="s">
        <v>563</v>
      </c>
      <c r="B1997" s="158">
        <v>1.0</v>
      </c>
      <c r="C1997" s="157" t="s">
        <v>642</v>
      </c>
      <c r="D1997" s="157" t="s">
        <v>643</v>
      </c>
      <c r="E1997" s="157" t="s">
        <v>644</v>
      </c>
      <c r="F1997" s="157" t="s">
        <v>5958</v>
      </c>
      <c r="G1997" s="157" t="s">
        <v>5959</v>
      </c>
      <c r="H1997" s="157"/>
      <c r="I1997" s="158">
        <v>-4.0102612</v>
      </c>
      <c r="J1997" s="158">
        <v>50.387758</v>
      </c>
      <c r="K1997" s="157" t="s">
        <v>5960</v>
      </c>
      <c r="L1997" s="157" t="s">
        <v>648</v>
      </c>
      <c r="M1997" s="158">
        <v>2019.0</v>
      </c>
      <c r="N1997" s="157" t="s">
        <v>649</v>
      </c>
      <c r="O1997" s="157" t="s">
        <v>650</v>
      </c>
      <c r="P1997" s="161" t="b">
        <v>0</v>
      </c>
      <c r="Q1997" s="158">
        <v>0.746</v>
      </c>
      <c r="R1997" s="158">
        <v>0.0</v>
      </c>
      <c r="S1997" s="158">
        <v>0.746</v>
      </c>
      <c r="T1997" s="157" t="s">
        <v>594</v>
      </c>
      <c r="U1997" s="46" t="s">
        <v>651</v>
      </c>
      <c r="V1997" s="46" t="b">
        <v>1</v>
      </c>
      <c r="W1997" s="46">
        <v>0.95</v>
      </c>
      <c r="X1997" s="46">
        <v>0.0</v>
      </c>
      <c r="Y1997" s="46" t="s">
        <v>640</v>
      </c>
      <c r="Z1997" s="46" t="b">
        <v>0</v>
      </c>
      <c r="AA1997" s="46" t="b">
        <v>0</v>
      </c>
    </row>
    <row r="1998">
      <c r="A1998" s="157" t="s">
        <v>563</v>
      </c>
      <c r="B1998" s="158">
        <v>1.0</v>
      </c>
      <c r="C1998" s="157" t="s">
        <v>642</v>
      </c>
      <c r="D1998" s="157" t="s">
        <v>643</v>
      </c>
      <c r="E1998" s="157" t="s">
        <v>644</v>
      </c>
      <c r="F1998" s="157" t="s">
        <v>5961</v>
      </c>
      <c r="G1998" s="157" t="s">
        <v>5962</v>
      </c>
      <c r="H1998" s="157"/>
      <c r="I1998" s="158">
        <v>-1.2542591</v>
      </c>
      <c r="J1998" s="158">
        <v>52.866039</v>
      </c>
      <c r="K1998" s="157" t="s">
        <v>5963</v>
      </c>
      <c r="L1998" s="157" t="s">
        <v>648</v>
      </c>
      <c r="M1998" s="158">
        <v>2019.0</v>
      </c>
      <c r="N1998" s="157" t="s">
        <v>649</v>
      </c>
      <c r="O1998" s="157" t="s">
        <v>650</v>
      </c>
      <c r="P1998" s="161" t="b">
        <v>0</v>
      </c>
      <c r="Q1998" s="158">
        <v>0.729</v>
      </c>
      <c r="R1998" s="158">
        <v>0.0</v>
      </c>
      <c r="S1998" s="158">
        <v>0.729</v>
      </c>
      <c r="T1998" s="157" t="s">
        <v>594</v>
      </c>
      <c r="U1998" s="46" t="s">
        <v>651</v>
      </c>
      <c r="V1998" s="46" t="b">
        <v>1</v>
      </c>
      <c r="W1998" s="46">
        <v>0.95</v>
      </c>
      <c r="X1998" s="46">
        <v>0.0</v>
      </c>
      <c r="Y1998" s="46">
        <v>85.0596801417365</v>
      </c>
      <c r="Z1998" s="46" t="b">
        <v>0</v>
      </c>
      <c r="AA1998" s="46" t="b">
        <v>1</v>
      </c>
    </row>
    <row r="1999">
      <c r="A1999" s="157" t="s">
        <v>563</v>
      </c>
      <c r="B1999" s="158">
        <v>1.0</v>
      </c>
      <c r="C1999" s="157" t="s">
        <v>642</v>
      </c>
      <c r="D1999" s="157" t="s">
        <v>643</v>
      </c>
      <c r="E1999" s="157" t="s">
        <v>644</v>
      </c>
      <c r="F1999" s="157" t="s">
        <v>5964</v>
      </c>
      <c r="G1999" s="157" t="s">
        <v>5965</v>
      </c>
      <c r="H1999" s="157"/>
      <c r="I1999" s="158">
        <v>-2.97543</v>
      </c>
      <c r="J1999" s="158">
        <v>51.54796</v>
      </c>
      <c r="K1999" s="157" t="s">
        <v>5966</v>
      </c>
      <c r="L1999" s="157" t="s">
        <v>648</v>
      </c>
      <c r="M1999" s="158">
        <v>2019.0</v>
      </c>
      <c r="N1999" s="157" t="s">
        <v>649</v>
      </c>
      <c r="O1999" s="157" t="s">
        <v>650</v>
      </c>
      <c r="P1999" s="161" t="b">
        <v>0</v>
      </c>
      <c r="Q1999" s="158">
        <v>0.716</v>
      </c>
      <c r="R1999" s="158">
        <v>0.0</v>
      </c>
      <c r="S1999" s="158">
        <v>0.716</v>
      </c>
      <c r="T1999" s="157" t="s">
        <v>594</v>
      </c>
      <c r="U1999" s="46" t="s">
        <v>651</v>
      </c>
      <c r="V1999" s="46" t="b">
        <v>1</v>
      </c>
      <c r="W1999" s="46">
        <v>0.95</v>
      </c>
      <c r="X1999" s="46">
        <v>0.0</v>
      </c>
      <c r="Y1999" s="46" t="s">
        <v>640</v>
      </c>
      <c r="Z1999" s="46" t="b">
        <v>0</v>
      </c>
      <c r="AA1999" s="46" t="b">
        <v>0</v>
      </c>
    </row>
    <row r="2000">
      <c r="A2000" s="157" t="s">
        <v>563</v>
      </c>
      <c r="B2000" s="158">
        <v>1.0</v>
      </c>
      <c r="C2000" s="157" t="s">
        <v>642</v>
      </c>
      <c r="D2000" s="157" t="s">
        <v>643</v>
      </c>
      <c r="E2000" s="157" t="s">
        <v>644</v>
      </c>
      <c r="F2000" s="157" t="s">
        <v>5967</v>
      </c>
      <c r="G2000" s="157" t="s">
        <v>5968</v>
      </c>
      <c r="H2000" s="157"/>
      <c r="I2000" s="158">
        <v>-7.2456</v>
      </c>
      <c r="J2000" s="158">
        <v>55.0441</v>
      </c>
      <c r="K2000" s="157" t="s">
        <v>3661</v>
      </c>
      <c r="L2000" s="157" t="s">
        <v>648</v>
      </c>
      <c r="M2000" s="158">
        <v>2019.0</v>
      </c>
      <c r="N2000" s="157" t="s">
        <v>649</v>
      </c>
      <c r="O2000" s="157" t="s">
        <v>650</v>
      </c>
      <c r="P2000" s="161" t="b">
        <v>0</v>
      </c>
      <c r="Q2000" s="158">
        <v>0.685</v>
      </c>
      <c r="R2000" s="158">
        <v>0.0</v>
      </c>
      <c r="S2000" s="158">
        <v>0.685</v>
      </c>
      <c r="T2000" s="157" t="s">
        <v>594</v>
      </c>
      <c r="U2000" s="46" t="s">
        <v>651</v>
      </c>
      <c r="V2000" s="46" t="b">
        <v>1</v>
      </c>
      <c r="W2000" s="46">
        <v>0.95</v>
      </c>
      <c r="X2000" s="46">
        <v>0.0</v>
      </c>
      <c r="Y2000" s="46" t="s">
        <v>640</v>
      </c>
      <c r="Z2000" s="46" t="b">
        <v>0</v>
      </c>
      <c r="AA2000" s="46" t="b">
        <v>0</v>
      </c>
    </row>
    <row r="2001">
      <c r="A2001" s="157" t="s">
        <v>563</v>
      </c>
      <c r="B2001" s="158">
        <v>1.0</v>
      </c>
      <c r="C2001" s="157" t="s">
        <v>642</v>
      </c>
      <c r="D2001" s="157" t="s">
        <v>643</v>
      </c>
      <c r="E2001" s="157" t="s">
        <v>644</v>
      </c>
      <c r="F2001" s="157" t="s">
        <v>5969</v>
      </c>
      <c r="G2001" s="157" t="s">
        <v>5970</v>
      </c>
      <c r="H2001" s="157"/>
      <c r="I2001" s="158">
        <v>0.68911546</v>
      </c>
      <c r="J2001" s="158">
        <v>51.437727</v>
      </c>
      <c r="K2001" s="157" t="s">
        <v>5885</v>
      </c>
      <c r="L2001" s="157" t="s">
        <v>648</v>
      </c>
      <c r="M2001" s="158">
        <v>2019.0</v>
      </c>
      <c r="N2001" s="157" t="s">
        <v>649</v>
      </c>
      <c r="O2001" s="157" t="s">
        <v>650</v>
      </c>
      <c r="P2001" s="161" t="b">
        <v>0</v>
      </c>
      <c r="Q2001" s="158">
        <v>0.68</v>
      </c>
      <c r="R2001" s="158">
        <v>0.0</v>
      </c>
      <c r="S2001" s="158">
        <v>0.68</v>
      </c>
      <c r="T2001" s="157" t="s">
        <v>594</v>
      </c>
      <c r="U2001" s="46" t="s">
        <v>651</v>
      </c>
      <c r="V2001" s="46" t="b">
        <v>1</v>
      </c>
      <c r="W2001" s="46">
        <v>0.95</v>
      </c>
      <c r="X2001" s="46">
        <v>0.0</v>
      </c>
      <c r="Y2001" s="46">
        <v>96.4754550479467</v>
      </c>
      <c r="Z2001" s="46" t="b">
        <v>0</v>
      </c>
      <c r="AA2001" s="46" t="b">
        <v>1</v>
      </c>
    </row>
    <row r="2002">
      <c r="A2002" s="157" t="s">
        <v>563</v>
      </c>
      <c r="B2002" s="158">
        <v>1.0</v>
      </c>
      <c r="C2002" s="157" t="s">
        <v>642</v>
      </c>
      <c r="D2002" s="157" t="s">
        <v>643</v>
      </c>
      <c r="E2002" s="157" t="s">
        <v>644</v>
      </c>
      <c r="F2002" s="157" t="s">
        <v>5971</v>
      </c>
      <c r="G2002" s="157" t="s">
        <v>5972</v>
      </c>
      <c r="H2002" s="157"/>
      <c r="I2002" s="158">
        <v>-0.023550721</v>
      </c>
      <c r="J2002" s="158">
        <v>51.66144</v>
      </c>
      <c r="K2002" s="157" t="s">
        <v>5973</v>
      </c>
      <c r="L2002" s="157" t="s">
        <v>648</v>
      </c>
      <c r="M2002" s="158">
        <v>2019.0</v>
      </c>
      <c r="N2002" s="157" t="s">
        <v>649</v>
      </c>
      <c r="O2002" s="157" t="s">
        <v>650</v>
      </c>
      <c r="P2002" s="161" t="b">
        <v>0</v>
      </c>
      <c r="Q2002" s="158">
        <v>0.645</v>
      </c>
      <c r="R2002" s="158">
        <v>0.0</v>
      </c>
      <c r="S2002" s="158">
        <v>0.645</v>
      </c>
      <c r="T2002" s="157" t="s">
        <v>594</v>
      </c>
      <c r="U2002" s="46" t="s">
        <v>651</v>
      </c>
      <c r="V2002" s="46" t="b">
        <v>1</v>
      </c>
      <c r="W2002" s="46">
        <v>0.95</v>
      </c>
      <c r="X2002" s="46">
        <v>0.0</v>
      </c>
      <c r="Y2002" s="46">
        <v>149.568840611862</v>
      </c>
      <c r="Z2002" s="46" t="b">
        <v>0</v>
      </c>
      <c r="AA2002" s="46" t="b">
        <v>0</v>
      </c>
    </row>
    <row r="2003">
      <c r="A2003" s="157" t="s">
        <v>563</v>
      </c>
      <c r="B2003" s="158">
        <v>1.0</v>
      </c>
      <c r="C2003" s="157" t="s">
        <v>642</v>
      </c>
      <c r="D2003" s="157" t="s">
        <v>643</v>
      </c>
      <c r="E2003" s="157" t="s">
        <v>644</v>
      </c>
      <c r="F2003" s="157" t="s">
        <v>5974</v>
      </c>
      <c r="G2003" s="157" t="s">
        <v>5975</v>
      </c>
      <c r="H2003" s="157"/>
      <c r="I2003" s="158">
        <v>-3.69854</v>
      </c>
      <c r="J2003" s="158">
        <v>56.01201</v>
      </c>
      <c r="K2003" s="157" t="s">
        <v>4586</v>
      </c>
      <c r="L2003" s="157" t="s">
        <v>648</v>
      </c>
      <c r="M2003" s="158">
        <v>2019.0</v>
      </c>
      <c r="N2003" s="157" t="s">
        <v>649</v>
      </c>
      <c r="O2003" s="157" t="s">
        <v>650</v>
      </c>
      <c r="P2003" s="161" t="b">
        <v>0</v>
      </c>
      <c r="Q2003" s="158">
        <v>0.641</v>
      </c>
      <c r="R2003" s="158">
        <v>0.0</v>
      </c>
      <c r="S2003" s="158">
        <v>0.641</v>
      </c>
      <c r="T2003" s="157" t="s">
        <v>594</v>
      </c>
      <c r="U2003" s="46" t="s">
        <v>651</v>
      </c>
      <c r="V2003" s="46" t="b">
        <v>1</v>
      </c>
      <c r="W2003" s="46">
        <v>0.95</v>
      </c>
      <c r="X2003" s="46">
        <v>0.0</v>
      </c>
      <c r="Y2003" s="46">
        <v>3.87669473517797</v>
      </c>
      <c r="Z2003" s="46" t="b">
        <v>1</v>
      </c>
      <c r="AA2003" s="46" t="b">
        <v>1</v>
      </c>
    </row>
    <row r="2004">
      <c r="A2004" s="157" t="s">
        <v>563</v>
      </c>
      <c r="B2004" s="158">
        <v>1.0</v>
      </c>
      <c r="C2004" s="157" t="s">
        <v>642</v>
      </c>
      <c r="D2004" s="157" t="s">
        <v>643</v>
      </c>
      <c r="E2004" s="157" t="s">
        <v>644</v>
      </c>
      <c r="F2004" s="157" t="s">
        <v>5976</v>
      </c>
      <c r="G2004" s="157" t="s">
        <v>5977</v>
      </c>
      <c r="H2004" s="157"/>
      <c r="I2004" s="158">
        <v>1.83624</v>
      </c>
      <c r="J2004" s="158">
        <v>57.01106</v>
      </c>
      <c r="K2004" s="157" t="s">
        <v>5978</v>
      </c>
      <c r="L2004" s="157" t="s">
        <v>648</v>
      </c>
      <c r="M2004" s="158">
        <v>2019.0</v>
      </c>
      <c r="N2004" s="157" t="s">
        <v>649</v>
      </c>
      <c r="O2004" s="157" t="s">
        <v>650</v>
      </c>
      <c r="P2004" s="161" t="b">
        <v>0</v>
      </c>
      <c r="Q2004" s="158">
        <v>0.554</v>
      </c>
      <c r="R2004" s="158">
        <v>0.0</v>
      </c>
      <c r="S2004" s="158">
        <v>0.554</v>
      </c>
      <c r="T2004" s="157" t="s">
        <v>594</v>
      </c>
      <c r="U2004" s="46" t="s">
        <v>651</v>
      </c>
      <c r="V2004" s="46" t="b">
        <v>1</v>
      </c>
      <c r="W2004" s="46">
        <v>0.95</v>
      </c>
      <c r="X2004" s="46">
        <v>0.0</v>
      </c>
      <c r="Y2004" s="46">
        <v>144.995230527896</v>
      </c>
      <c r="Z2004" s="46" t="b">
        <v>0</v>
      </c>
      <c r="AA2004" s="46" t="b">
        <v>0</v>
      </c>
    </row>
    <row r="2005">
      <c r="A2005" s="157" t="s">
        <v>563</v>
      </c>
      <c r="B2005" s="158">
        <v>1.0</v>
      </c>
      <c r="C2005" s="157" t="s">
        <v>642</v>
      </c>
      <c r="D2005" s="157" t="s">
        <v>643</v>
      </c>
      <c r="E2005" s="157" t="s">
        <v>644</v>
      </c>
      <c r="F2005" s="157" t="s">
        <v>5979</v>
      </c>
      <c r="G2005" s="157" t="s">
        <v>5980</v>
      </c>
      <c r="H2005" s="157"/>
      <c r="I2005" s="158">
        <v>-3.69158</v>
      </c>
      <c r="J2005" s="158">
        <v>56.01847</v>
      </c>
      <c r="K2005" s="157" t="s">
        <v>4586</v>
      </c>
      <c r="L2005" s="157" t="s">
        <v>648</v>
      </c>
      <c r="M2005" s="158">
        <v>2019.0</v>
      </c>
      <c r="N2005" s="157" t="s">
        <v>649</v>
      </c>
      <c r="O2005" s="157" t="s">
        <v>650</v>
      </c>
      <c r="P2005" s="161" t="b">
        <v>0</v>
      </c>
      <c r="Q2005" s="158">
        <v>0.429</v>
      </c>
      <c r="R2005" s="158">
        <v>0.0</v>
      </c>
      <c r="S2005" s="158">
        <v>0.429</v>
      </c>
      <c r="T2005" s="157" t="s">
        <v>594</v>
      </c>
      <c r="U2005" s="46" t="s">
        <v>651</v>
      </c>
      <c r="V2005" s="46" t="b">
        <v>1</v>
      </c>
      <c r="W2005" s="46">
        <v>0.95</v>
      </c>
      <c r="X2005" s="46">
        <v>0.0</v>
      </c>
      <c r="Y2005" s="46">
        <v>3.44217411295393</v>
      </c>
      <c r="Z2005" s="46" t="b">
        <v>1</v>
      </c>
      <c r="AA2005" s="46" t="b">
        <v>1</v>
      </c>
    </row>
    <row r="2006">
      <c r="A2006" s="157" t="s">
        <v>563</v>
      </c>
      <c r="B2006" s="158">
        <v>1.0</v>
      </c>
      <c r="C2006" s="157" t="s">
        <v>642</v>
      </c>
      <c r="D2006" s="157" t="s">
        <v>643</v>
      </c>
      <c r="E2006" s="157" t="s">
        <v>644</v>
      </c>
      <c r="F2006" s="157" t="s">
        <v>5981</v>
      </c>
      <c r="G2006" s="157" t="s">
        <v>5982</v>
      </c>
      <c r="H2006" s="157"/>
      <c r="I2006" s="158">
        <v>0.72374753</v>
      </c>
      <c r="J2006" s="158">
        <v>52.447764</v>
      </c>
      <c r="K2006" s="157" t="s">
        <v>5983</v>
      </c>
      <c r="L2006" s="157" t="s">
        <v>648</v>
      </c>
      <c r="M2006" s="158">
        <v>2019.0</v>
      </c>
      <c r="N2006" s="157" t="s">
        <v>649</v>
      </c>
      <c r="O2006" s="157" t="s">
        <v>650</v>
      </c>
      <c r="P2006" s="161" t="b">
        <v>0</v>
      </c>
      <c r="Q2006" s="158">
        <v>0.427</v>
      </c>
      <c r="R2006" s="158">
        <v>0.0</v>
      </c>
      <c r="S2006" s="158">
        <v>0.427</v>
      </c>
      <c r="T2006" s="157" t="s">
        <v>594</v>
      </c>
      <c r="U2006" s="46" t="s">
        <v>651</v>
      </c>
      <c r="V2006" s="46" t="b">
        <v>1</v>
      </c>
      <c r="W2006" s="46">
        <v>0.95</v>
      </c>
      <c r="X2006" s="46">
        <v>0.0</v>
      </c>
      <c r="Y2006" s="46">
        <v>107.514744562747</v>
      </c>
      <c r="Z2006" s="46" t="b">
        <v>0</v>
      </c>
      <c r="AA2006" s="46" t="b">
        <v>0</v>
      </c>
    </row>
    <row r="2007">
      <c r="A2007" s="157" t="s">
        <v>563</v>
      </c>
      <c r="B2007" s="158">
        <v>1.0</v>
      </c>
      <c r="C2007" s="157" t="s">
        <v>642</v>
      </c>
      <c r="D2007" s="157" t="s">
        <v>643</v>
      </c>
      <c r="E2007" s="157" t="s">
        <v>644</v>
      </c>
      <c r="F2007" s="157" t="s">
        <v>5984</v>
      </c>
      <c r="G2007" s="157" t="s">
        <v>5985</v>
      </c>
      <c r="H2007" s="157"/>
      <c r="I2007" s="158">
        <v>1.13876</v>
      </c>
      <c r="J2007" s="158">
        <v>58.04865</v>
      </c>
      <c r="K2007" s="157" t="s">
        <v>5978</v>
      </c>
      <c r="L2007" s="157" t="s">
        <v>648</v>
      </c>
      <c r="M2007" s="158">
        <v>2019.0</v>
      </c>
      <c r="N2007" s="157" t="s">
        <v>649</v>
      </c>
      <c r="O2007" s="157" t="s">
        <v>650</v>
      </c>
      <c r="P2007" s="161" t="b">
        <v>0</v>
      </c>
      <c r="Q2007" s="158">
        <v>0.413</v>
      </c>
      <c r="R2007" s="158">
        <v>0.0</v>
      </c>
      <c r="S2007" s="158">
        <v>0.413</v>
      </c>
      <c r="T2007" s="157" t="s">
        <v>594</v>
      </c>
      <c r="U2007" s="46" t="s">
        <v>651</v>
      </c>
      <c r="V2007" s="46" t="b">
        <v>1</v>
      </c>
      <c r="W2007" s="46">
        <v>0.95</v>
      </c>
      <c r="X2007" s="46">
        <v>0.0</v>
      </c>
      <c r="Y2007" s="46">
        <v>53.9502596400448</v>
      </c>
      <c r="Z2007" s="46" t="b">
        <v>0</v>
      </c>
      <c r="AA2007" s="46" t="b">
        <v>1</v>
      </c>
    </row>
    <row r="2008">
      <c r="A2008" s="157" t="s">
        <v>563</v>
      </c>
      <c r="B2008" s="158">
        <v>1.0</v>
      </c>
      <c r="C2008" s="157" t="s">
        <v>642</v>
      </c>
      <c r="D2008" s="157" t="s">
        <v>643</v>
      </c>
      <c r="E2008" s="157" t="s">
        <v>644</v>
      </c>
      <c r="F2008" s="157" t="s">
        <v>5986</v>
      </c>
      <c r="G2008" s="157" t="s">
        <v>5987</v>
      </c>
      <c r="H2008" s="157"/>
      <c r="I2008" s="158">
        <v>-4.08581</v>
      </c>
      <c r="J2008" s="158">
        <v>60.36441</v>
      </c>
      <c r="K2008" s="157" t="s">
        <v>5978</v>
      </c>
      <c r="L2008" s="157" t="s">
        <v>648</v>
      </c>
      <c r="M2008" s="158">
        <v>2019.0</v>
      </c>
      <c r="N2008" s="157" t="s">
        <v>649</v>
      </c>
      <c r="O2008" s="157" t="s">
        <v>650</v>
      </c>
      <c r="P2008" s="161" t="b">
        <v>0</v>
      </c>
      <c r="Q2008" s="158">
        <v>0.409</v>
      </c>
      <c r="R2008" s="158">
        <v>0.0</v>
      </c>
      <c r="S2008" s="158">
        <v>0.409</v>
      </c>
      <c r="T2008" s="157" t="s">
        <v>594</v>
      </c>
      <c r="U2008" s="46" t="s">
        <v>651</v>
      </c>
      <c r="V2008" s="46" t="b">
        <v>1</v>
      </c>
      <c r="W2008" s="46">
        <v>0.95</v>
      </c>
      <c r="X2008" s="46">
        <v>0.0</v>
      </c>
      <c r="Y2008" s="46" t="s">
        <v>640</v>
      </c>
      <c r="Z2008" s="46" t="b">
        <v>0</v>
      </c>
      <c r="AA2008" s="46" t="b">
        <v>0</v>
      </c>
    </row>
    <row r="2009">
      <c r="A2009" s="157" t="s">
        <v>563</v>
      </c>
      <c r="B2009" s="158">
        <v>1.0</v>
      </c>
      <c r="C2009" s="157" t="s">
        <v>642</v>
      </c>
      <c r="D2009" s="157" t="s">
        <v>643</v>
      </c>
      <c r="E2009" s="157" t="s">
        <v>644</v>
      </c>
      <c r="F2009" s="157" t="s">
        <v>5988</v>
      </c>
      <c r="G2009" s="157" t="s">
        <v>5989</v>
      </c>
      <c r="H2009" s="157"/>
      <c r="I2009" s="158">
        <v>-0.97597</v>
      </c>
      <c r="J2009" s="158">
        <v>57.81391</v>
      </c>
      <c r="K2009" s="157" t="s">
        <v>5978</v>
      </c>
      <c r="L2009" s="157" t="s">
        <v>648</v>
      </c>
      <c r="M2009" s="158">
        <v>2019.0</v>
      </c>
      <c r="N2009" s="157" t="s">
        <v>649</v>
      </c>
      <c r="O2009" s="157" t="s">
        <v>650</v>
      </c>
      <c r="P2009" s="161" t="b">
        <v>0</v>
      </c>
      <c r="Q2009" s="158">
        <v>0.392</v>
      </c>
      <c r="R2009" s="158">
        <v>0.0</v>
      </c>
      <c r="S2009" s="158">
        <v>0.392</v>
      </c>
      <c r="T2009" s="157" t="s">
        <v>594</v>
      </c>
      <c r="U2009" s="46" t="s">
        <v>651</v>
      </c>
      <c r="V2009" s="46" t="b">
        <v>1</v>
      </c>
      <c r="W2009" s="46">
        <v>0.95</v>
      </c>
      <c r="X2009" s="46">
        <v>0.0</v>
      </c>
      <c r="Y2009" s="46">
        <v>9.46320272119057</v>
      </c>
      <c r="Z2009" s="46" t="b">
        <v>1</v>
      </c>
      <c r="AA2009" s="46" t="b">
        <v>1</v>
      </c>
    </row>
    <row r="2010">
      <c r="A2010" s="157" t="s">
        <v>563</v>
      </c>
      <c r="B2010" s="158">
        <v>1.0</v>
      </c>
      <c r="C2010" s="157" t="s">
        <v>642</v>
      </c>
      <c r="D2010" s="157" t="s">
        <v>643</v>
      </c>
      <c r="E2010" s="157" t="s">
        <v>644</v>
      </c>
      <c r="F2010" s="157" t="s">
        <v>5990</v>
      </c>
      <c r="G2010" s="157" t="s">
        <v>5991</v>
      </c>
      <c r="H2010" s="157"/>
      <c r="I2010" s="158">
        <v>0.75120261</v>
      </c>
      <c r="J2010" s="158">
        <v>51.362175</v>
      </c>
      <c r="K2010" s="157" t="s">
        <v>5992</v>
      </c>
      <c r="L2010" s="157" t="s">
        <v>648</v>
      </c>
      <c r="M2010" s="158">
        <v>2019.0</v>
      </c>
      <c r="N2010" s="157" t="s">
        <v>649</v>
      </c>
      <c r="O2010" s="157" t="s">
        <v>650</v>
      </c>
      <c r="P2010" s="161" t="b">
        <v>0</v>
      </c>
      <c r="Q2010" s="158">
        <v>0.381</v>
      </c>
      <c r="R2010" s="158">
        <v>0.0</v>
      </c>
      <c r="S2010" s="158">
        <v>0.381</v>
      </c>
      <c r="T2010" s="157" t="s">
        <v>594</v>
      </c>
      <c r="U2010" s="46" t="s">
        <v>651</v>
      </c>
      <c r="V2010" s="46" t="b">
        <v>1</v>
      </c>
      <c r="W2010" s="46">
        <v>0.95</v>
      </c>
      <c r="X2010" s="46">
        <v>0.0</v>
      </c>
      <c r="Y2010" s="46">
        <v>87.373285094314</v>
      </c>
      <c r="Z2010" s="46" t="b">
        <v>0</v>
      </c>
      <c r="AA2010" s="46" t="b">
        <v>1</v>
      </c>
    </row>
    <row r="2011">
      <c r="A2011" s="157" t="s">
        <v>563</v>
      </c>
      <c r="B2011" s="158">
        <v>1.0</v>
      </c>
      <c r="C2011" s="157" t="s">
        <v>642</v>
      </c>
      <c r="D2011" s="157" t="s">
        <v>643</v>
      </c>
      <c r="E2011" s="157" t="s">
        <v>644</v>
      </c>
      <c r="F2011" s="157" t="s">
        <v>5993</v>
      </c>
      <c r="G2011" s="157" t="s">
        <v>5994</v>
      </c>
      <c r="H2011" s="157"/>
      <c r="I2011" s="158">
        <v>-2.5261278</v>
      </c>
      <c r="J2011" s="158">
        <v>52.84339</v>
      </c>
      <c r="K2011" s="157" t="s">
        <v>5995</v>
      </c>
      <c r="L2011" s="157" t="s">
        <v>648</v>
      </c>
      <c r="M2011" s="158">
        <v>2019.0</v>
      </c>
      <c r="N2011" s="157" t="s">
        <v>649</v>
      </c>
      <c r="O2011" s="157" t="s">
        <v>650</v>
      </c>
      <c r="P2011" s="161" t="b">
        <v>0</v>
      </c>
      <c r="Q2011" s="158">
        <v>0.355</v>
      </c>
      <c r="R2011" s="158">
        <v>0.0</v>
      </c>
      <c r="S2011" s="158">
        <v>0.355</v>
      </c>
      <c r="T2011" s="157" t="s">
        <v>594</v>
      </c>
      <c r="U2011" s="46" t="s">
        <v>651</v>
      </c>
      <c r="V2011" s="46" t="b">
        <v>1</v>
      </c>
      <c r="W2011" s="46">
        <v>0.95</v>
      </c>
      <c r="X2011" s="46">
        <v>0.0</v>
      </c>
      <c r="Y2011" s="46">
        <v>41.9798440333406</v>
      </c>
      <c r="Z2011" s="46" t="b">
        <v>1</v>
      </c>
      <c r="AA2011" s="46" t="b">
        <v>1</v>
      </c>
    </row>
    <row r="2012">
      <c r="A2012" s="157" t="s">
        <v>563</v>
      </c>
      <c r="B2012" s="158">
        <v>1.0</v>
      </c>
      <c r="C2012" s="157" t="s">
        <v>642</v>
      </c>
      <c r="D2012" s="157" t="s">
        <v>643</v>
      </c>
      <c r="E2012" s="157" t="s">
        <v>644</v>
      </c>
      <c r="F2012" s="157" t="s">
        <v>5996</v>
      </c>
      <c r="G2012" s="157" t="s">
        <v>5997</v>
      </c>
      <c r="H2012" s="157"/>
      <c r="I2012" s="158">
        <v>1.32164</v>
      </c>
      <c r="J2012" s="158">
        <v>59.32444</v>
      </c>
      <c r="K2012" s="157" t="s">
        <v>5978</v>
      </c>
      <c r="L2012" s="157" t="s">
        <v>648</v>
      </c>
      <c r="M2012" s="158">
        <v>2019.0</v>
      </c>
      <c r="N2012" s="157" t="s">
        <v>649</v>
      </c>
      <c r="O2012" s="157" t="s">
        <v>650</v>
      </c>
      <c r="P2012" s="161" t="b">
        <v>0</v>
      </c>
      <c r="Q2012" s="158">
        <v>0.354</v>
      </c>
      <c r="R2012" s="158">
        <v>0.0</v>
      </c>
      <c r="S2012" s="158">
        <v>0.354</v>
      </c>
      <c r="T2012" s="157" t="s">
        <v>594</v>
      </c>
      <c r="U2012" s="46" t="s">
        <v>651</v>
      </c>
      <c r="V2012" s="46" t="b">
        <v>1</v>
      </c>
      <c r="W2012" s="46">
        <v>0.95</v>
      </c>
      <c r="X2012" s="46">
        <v>0.0</v>
      </c>
      <c r="Y2012" s="46" t="s">
        <v>640</v>
      </c>
      <c r="Z2012" s="46" t="b">
        <v>0</v>
      </c>
      <c r="AA2012" s="46" t="b">
        <v>0</v>
      </c>
    </row>
    <row r="2013">
      <c r="A2013" s="157" t="s">
        <v>563</v>
      </c>
      <c r="B2013" s="158">
        <v>1.0</v>
      </c>
      <c r="C2013" s="157" t="s">
        <v>642</v>
      </c>
      <c r="D2013" s="157" t="s">
        <v>643</v>
      </c>
      <c r="E2013" s="157" t="s">
        <v>644</v>
      </c>
      <c r="F2013" s="157" t="s">
        <v>5998</v>
      </c>
      <c r="G2013" s="157" t="s">
        <v>5999</v>
      </c>
      <c r="H2013" s="157"/>
      <c r="I2013" s="158">
        <v>-3.83413</v>
      </c>
      <c r="J2013" s="158">
        <v>51.61582</v>
      </c>
      <c r="K2013" s="157" t="s">
        <v>6000</v>
      </c>
      <c r="L2013" s="157" t="s">
        <v>648</v>
      </c>
      <c r="M2013" s="158">
        <v>2019.0</v>
      </c>
      <c r="N2013" s="157" t="s">
        <v>649</v>
      </c>
      <c r="O2013" s="157" t="s">
        <v>650</v>
      </c>
      <c r="P2013" s="161" t="b">
        <v>0</v>
      </c>
      <c r="Q2013" s="158">
        <v>0.339</v>
      </c>
      <c r="R2013" s="158">
        <v>0.0</v>
      </c>
      <c r="S2013" s="158">
        <v>0.339</v>
      </c>
      <c r="T2013" s="157" t="s">
        <v>594</v>
      </c>
      <c r="U2013" s="46" t="s">
        <v>651</v>
      </c>
      <c r="V2013" s="46" t="b">
        <v>1</v>
      </c>
      <c r="W2013" s="46">
        <v>0.95</v>
      </c>
      <c r="X2013" s="46">
        <v>0.0</v>
      </c>
      <c r="Y2013" s="46" t="s">
        <v>640</v>
      </c>
      <c r="Z2013" s="46" t="b">
        <v>0</v>
      </c>
      <c r="AA2013" s="46" t="b">
        <v>0</v>
      </c>
    </row>
    <row r="2014">
      <c r="A2014" s="157" t="s">
        <v>563</v>
      </c>
      <c r="B2014" s="158">
        <v>1.0</v>
      </c>
      <c r="C2014" s="157" t="s">
        <v>642</v>
      </c>
      <c r="D2014" s="157" t="s">
        <v>643</v>
      </c>
      <c r="E2014" s="157" t="s">
        <v>644</v>
      </c>
      <c r="F2014" s="157" t="s">
        <v>6001</v>
      </c>
      <c r="G2014" s="157" t="s">
        <v>6002</v>
      </c>
      <c r="H2014" s="157"/>
      <c r="I2014" s="158">
        <v>1.46909</v>
      </c>
      <c r="J2014" s="158">
        <v>60.85678</v>
      </c>
      <c r="K2014" s="157" t="s">
        <v>5978</v>
      </c>
      <c r="L2014" s="157" t="s">
        <v>648</v>
      </c>
      <c r="M2014" s="158">
        <v>2019.0</v>
      </c>
      <c r="N2014" s="157" t="s">
        <v>649</v>
      </c>
      <c r="O2014" s="157" t="s">
        <v>650</v>
      </c>
      <c r="P2014" s="161" t="b">
        <v>0</v>
      </c>
      <c r="Q2014" s="158">
        <v>0.337</v>
      </c>
      <c r="R2014" s="158">
        <v>0.0</v>
      </c>
      <c r="S2014" s="158">
        <v>0.337</v>
      </c>
      <c r="T2014" s="157" t="s">
        <v>594</v>
      </c>
      <c r="U2014" s="46" t="s">
        <v>651</v>
      </c>
      <c r="V2014" s="46" t="b">
        <v>1</v>
      </c>
      <c r="W2014" s="46">
        <v>0.95</v>
      </c>
      <c r="X2014" s="46">
        <v>0.0</v>
      </c>
      <c r="Y2014" s="46">
        <v>113.433369698918</v>
      </c>
      <c r="Z2014" s="46" t="b">
        <v>0</v>
      </c>
      <c r="AA2014" s="46" t="b">
        <v>0</v>
      </c>
    </row>
    <row r="2015">
      <c r="A2015" s="157" t="s">
        <v>563</v>
      </c>
      <c r="B2015" s="158">
        <v>1.0</v>
      </c>
      <c r="C2015" s="157" t="s">
        <v>642</v>
      </c>
      <c r="D2015" s="157" t="s">
        <v>643</v>
      </c>
      <c r="E2015" s="157" t="s">
        <v>644</v>
      </c>
      <c r="F2015" s="157" t="s">
        <v>6003</v>
      </c>
      <c r="G2015" s="157" t="s">
        <v>6004</v>
      </c>
      <c r="H2015" s="157"/>
      <c r="I2015" s="158">
        <v>-0.51171439</v>
      </c>
      <c r="J2015" s="158">
        <v>53.542543</v>
      </c>
      <c r="K2015" s="157" t="s">
        <v>6005</v>
      </c>
      <c r="L2015" s="157" t="s">
        <v>648</v>
      </c>
      <c r="M2015" s="158">
        <v>2019.0</v>
      </c>
      <c r="N2015" s="157" t="s">
        <v>649</v>
      </c>
      <c r="O2015" s="157" t="s">
        <v>650</v>
      </c>
      <c r="P2015" s="161" t="b">
        <v>0</v>
      </c>
      <c r="Q2015" s="158">
        <v>0.33</v>
      </c>
      <c r="R2015" s="158">
        <v>0.0</v>
      </c>
      <c r="S2015" s="158">
        <v>0.33</v>
      </c>
      <c r="T2015" s="157" t="s">
        <v>594</v>
      </c>
      <c r="U2015" s="46" t="s">
        <v>651</v>
      </c>
      <c r="V2015" s="46" t="b">
        <v>1</v>
      </c>
      <c r="W2015" s="46">
        <v>0.95</v>
      </c>
      <c r="X2015" s="46">
        <v>0.0</v>
      </c>
      <c r="Y2015" s="46">
        <v>2.01753879274074</v>
      </c>
      <c r="Z2015" s="46" t="b">
        <v>1</v>
      </c>
      <c r="AA2015" s="46" t="b">
        <v>1</v>
      </c>
    </row>
    <row r="2016">
      <c r="A2016" s="157" t="s">
        <v>563</v>
      </c>
      <c r="B2016" s="158">
        <v>1.0</v>
      </c>
      <c r="C2016" s="157" t="s">
        <v>642</v>
      </c>
      <c r="D2016" s="157" t="s">
        <v>643</v>
      </c>
      <c r="E2016" s="157" t="s">
        <v>644</v>
      </c>
      <c r="F2016" s="157" t="s">
        <v>6006</v>
      </c>
      <c r="G2016" s="157" t="s">
        <v>6007</v>
      </c>
      <c r="H2016" s="157"/>
      <c r="I2016" s="158">
        <v>1.66147</v>
      </c>
      <c r="J2016" s="158">
        <v>57.29446</v>
      </c>
      <c r="K2016" s="157" t="s">
        <v>5978</v>
      </c>
      <c r="L2016" s="157" t="s">
        <v>648</v>
      </c>
      <c r="M2016" s="158">
        <v>2019.0</v>
      </c>
      <c r="N2016" s="157" t="s">
        <v>649</v>
      </c>
      <c r="O2016" s="157" t="s">
        <v>650</v>
      </c>
      <c r="P2016" s="161" t="b">
        <v>0</v>
      </c>
      <c r="Q2016" s="158">
        <v>0.28</v>
      </c>
      <c r="R2016" s="158">
        <v>0.0</v>
      </c>
      <c r="S2016" s="158">
        <v>0.28</v>
      </c>
      <c r="T2016" s="157" t="s">
        <v>594</v>
      </c>
      <c r="U2016" s="46" t="s">
        <v>651</v>
      </c>
      <c r="V2016" s="46" t="b">
        <v>1</v>
      </c>
      <c r="W2016" s="46">
        <v>0.95</v>
      </c>
      <c r="X2016" s="46">
        <v>0.0</v>
      </c>
      <c r="Y2016" s="46">
        <v>114.92307053319</v>
      </c>
      <c r="Z2016" s="46" t="b">
        <v>0</v>
      </c>
      <c r="AA2016" s="46" t="b">
        <v>0</v>
      </c>
    </row>
    <row r="2017">
      <c r="A2017" s="157" t="s">
        <v>563</v>
      </c>
      <c r="B2017" s="158">
        <v>1.0</v>
      </c>
      <c r="C2017" s="157" t="s">
        <v>642</v>
      </c>
      <c r="D2017" s="157" t="s">
        <v>643</v>
      </c>
      <c r="E2017" s="157" t="s">
        <v>644</v>
      </c>
      <c r="F2017" s="157" t="s">
        <v>6008</v>
      </c>
      <c r="G2017" s="157" t="s">
        <v>6009</v>
      </c>
      <c r="H2017" s="157"/>
      <c r="I2017" s="158">
        <v>1.10001</v>
      </c>
      <c r="J2017" s="158">
        <v>58.48333</v>
      </c>
      <c r="K2017" s="157" t="s">
        <v>5978</v>
      </c>
      <c r="L2017" s="157" t="s">
        <v>648</v>
      </c>
      <c r="M2017" s="158">
        <v>2019.0</v>
      </c>
      <c r="N2017" s="157" t="s">
        <v>649</v>
      </c>
      <c r="O2017" s="157" t="s">
        <v>650</v>
      </c>
      <c r="P2017" s="161" t="b">
        <v>0</v>
      </c>
      <c r="Q2017" s="158">
        <v>0.278</v>
      </c>
      <c r="R2017" s="158">
        <v>0.0</v>
      </c>
      <c r="S2017" s="158">
        <v>0.278</v>
      </c>
      <c r="T2017" s="157" t="s">
        <v>594</v>
      </c>
      <c r="U2017" s="46" t="s">
        <v>651</v>
      </c>
      <c r="V2017" s="46" t="b">
        <v>1</v>
      </c>
      <c r="W2017" s="46">
        <v>0.95</v>
      </c>
      <c r="X2017" s="46">
        <v>0.0</v>
      </c>
      <c r="Y2017" s="46">
        <v>75.187481829635</v>
      </c>
      <c r="Z2017" s="46" t="b">
        <v>0</v>
      </c>
      <c r="AA2017" s="46" t="b">
        <v>1</v>
      </c>
    </row>
    <row r="2018">
      <c r="A2018" s="157" t="s">
        <v>563</v>
      </c>
      <c r="B2018" s="158">
        <v>1.0</v>
      </c>
      <c r="C2018" s="157" t="s">
        <v>642</v>
      </c>
      <c r="D2018" s="157" t="s">
        <v>643</v>
      </c>
      <c r="E2018" s="157" t="s">
        <v>644</v>
      </c>
      <c r="F2018" s="157" t="s">
        <v>6010</v>
      </c>
      <c r="G2018" s="157" t="s">
        <v>6011</v>
      </c>
      <c r="H2018" s="157"/>
      <c r="I2018" s="158">
        <v>1.29175</v>
      </c>
      <c r="J2018" s="158">
        <v>59.92844</v>
      </c>
      <c r="K2018" s="157" t="s">
        <v>5978</v>
      </c>
      <c r="L2018" s="157" t="s">
        <v>648</v>
      </c>
      <c r="M2018" s="158">
        <v>2019.0</v>
      </c>
      <c r="N2018" s="157" t="s">
        <v>649</v>
      </c>
      <c r="O2018" s="157" t="s">
        <v>650</v>
      </c>
      <c r="P2018" s="161" t="b">
        <v>0</v>
      </c>
      <c r="Q2018" s="158">
        <v>0.275</v>
      </c>
      <c r="R2018" s="158">
        <v>0.0</v>
      </c>
      <c r="S2018" s="158">
        <v>0.275</v>
      </c>
      <c r="T2018" s="157" t="s">
        <v>594</v>
      </c>
      <c r="U2018" s="46" t="s">
        <v>651</v>
      </c>
      <c r="V2018" s="46" t="b">
        <v>1</v>
      </c>
      <c r="W2018" s="46">
        <v>0.95</v>
      </c>
      <c r="X2018" s="46">
        <v>0.0</v>
      </c>
      <c r="Y2018" s="46" t="s">
        <v>640</v>
      </c>
      <c r="Z2018" s="46" t="b">
        <v>0</v>
      </c>
      <c r="AA2018" s="46" t="b">
        <v>0</v>
      </c>
    </row>
    <row r="2019">
      <c r="A2019" s="157" t="s">
        <v>563</v>
      </c>
      <c r="B2019" s="158">
        <v>1.0</v>
      </c>
      <c r="C2019" s="157" t="s">
        <v>642</v>
      </c>
      <c r="D2019" s="157" t="s">
        <v>643</v>
      </c>
      <c r="E2019" s="157" t="s">
        <v>644</v>
      </c>
      <c r="F2019" s="157" t="s">
        <v>6012</v>
      </c>
      <c r="G2019" s="157" t="s">
        <v>6013</v>
      </c>
      <c r="H2019" s="157"/>
      <c r="I2019" s="158">
        <v>1.28186</v>
      </c>
      <c r="J2019" s="158">
        <v>58.69263</v>
      </c>
      <c r="K2019" s="157" t="s">
        <v>5978</v>
      </c>
      <c r="L2019" s="157" t="s">
        <v>648</v>
      </c>
      <c r="M2019" s="158">
        <v>2019.0</v>
      </c>
      <c r="N2019" s="157" t="s">
        <v>649</v>
      </c>
      <c r="O2019" s="157" t="s">
        <v>650</v>
      </c>
      <c r="P2019" s="161" t="b">
        <v>0</v>
      </c>
      <c r="Q2019" s="158">
        <v>0.266</v>
      </c>
      <c r="R2019" s="158">
        <v>0.0</v>
      </c>
      <c r="S2019" s="158">
        <v>0.266</v>
      </c>
      <c r="T2019" s="157" t="s">
        <v>594</v>
      </c>
      <c r="U2019" s="46" t="s">
        <v>651</v>
      </c>
      <c r="V2019" s="46" t="b">
        <v>1</v>
      </c>
      <c r="W2019" s="46">
        <v>0.95</v>
      </c>
      <c r="X2019" s="46">
        <v>0.0</v>
      </c>
      <c r="Y2019" s="46">
        <v>99.7736442492781</v>
      </c>
      <c r="Z2019" s="46" t="b">
        <v>0</v>
      </c>
      <c r="AA2019" s="46" t="b">
        <v>1</v>
      </c>
    </row>
    <row r="2020">
      <c r="A2020" s="157" t="s">
        <v>563</v>
      </c>
      <c r="B2020" s="158">
        <v>1.0</v>
      </c>
      <c r="C2020" s="157" t="s">
        <v>642</v>
      </c>
      <c r="D2020" s="157" t="s">
        <v>643</v>
      </c>
      <c r="E2020" s="157" t="s">
        <v>644</v>
      </c>
      <c r="F2020" s="157" t="s">
        <v>6014</v>
      </c>
      <c r="G2020" s="157" t="s">
        <v>6015</v>
      </c>
      <c r="H2020" s="157"/>
      <c r="I2020" s="158">
        <v>1.73353</v>
      </c>
      <c r="J2020" s="158">
        <v>60.80961</v>
      </c>
      <c r="K2020" s="157" t="s">
        <v>5978</v>
      </c>
      <c r="L2020" s="157" t="s">
        <v>648</v>
      </c>
      <c r="M2020" s="158">
        <v>2019.0</v>
      </c>
      <c r="N2020" s="157" t="s">
        <v>649</v>
      </c>
      <c r="O2020" s="157" t="s">
        <v>650</v>
      </c>
      <c r="P2020" s="161" t="b">
        <v>0</v>
      </c>
      <c r="Q2020" s="158">
        <v>0.265</v>
      </c>
      <c r="R2020" s="158">
        <v>0.0</v>
      </c>
      <c r="S2020" s="158">
        <v>0.265</v>
      </c>
      <c r="T2020" s="157" t="s">
        <v>594</v>
      </c>
      <c r="U2020" s="46" t="s">
        <v>651</v>
      </c>
      <c r="V2020" s="46" t="b">
        <v>1</v>
      </c>
      <c r="W2020" s="46">
        <v>0.95</v>
      </c>
      <c r="X2020" s="46">
        <v>0.0</v>
      </c>
      <c r="Y2020" s="46">
        <v>98.1455282232038</v>
      </c>
      <c r="Z2020" s="46" t="b">
        <v>0</v>
      </c>
      <c r="AA2020" s="46" t="b">
        <v>1</v>
      </c>
    </row>
    <row r="2021">
      <c r="A2021" s="157" t="s">
        <v>563</v>
      </c>
      <c r="B2021" s="158">
        <v>1.0</v>
      </c>
      <c r="C2021" s="157" t="s">
        <v>642</v>
      </c>
      <c r="D2021" s="157" t="s">
        <v>643</v>
      </c>
      <c r="E2021" s="157" t="s">
        <v>644</v>
      </c>
      <c r="F2021" s="157" t="s">
        <v>6016</v>
      </c>
      <c r="G2021" s="157" t="s">
        <v>6017</v>
      </c>
      <c r="H2021" s="157"/>
      <c r="I2021" s="158">
        <v>-1.403064</v>
      </c>
      <c r="J2021" s="158">
        <v>53.419079</v>
      </c>
      <c r="K2021" s="157" t="s">
        <v>6018</v>
      </c>
      <c r="L2021" s="157" t="s">
        <v>648</v>
      </c>
      <c r="M2021" s="158">
        <v>2019.0</v>
      </c>
      <c r="N2021" s="157" t="s">
        <v>649</v>
      </c>
      <c r="O2021" s="157" t="s">
        <v>650</v>
      </c>
      <c r="P2021" s="161" t="b">
        <v>0</v>
      </c>
      <c r="Q2021" s="158">
        <v>0.262</v>
      </c>
      <c r="R2021" s="158">
        <v>0.0</v>
      </c>
      <c r="S2021" s="158">
        <v>0.262</v>
      </c>
      <c r="T2021" s="157" t="s">
        <v>594</v>
      </c>
      <c r="U2021" s="46" t="s">
        <v>651</v>
      </c>
      <c r="V2021" s="46" t="b">
        <v>1</v>
      </c>
      <c r="W2021" s="46">
        <v>0.95</v>
      </c>
      <c r="X2021" s="46">
        <v>0.0</v>
      </c>
      <c r="Y2021" s="46">
        <v>48.8107554154702</v>
      </c>
      <c r="Z2021" s="46" t="b">
        <v>1</v>
      </c>
      <c r="AA2021" s="46" t="b">
        <v>1</v>
      </c>
    </row>
    <row r="2022">
      <c r="A2022" s="157" t="s">
        <v>563</v>
      </c>
      <c r="B2022" s="158">
        <v>1.0</v>
      </c>
      <c r="C2022" s="157" t="s">
        <v>642</v>
      </c>
      <c r="D2022" s="157" t="s">
        <v>643</v>
      </c>
      <c r="E2022" s="157" t="s">
        <v>644</v>
      </c>
      <c r="F2022" s="157" t="s">
        <v>6019</v>
      </c>
      <c r="G2022" s="157" t="s">
        <v>6020</v>
      </c>
      <c r="H2022" s="157"/>
      <c r="I2022" s="158">
        <v>0.008789124</v>
      </c>
      <c r="J2022" s="158">
        <v>51.761606</v>
      </c>
      <c r="K2022" s="157" t="s">
        <v>6021</v>
      </c>
      <c r="L2022" s="157" t="s">
        <v>648</v>
      </c>
      <c r="M2022" s="158">
        <v>2019.0</v>
      </c>
      <c r="N2022" s="157" t="s">
        <v>649</v>
      </c>
      <c r="O2022" s="157" t="s">
        <v>650</v>
      </c>
      <c r="P2022" s="161" t="b">
        <v>0</v>
      </c>
      <c r="Q2022" s="158">
        <v>0.262</v>
      </c>
      <c r="R2022" s="158">
        <v>0.0</v>
      </c>
      <c r="S2022" s="158">
        <v>0.262</v>
      </c>
      <c r="T2022" s="157" t="s">
        <v>594</v>
      </c>
      <c r="U2022" s="46" t="s">
        <v>651</v>
      </c>
      <c r="V2022" s="46" t="b">
        <v>1</v>
      </c>
      <c r="W2022" s="46">
        <v>0.95</v>
      </c>
      <c r="X2022" s="46">
        <v>0.0</v>
      </c>
      <c r="Y2022" s="46">
        <v>155.21991570913</v>
      </c>
      <c r="Z2022" s="46" t="b">
        <v>0</v>
      </c>
      <c r="AA2022" s="46" t="b">
        <v>0</v>
      </c>
    </row>
    <row r="2023">
      <c r="A2023" s="157" t="s">
        <v>563</v>
      </c>
      <c r="B2023" s="158">
        <v>1.0</v>
      </c>
      <c r="C2023" s="157" t="s">
        <v>642</v>
      </c>
      <c r="D2023" s="157" t="s">
        <v>643</v>
      </c>
      <c r="E2023" s="157" t="s">
        <v>644</v>
      </c>
      <c r="F2023" s="157" t="s">
        <v>6022</v>
      </c>
      <c r="G2023" s="157" t="s">
        <v>6023</v>
      </c>
      <c r="H2023" s="157"/>
      <c r="I2023" s="158">
        <v>1.95381</v>
      </c>
      <c r="J2023" s="158">
        <v>57.03155</v>
      </c>
      <c r="K2023" s="157" t="s">
        <v>5978</v>
      </c>
      <c r="L2023" s="157" t="s">
        <v>648</v>
      </c>
      <c r="M2023" s="158">
        <v>2019.0</v>
      </c>
      <c r="N2023" s="157" t="s">
        <v>649</v>
      </c>
      <c r="O2023" s="157" t="s">
        <v>650</v>
      </c>
      <c r="P2023" s="161" t="b">
        <v>0</v>
      </c>
      <c r="Q2023" s="158">
        <v>0.26</v>
      </c>
      <c r="R2023" s="158">
        <v>0.0</v>
      </c>
      <c r="S2023" s="158">
        <v>0.26</v>
      </c>
      <c r="T2023" s="157" t="s">
        <v>594</v>
      </c>
      <c r="U2023" s="46" t="s">
        <v>651</v>
      </c>
      <c r="V2023" s="46" t="b">
        <v>1</v>
      </c>
      <c r="W2023" s="46">
        <v>0.95</v>
      </c>
      <c r="X2023" s="46">
        <v>0.0</v>
      </c>
      <c r="Y2023" s="46">
        <v>147.188883138088</v>
      </c>
      <c r="Z2023" s="46" t="b">
        <v>0</v>
      </c>
      <c r="AA2023" s="46" t="b">
        <v>0</v>
      </c>
    </row>
    <row r="2024">
      <c r="A2024" s="157" t="s">
        <v>563</v>
      </c>
      <c r="B2024" s="158">
        <v>1.0</v>
      </c>
      <c r="C2024" s="157" t="s">
        <v>642</v>
      </c>
      <c r="D2024" s="157" t="s">
        <v>643</v>
      </c>
      <c r="E2024" s="157" t="s">
        <v>644</v>
      </c>
      <c r="F2024" s="157" t="s">
        <v>6024</v>
      </c>
      <c r="G2024" s="157" t="s">
        <v>6025</v>
      </c>
      <c r="H2024" s="157"/>
      <c r="I2024" s="158">
        <v>1.30543</v>
      </c>
      <c r="J2024" s="158">
        <v>61.61961</v>
      </c>
      <c r="K2024" s="157" t="s">
        <v>5978</v>
      </c>
      <c r="L2024" s="157" t="s">
        <v>648</v>
      </c>
      <c r="M2024" s="158">
        <v>2019.0</v>
      </c>
      <c r="N2024" s="157" t="s">
        <v>649</v>
      </c>
      <c r="O2024" s="157" t="s">
        <v>650</v>
      </c>
      <c r="P2024" s="161" t="b">
        <v>0</v>
      </c>
      <c r="Q2024" s="158">
        <v>0.259</v>
      </c>
      <c r="R2024" s="158">
        <v>0.0</v>
      </c>
      <c r="S2024" s="158">
        <v>0.259</v>
      </c>
      <c r="T2024" s="157" t="s">
        <v>594</v>
      </c>
      <c r="U2024" s="46" t="s">
        <v>651</v>
      </c>
      <c r="V2024" s="46" t="b">
        <v>1</v>
      </c>
      <c r="W2024" s="46">
        <v>0.95</v>
      </c>
      <c r="X2024" s="46">
        <v>0.0</v>
      </c>
      <c r="Y2024" s="46">
        <v>166.572419930188</v>
      </c>
      <c r="Z2024" s="46" t="b">
        <v>0</v>
      </c>
      <c r="AA2024" s="46" t="b">
        <v>0</v>
      </c>
    </row>
    <row r="2025">
      <c r="A2025" s="157" t="s">
        <v>563</v>
      </c>
      <c r="B2025" s="158">
        <v>1.0</v>
      </c>
      <c r="C2025" s="157" t="s">
        <v>642</v>
      </c>
      <c r="D2025" s="157" t="s">
        <v>643</v>
      </c>
      <c r="E2025" s="157" t="s">
        <v>644</v>
      </c>
      <c r="F2025" s="157" t="s">
        <v>6026</v>
      </c>
      <c r="G2025" s="157" t="s">
        <v>6027</v>
      </c>
      <c r="H2025" s="157"/>
      <c r="I2025" s="158">
        <v>0.1311985</v>
      </c>
      <c r="J2025" s="158">
        <v>52.397888</v>
      </c>
      <c r="K2025" s="157" t="s">
        <v>6028</v>
      </c>
      <c r="L2025" s="157" t="s">
        <v>648</v>
      </c>
      <c r="M2025" s="158">
        <v>2019.0</v>
      </c>
      <c r="N2025" s="157" t="s">
        <v>649</v>
      </c>
      <c r="O2025" s="157" t="s">
        <v>650</v>
      </c>
      <c r="P2025" s="161" t="b">
        <v>0</v>
      </c>
      <c r="Q2025" s="158">
        <v>0.259</v>
      </c>
      <c r="R2025" s="158">
        <v>0.0</v>
      </c>
      <c r="S2025" s="158">
        <v>0.259</v>
      </c>
      <c r="T2025" s="157" t="s">
        <v>594</v>
      </c>
      <c r="U2025" s="46" t="s">
        <v>651</v>
      </c>
      <c r="V2025" s="46" t="b">
        <v>1</v>
      </c>
      <c r="W2025" s="46">
        <v>0.95</v>
      </c>
      <c r="X2025" s="46">
        <v>0.0</v>
      </c>
      <c r="Y2025" s="46">
        <v>108.755410242656</v>
      </c>
      <c r="Z2025" s="46" t="b">
        <v>0</v>
      </c>
      <c r="AA2025" s="46" t="b">
        <v>0</v>
      </c>
    </row>
    <row r="2026">
      <c r="A2026" s="157" t="s">
        <v>563</v>
      </c>
      <c r="B2026" s="158">
        <v>1.0</v>
      </c>
      <c r="C2026" s="157" t="s">
        <v>642</v>
      </c>
      <c r="D2026" s="157" t="s">
        <v>643</v>
      </c>
      <c r="E2026" s="157" t="s">
        <v>644</v>
      </c>
      <c r="F2026" s="157" t="s">
        <v>6029</v>
      </c>
      <c r="G2026" s="157" t="s">
        <v>6030</v>
      </c>
      <c r="H2026" s="157"/>
      <c r="I2026" s="158">
        <v>0.25111</v>
      </c>
      <c r="J2026" s="158">
        <v>58.46139</v>
      </c>
      <c r="K2026" s="157" t="s">
        <v>5978</v>
      </c>
      <c r="L2026" s="157" t="s">
        <v>648</v>
      </c>
      <c r="M2026" s="158">
        <v>2019.0</v>
      </c>
      <c r="N2026" s="157" t="s">
        <v>649</v>
      </c>
      <c r="O2026" s="157" t="s">
        <v>650</v>
      </c>
      <c r="P2026" s="161" t="b">
        <v>0</v>
      </c>
      <c r="Q2026" s="158">
        <v>0.256</v>
      </c>
      <c r="R2026" s="158">
        <v>0.0</v>
      </c>
      <c r="S2026" s="158">
        <v>0.256</v>
      </c>
      <c r="T2026" s="157" t="s">
        <v>594</v>
      </c>
      <c r="U2026" s="46" t="s">
        <v>651</v>
      </c>
      <c r="V2026" s="46" t="b">
        <v>1</v>
      </c>
      <c r="W2026" s="46">
        <v>0.95</v>
      </c>
      <c r="X2026" s="46">
        <v>0.0</v>
      </c>
      <c r="Y2026" s="46">
        <v>52.9088088328605</v>
      </c>
      <c r="Z2026" s="46" t="b">
        <v>0</v>
      </c>
      <c r="AA2026" s="46" t="b">
        <v>1</v>
      </c>
    </row>
    <row r="2027">
      <c r="A2027" s="157" t="s">
        <v>563</v>
      </c>
      <c r="B2027" s="158">
        <v>1.0</v>
      </c>
      <c r="C2027" s="157" t="s">
        <v>642</v>
      </c>
      <c r="D2027" s="157" t="s">
        <v>643</v>
      </c>
      <c r="E2027" s="157" t="s">
        <v>644</v>
      </c>
      <c r="F2027" s="157" t="s">
        <v>6031</v>
      </c>
      <c r="G2027" s="157" t="s">
        <v>6032</v>
      </c>
      <c r="H2027" s="157"/>
      <c r="I2027" s="158">
        <v>-0.38367314</v>
      </c>
      <c r="J2027" s="158">
        <v>52.999517</v>
      </c>
      <c r="K2027" s="157" t="s">
        <v>6033</v>
      </c>
      <c r="L2027" s="157" t="s">
        <v>648</v>
      </c>
      <c r="M2027" s="158">
        <v>2019.0</v>
      </c>
      <c r="N2027" s="157" t="s">
        <v>649</v>
      </c>
      <c r="O2027" s="157" t="s">
        <v>650</v>
      </c>
      <c r="P2027" s="161" t="b">
        <v>0</v>
      </c>
      <c r="Q2027" s="158">
        <v>0.248</v>
      </c>
      <c r="R2027" s="158">
        <v>0.0</v>
      </c>
      <c r="S2027" s="158">
        <v>0.248</v>
      </c>
      <c r="T2027" s="157" t="s">
        <v>594</v>
      </c>
      <c r="U2027" s="46" t="s">
        <v>651</v>
      </c>
      <c r="V2027" s="46" t="b">
        <v>1</v>
      </c>
      <c r="W2027" s="46">
        <v>0.95</v>
      </c>
      <c r="X2027" s="46">
        <v>0.0</v>
      </c>
      <c r="Y2027" s="46">
        <v>52.4397193166075</v>
      </c>
      <c r="Z2027" s="46" t="b">
        <v>0</v>
      </c>
      <c r="AA2027" s="46" t="b">
        <v>1</v>
      </c>
    </row>
    <row r="2028">
      <c r="A2028" s="157" t="s">
        <v>563</v>
      </c>
      <c r="B2028" s="158">
        <v>1.0</v>
      </c>
      <c r="C2028" s="157" t="s">
        <v>642</v>
      </c>
      <c r="D2028" s="157" t="s">
        <v>643</v>
      </c>
      <c r="E2028" s="157" t="s">
        <v>644</v>
      </c>
      <c r="F2028" s="157" t="s">
        <v>6034</v>
      </c>
      <c r="G2028" s="157" t="s">
        <v>6035</v>
      </c>
      <c r="H2028" s="157"/>
      <c r="I2028" s="158">
        <v>1.67096</v>
      </c>
      <c r="J2028" s="158">
        <v>59.74243</v>
      </c>
      <c r="K2028" s="157" t="s">
        <v>5978</v>
      </c>
      <c r="L2028" s="157" t="s">
        <v>648</v>
      </c>
      <c r="M2028" s="158">
        <v>2019.0</v>
      </c>
      <c r="N2028" s="157" t="s">
        <v>649</v>
      </c>
      <c r="O2028" s="157" t="s">
        <v>650</v>
      </c>
      <c r="P2028" s="161" t="b">
        <v>0</v>
      </c>
      <c r="Q2028" s="158">
        <v>0.241</v>
      </c>
      <c r="R2028" s="158">
        <v>0.0</v>
      </c>
      <c r="S2028" s="158">
        <v>0.241</v>
      </c>
      <c r="T2028" s="157" t="s">
        <v>594</v>
      </c>
      <c r="U2028" s="46" t="s">
        <v>651</v>
      </c>
      <c r="V2028" s="46" t="b">
        <v>1</v>
      </c>
      <c r="W2028" s="46">
        <v>0.95</v>
      </c>
      <c r="X2028" s="46">
        <v>0.0</v>
      </c>
      <c r="Y2028" s="46">
        <v>132.69961005656</v>
      </c>
      <c r="Z2028" s="46" t="b">
        <v>0</v>
      </c>
      <c r="AA2028" s="46" t="b">
        <v>0</v>
      </c>
    </row>
    <row r="2029">
      <c r="A2029" s="157" t="s">
        <v>563</v>
      </c>
      <c r="B2029" s="158">
        <v>1.0</v>
      </c>
      <c r="C2029" s="157" t="s">
        <v>642</v>
      </c>
      <c r="D2029" s="157" t="s">
        <v>643</v>
      </c>
      <c r="E2029" s="157" t="s">
        <v>644</v>
      </c>
      <c r="F2029" s="157" t="s">
        <v>6036</v>
      </c>
      <c r="G2029" s="157" t="s">
        <v>6037</v>
      </c>
      <c r="H2029" s="157"/>
      <c r="I2029" s="158">
        <v>1.45037</v>
      </c>
      <c r="J2029" s="158">
        <v>60.80556</v>
      </c>
      <c r="K2029" s="157" t="s">
        <v>5978</v>
      </c>
      <c r="L2029" s="157" t="s">
        <v>648</v>
      </c>
      <c r="M2029" s="158">
        <v>2019.0</v>
      </c>
      <c r="N2029" s="157" t="s">
        <v>649</v>
      </c>
      <c r="O2029" s="157" t="s">
        <v>650</v>
      </c>
      <c r="P2029" s="161" t="b">
        <v>0</v>
      </c>
      <c r="Q2029" s="158">
        <v>0.239</v>
      </c>
      <c r="R2029" s="158">
        <v>0.0</v>
      </c>
      <c r="S2029" s="158">
        <v>0.239</v>
      </c>
      <c r="T2029" s="157" t="s">
        <v>594</v>
      </c>
      <c r="U2029" s="46" t="s">
        <v>651</v>
      </c>
      <c r="V2029" s="46" t="b">
        <v>1</v>
      </c>
      <c r="W2029" s="46">
        <v>0.95</v>
      </c>
      <c r="X2029" s="46">
        <v>0.0</v>
      </c>
      <c r="Y2029" s="46">
        <v>112.866176786482</v>
      </c>
      <c r="Z2029" s="46" t="b">
        <v>0</v>
      </c>
      <c r="AA2029" s="46" t="b">
        <v>0</v>
      </c>
    </row>
    <row r="2030">
      <c r="A2030" s="157" t="s">
        <v>563</v>
      </c>
      <c r="B2030" s="158">
        <v>1.0</v>
      </c>
      <c r="C2030" s="157" t="s">
        <v>642</v>
      </c>
      <c r="D2030" s="157" t="s">
        <v>643</v>
      </c>
      <c r="E2030" s="157" t="s">
        <v>644</v>
      </c>
      <c r="F2030" s="157" t="s">
        <v>6038</v>
      </c>
      <c r="G2030" s="157" t="s">
        <v>6039</v>
      </c>
      <c r="H2030" s="157"/>
      <c r="I2030" s="158">
        <v>-5.08436</v>
      </c>
      <c r="J2030" s="158">
        <v>51.71922</v>
      </c>
      <c r="K2030" s="157" t="s">
        <v>4159</v>
      </c>
      <c r="L2030" s="157" t="s">
        <v>648</v>
      </c>
      <c r="M2030" s="158">
        <v>2019.0</v>
      </c>
      <c r="N2030" s="157" t="s">
        <v>649</v>
      </c>
      <c r="O2030" s="157" t="s">
        <v>650</v>
      </c>
      <c r="P2030" s="161" t="b">
        <v>0</v>
      </c>
      <c r="Q2030" s="158">
        <v>0.237</v>
      </c>
      <c r="R2030" s="158">
        <v>0.0</v>
      </c>
      <c r="S2030" s="158">
        <v>0.237</v>
      </c>
      <c r="T2030" s="157" t="s">
        <v>594</v>
      </c>
      <c r="U2030" s="46" t="s">
        <v>651</v>
      </c>
      <c r="V2030" s="46" t="b">
        <v>1</v>
      </c>
      <c r="W2030" s="46">
        <v>0.95</v>
      </c>
      <c r="X2030" s="46">
        <v>0.0</v>
      </c>
      <c r="Y2030" s="46" t="s">
        <v>640</v>
      </c>
      <c r="Z2030" s="46" t="b">
        <v>0</v>
      </c>
      <c r="AA2030" s="46" t="b">
        <v>0</v>
      </c>
    </row>
    <row r="2031">
      <c r="A2031" s="157" t="s">
        <v>563</v>
      </c>
      <c r="B2031" s="158">
        <v>1.0</v>
      </c>
      <c r="C2031" s="157" t="s">
        <v>642</v>
      </c>
      <c r="D2031" s="157" t="s">
        <v>643</v>
      </c>
      <c r="E2031" s="157" t="s">
        <v>644</v>
      </c>
      <c r="F2031" s="157" t="s">
        <v>6040</v>
      </c>
      <c r="G2031" s="157" t="s">
        <v>6041</v>
      </c>
      <c r="H2031" s="157"/>
      <c r="I2031" s="158">
        <v>1.72167</v>
      </c>
      <c r="J2031" s="158">
        <v>61.09611</v>
      </c>
      <c r="K2031" s="157" t="s">
        <v>5978</v>
      </c>
      <c r="L2031" s="157" t="s">
        <v>648</v>
      </c>
      <c r="M2031" s="158">
        <v>2019.0</v>
      </c>
      <c r="N2031" s="157" t="s">
        <v>649</v>
      </c>
      <c r="O2031" s="157" t="s">
        <v>650</v>
      </c>
      <c r="P2031" s="161" t="b">
        <v>0</v>
      </c>
      <c r="Q2031" s="158">
        <v>0.228</v>
      </c>
      <c r="R2031" s="158">
        <v>0.0</v>
      </c>
      <c r="S2031" s="158">
        <v>0.228</v>
      </c>
      <c r="T2031" s="157" t="s">
        <v>594</v>
      </c>
      <c r="U2031" s="46" t="s">
        <v>651</v>
      </c>
      <c r="V2031" s="46" t="b">
        <v>1</v>
      </c>
      <c r="W2031" s="46">
        <v>0.95</v>
      </c>
      <c r="X2031" s="46">
        <v>0.0</v>
      </c>
      <c r="Y2031" s="46">
        <v>112.262346884885</v>
      </c>
      <c r="Z2031" s="46" t="b">
        <v>0</v>
      </c>
      <c r="AA2031" s="46" t="b">
        <v>0</v>
      </c>
    </row>
    <row r="2032">
      <c r="A2032" s="157" t="s">
        <v>563</v>
      </c>
      <c r="B2032" s="158">
        <v>1.0</v>
      </c>
      <c r="C2032" s="157" t="s">
        <v>642</v>
      </c>
      <c r="D2032" s="157" t="s">
        <v>643</v>
      </c>
      <c r="E2032" s="157" t="s">
        <v>644</v>
      </c>
      <c r="F2032" s="157" t="s">
        <v>6042</v>
      </c>
      <c r="G2032" s="157" t="s">
        <v>6043</v>
      </c>
      <c r="H2032" s="157"/>
      <c r="I2032" s="158">
        <v>2.33704</v>
      </c>
      <c r="J2032" s="158">
        <v>56.69678</v>
      </c>
      <c r="K2032" s="157" t="s">
        <v>5978</v>
      </c>
      <c r="L2032" s="157" t="s">
        <v>648</v>
      </c>
      <c r="M2032" s="158">
        <v>2019.0</v>
      </c>
      <c r="N2032" s="157" t="s">
        <v>649</v>
      </c>
      <c r="O2032" s="157" t="s">
        <v>650</v>
      </c>
      <c r="P2032" s="161" t="b">
        <v>0</v>
      </c>
      <c r="Q2032" s="158">
        <v>0.218</v>
      </c>
      <c r="R2032" s="158">
        <v>0.0</v>
      </c>
      <c r="S2032" s="158">
        <v>0.218</v>
      </c>
      <c r="T2032" s="157" t="s">
        <v>594</v>
      </c>
      <c r="U2032" s="46" t="s">
        <v>651</v>
      </c>
      <c r="V2032" s="46" t="b">
        <v>1</v>
      </c>
      <c r="W2032" s="46">
        <v>0.95</v>
      </c>
      <c r="X2032" s="46">
        <v>0.0</v>
      </c>
      <c r="Y2032" s="46">
        <v>124.167461660894</v>
      </c>
      <c r="Z2032" s="46" t="b">
        <v>0</v>
      </c>
      <c r="AA2032" s="46" t="b">
        <v>0</v>
      </c>
    </row>
    <row r="2033">
      <c r="A2033" s="157" t="s">
        <v>563</v>
      </c>
      <c r="B2033" s="158">
        <v>1.0</v>
      </c>
      <c r="C2033" s="157" t="s">
        <v>642</v>
      </c>
      <c r="D2033" s="157" t="s">
        <v>643</v>
      </c>
      <c r="E2033" s="157" t="s">
        <v>644</v>
      </c>
      <c r="F2033" s="157" t="s">
        <v>6044</v>
      </c>
      <c r="G2033" s="157" t="s">
        <v>6045</v>
      </c>
      <c r="H2033" s="157"/>
      <c r="I2033" s="158">
        <v>-4.27515</v>
      </c>
      <c r="J2033" s="158">
        <v>60.31556</v>
      </c>
      <c r="K2033" s="157" t="s">
        <v>5978</v>
      </c>
      <c r="L2033" s="157" t="s">
        <v>648</v>
      </c>
      <c r="M2033" s="158">
        <v>2019.0</v>
      </c>
      <c r="N2033" s="157" t="s">
        <v>649</v>
      </c>
      <c r="O2033" s="157" t="s">
        <v>650</v>
      </c>
      <c r="P2033" s="161" t="b">
        <v>0</v>
      </c>
      <c r="Q2033" s="158">
        <v>0.214</v>
      </c>
      <c r="R2033" s="158">
        <v>0.0</v>
      </c>
      <c r="S2033" s="158">
        <v>0.214</v>
      </c>
      <c r="T2033" s="157" t="s">
        <v>594</v>
      </c>
      <c r="U2033" s="46" t="s">
        <v>651</v>
      </c>
      <c r="V2033" s="46" t="b">
        <v>1</v>
      </c>
      <c r="W2033" s="46">
        <v>0.95</v>
      </c>
      <c r="X2033" s="46">
        <v>0.0</v>
      </c>
      <c r="Y2033" s="46" t="s">
        <v>640</v>
      </c>
      <c r="Z2033" s="46" t="b">
        <v>0</v>
      </c>
      <c r="AA2033" s="46" t="b">
        <v>0</v>
      </c>
    </row>
    <row r="2034">
      <c r="A2034" s="157" t="s">
        <v>563</v>
      </c>
      <c r="B2034" s="158">
        <v>1.0</v>
      </c>
      <c r="C2034" s="157" t="s">
        <v>642</v>
      </c>
      <c r="D2034" s="157" t="s">
        <v>643</v>
      </c>
      <c r="E2034" s="157" t="s">
        <v>644</v>
      </c>
      <c r="F2034" s="157" t="s">
        <v>6046</v>
      </c>
      <c r="G2034" s="157" t="s">
        <v>6047</v>
      </c>
      <c r="H2034" s="157"/>
      <c r="I2034" s="158">
        <v>-1.25986</v>
      </c>
      <c r="J2034" s="158">
        <v>60.46839</v>
      </c>
      <c r="K2034" s="157" t="s">
        <v>6048</v>
      </c>
      <c r="L2034" s="157" t="s">
        <v>648</v>
      </c>
      <c r="M2034" s="158">
        <v>2019.0</v>
      </c>
      <c r="N2034" s="157" t="s">
        <v>649</v>
      </c>
      <c r="O2034" s="157" t="s">
        <v>650</v>
      </c>
      <c r="P2034" s="161" t="b">
        <v>0</v>
      </c>
      <c r="Q2034" s="158">
        <v>0.208</v>
      </c>
      <c r="R2034" s="158">
        <v>0.0</v>
      </c>
      <c r="S2034" s="158">
        <v>0.208</v>
      </c>
      <c r="T2034" s="157" t="s">
        <v>594</v>
      </c>
      <c r="U2034" s="46" t="s">
        <v>651</v>
      </c>
      <c r="V2034" s="46" t="b">
        <v>1</v>
      </c>
      <c r="W2034" s="46">
        <v>0.95</v>
      </c>
      <c r="X2034" s="46">
        <v>0.0</v>
      </c>
      <c r="Y2034" s="46" t="s">
        <v>640</v>
      </c>
      <c r="Z2034" s="46" t="b">
        <v>0</v>
      </c>
      <c r="AA2034" s="46" t="b">
        <v>0</v>
      </c>
    </row>
    <row r="2035">
      <c r="A2035" s="157" t="s">
        <v>563</v>
      </c>
      <c r="B2035" s="158">
        <v>1.0</v>
      </c>
      <c r="C2035" s="157" t="s">
        <v>642</v>
      </c>
      <c r="D2035" s="157" t="s">
        <v>643</v>
      </c>
      <c r="E2035" s="157" t="s">
        <v>644</v>
      </c>
      <c r="F2035" s="157" t="s">
        <v>6049</v>
      </c>
      <c r="G2035" s="157" t="s">
        <v>6050</v>
      </c>
      <c r="H2035" s="157"/>
      <c r="I2035" s="158">
        <v>0.20023</v>
      </c>
      <c r="J2035" s="158">
        <v>58.28934</v>
      </c>
      <c r="K2035" s="157" t="s">
        <v>5978</v>
      </c>
      <c r="L2035" s="157" t="s">
        <v>648</v>
      </c>
      <c r="M2035" s="158">
        <v>2019.0</v>
      </c>
      <c r="N2035" s="157" t="s">
        <v>649</v>
      </c>
      <c r="O2035" s="157" t="s">
        <v>650</v>
      </c>
      <c r="P2035" s="161" t="b">
        <v>0</v>
      </c>
      <c r="Q2035" s="158">
        <v>0.206</v>
      </c>
      <c r="R2035" s="158">
        <v>0.0</v>
      </c>
      <c r="S2035" s="158">
        <v>0.206</v>
      </c>
      <c r="T2035" s="157" t="s">
        <v>594</v>
      </c>
      <c r="U2035" s="46" t="s">
        <v>651</v>
      </c>
      <c r="V2035" s="46" t="b">
        <v>1</v>
      </c>
      <c r="W2035" s="46">
        <v>0.95</v>
      </c>
      <c r="X2035" s="46">
        <v>0.0</v>
      </c>
      <c r="Y2035" s="46">
        <v>33.793008379136</v>
      </c>
      <c r="Z2035" s="46" t="b">
        <v>1</v>
      </c>
      <c r="AA2035" s="46" t="b">
        <v>1</v>
      </c>
    </row>
    <row r="2036">
      <c r="A2036" s="157" t="s">
        <v>563</v>
      </c>
      <c r="B2036" s="158">
        <v>1.0</v>
      </c>
      <c r="C2036" s="157" t="s">
        <v>642</v>
      </c>
      <c r="D2036" s="157" t="s">
        <v>643</v>
      </c>
      <c r="E2036" s="157" t="s">
        <v>644</v>
      </c>
      <c r="F2036" s="157" t="s">
        <v>6051</v>
      </c>
      <c r="G2036" s="157" t="s">
        <v>6052</v>
      </c>
      <c r="H2036" s="157"/>
      <c r="I2036" s="158">
        <v>1.73222</v>
      </c>
      <c r="J2036" s="158">
        <v>55.42971</v>
      </c>
      <c r="K2036" s="157" t="s">
        <v>5978</v>
      </c>
      <c r="L2036" s="157" t="s">
        <v>648</v>
      </c>
      <c r="M2036" s="158">
        <v>2019.0</v>
      </c>
      <c r="N2036" s="157" t="s">
        <v>649</v>
      </c>
      <c r="O2036" s="157" t="s">
        <v>650</v>
      </c>
      <c r="P2036" s="161" t="b">
        <v>0</v>
      </c>
      <c r="Q2036" s="158">
        <v>0.204</v>
      </c>
      <c r="R2036" s="158">
        <v>0.0</v>
      </c>
      <c r="S2036" s="158">
        <v>0.204</v>
      </c>
      <c r="T2036" s="157" t="s">
        <v>594</v>
      </c>
      <c r="U2036" s="46" t="s">
        <v>651</v>
      </c>
      <c r="V2036" s="46" t="b">
        <v>1</v>
      </c>
      <c r="W2036" s="46">
        <v>0.95</v>
      </c>
      <c r="X2036" s="46">
        <v>0.0</v>
      </c>
      <c r="Y2036" s="46">
        <v>119.433193981016</v>
      </c>
      <c r="Z2036" s="46" t="b">
        <v>0</v>
      </c>
      <c r="AA2036" s="46" t="b">
        <v>0</v>
      </c>
    </row>
    <row r="2037">
      <c r="A2037" s="157" t="s">
        <v>563</v>
      </c>
      <c r="B2037" s="158">
        <v>1.0</v>
      </c>
      <c r="C2037" s="157" t="s">
        <v>642</v>
      </c>
      <c r="D2037" s="157" t="s">
        <v>643</v>
      </c>
      <c r="E2037" s="157" t="s">
        <v>644</v>
      </c>
      <c r="F2037" s="157" t="s">
        <v>6053</v>
      </c>
      <c r="G2037" s="157" t="s">
        <v>6054</v>
      </c>
      <c r="H2037" s="157"/>
      <c r="I2037" s="158">
        <v>1.30468</v>
      </c>
      <c r="J2037" s="158">
        <v>59.36372</v>
      </c>
      <c r="K2037" s="157" t="s">
        <v>5978</v>
      </c>
      <c r="L2037" s="157" t="s">
        <v>648</v>
      </c>
      <c r="M2037" s="158">
        <v>2019.0</v>
      </c>
      <c r="N2037" s="157" t="s">
        <v>649</v>
      </c>
      <c r="O2037" s="157" t="s">
        <v>650</v>
      </c>
      <c r="P2037" s="161" t="b">
        <v>0</v>
      </c>
      <c r="Q2037" s="158">
        <v>0.199</v>
      </c>
      <c r="R2037" s="158">
        <v>0.0</v>
      </c>
      <c r="S2037" s="158">
        <v>0.199</v>
      </c>
      <c r="T2037" s="157" t="s">
        <v>594</v>
      </c>
      <c r="U2037" s="46" t="s">
        <v>651</v>
      </c>
      <c r="V2037" s="46" t="b">
        <v>1</v>
      </c>
      <c r="W2037" s="46">
        <v>0.95</v>
      </c>
      <c r="X2037" s="46">
        <v>0.0</v>
      </c>
      <c r="Y2037" s="46" t="s">
        <v>640</v>
      </c>
      <c r="Z2037" s="46" t="b">
        <v>0</v>
      </c>
      <c r="AA2037" s="46" t="b">
        <v>0</v>
      </c>
    </row>
    <row r="2038">
      <c r="A2038" s="157" t="s">
        <v>563</v>
      </c>
      <c r="B2038" s="158">
        <v>1.0</v>
      </c>
      <c r="C2038" s="157" t="s">
        <v>642</v>
      </c>
      <c r="D2038" s="157" t="s">
        <v>643</v>
      </c>
      <c r="E2038" s="157" t="s">
        <v>644</v>
      </c>
      <c r="F2038" s="157" t="s">
        <v>6055</v>
      </c>
      <c r="G2038" s="157" t="s">
        <v>6056</v>
      </c>
      <c r="H2038" s="157"/>
      <c r="I2038" s="158">
        <v>-0.31667</v>
      </c>
      <c r="J2038" s="158">
        <v>58.41667</v>
      </c>
      <c r="K2038" s="157" t="s">
        <v>5978</v>
      </c>
      <c r="L2038" s="157" t="s">
        <v>648</v>
      </c>
      <c r="M2038" s="158">
        <v>2019.0</v>
      </c>
      <c r="N2038" s="157" t="s">
        <v>649</v>
      </c>
      <c r="O2038" s="157" t="s">
        <v>650</v>
      </c>
      <c r="P2038" s="161" t="b">
        <v>0</v>
      </c>
      <c r="Q2038" s="158">
        <v>0.192</v>
      </c>
      <c r="R2038" s="158">
        <v>0.0</v>
      </c>
      <c r="S2038" s="158">
        <v>0.192</v>
      </c>
      <c r="T2038" s="157" t="s">
        <v>594</v>
      </c>
      <c r="U2038" s="46" t="s">
        <v>651</v>
      </c>
      <c r="V2038" s="46" t="b">
        <v>1</v>
      </c>
      <c r="W2038" s="46">
        <v>0.95</v>
      </c>
      <c r="X2038" s="46">
        <v>0.0</v>
      </c>
      <c r="Y2038" s="46">
        <v>56.5530274435372</v>
      </c>
      <c r="Z2038" s="46" t="b">
        <v>0</v>
      </c>
      <c r="AA2038" s="46" t="b">
        <v>1</v>
      </c>
    </row>
    <row r="2039">
      <c r="A2039" s="157" t="s">
        <v>563</v>
      </c>
      <c r="B2039" s="158">
        <v>1.0</v>
      </c>
      <c r="C2039" s="157" t="s">
        <v>642</v>
      </c>
      <c r="D2039" s="157" t="s">
        <v>643</v>
      </c>
      <c r="E2039" s="157" t="s">
        <v>644</v>
      </c>
      <c r="F2039" s="157" t="s">
        <v>6057</v>
      </c>
      <c r="G2039" s="157" t="s">
        <v>6058</v>
      </c>
      <c r="H2039" s="157"/>
      <c r="I2039" s="158">
        <v>0.91948</v>
      </c>
      <c r="J2039" s="158">
        <v>61.27611</v>
      </c>
      <c r="K2039" s="157" t="s">
        <v>5978</v>
      </c>
      <c r="L2039" s="157" t="s">
        <v>648</v>
      </c>
      <c r="M2039" s="158">
        <v>2019.0</v>
      </c>
      <c r="N2039" s="157" t="s">
        <v>649</v>
      </c>
      <c r="O2039" s="157" t="s">
        <v>650</v>
      </c>
      <c r="P2039" s="161" t="b">
        <v>0</v>
      </c>
      <c r="Q2039" s="158">
        <v>0.188</v>
      </c>
      <c r="R2039" s="158">
        <v>0.0</v>
      </c>
      <c r="S2039" s="158">
        <v>0.188</v>
      </c>
      <c r="T2039" s="157" t="s">
        <v>594</v>
      </c>
      <c r="U2039" s="46" t="s">
        <v>651</v>
      </c>
      <c r="V2039" s="46" t="b">
        <v>1</v>
      </c>
      <c r="W2039" s="46">
        <v>0.95</v>
      </c>
      <c r="X2039" s="46">
        <v>0.0</v>
      </c>
      <c r="Y2039" s="46" t="s">
        <v>640</v>
      </c>
      <c r="Z2039" s="46" t="b">
        <v>0</v>
      </c>
      <c r="AA2039" s="46" t="b">
        <v>0</v>
      </c>
    </row>
    <row r="2040">
      <c r="A2040" s="157" t="s">
        <v>563</v>
      </c>
      <c r="B2040" s="158">
        <v>1.0</v>
      </c>
      <c r="C2040" s="157" t="s">
        <v>642</v>
      </c>
      <c r="D2040" s="157" t="s">
        <v>643</v>
      </c>
      <c r="E2040" s="157" t="s">
        <v>644</v>
      </c>
      <c r="F2040" s="157" t="s">
        <v>6059</v>
      </c>
      <c r="G2040" s="157" t="s">
        <v>6060</v>
      </c>
      <c r="H2040" s="157"/>
      <c r="I2040" s="158">
        <v>-2.29392</v>
      </c>
      <c r="J2040" s="158">
        <v>60.44111</v>
      </c>
      <c r="K2040" s="157" t="s">
        <v>5978</v>
      </c>
      <c r="L2040" s="157" t="s">
        <v>648</v>
      </c>
      <c r="M2040" s="158">
        <v>2019.0</v>
      </c>
      <c r="N2040" s="157" t="s">
        <v>649</v>
      </c>
      <c r="O2040" s="157" t="s">
        <v>650</v>
      </c>
      <c r="P2040" s="161" t="b">
        <v>0</v>
      </c>
      <c r="Q2040" s="158">
        <v>0.184</v>
      </c>
      <c r="R2040" s="158">
        <v>0.0</v>
      </c>
      <c r="S2040" s="158">
        <v>0.184</v>
      </c>
      <c r="T2040" s="157" t="s">
        <v>594</v>
      </c>
      <c r="U2040" s="46" t="s">
        <v>651</v>
      </c>
      <c r="V2040" s="46" t="b">
        <v>1</v>
      </c>
      <c r="W2040" s="46">
        <v>0.95</v>
      </c>
      <c r="X2040" s="46">
        <v>0.0</v>
      </c>
      <c r="Y2040" s="46" t="s">
        <v>640</v>
      </c>
      <c r="Z2040" s="46" t="b">
        <v>0</v>
      </c>
      <c r="AA2040" s="46" t="b">
        <v>0</v>
      </c>
    </row>
    <row r="2041">
      <c r="A2041" s="157" t="s">
        <v>563</v>
      </c>
      <c r="B2041" s="158">
        <v>1.0</v>
      </c>
      <c r="C2041" s="157" t="s">
        <v>642</v>
      </c>
      <c r="D2041" s="157" t="s">
        <v>643</v>
      </c>
      <c r="E2041" s="157" t="s">
        <v>644</v>
      </c>
      <c r="F2041" s="157" t="s">
        <v>6061</v>
      </c>
      <c r="G2041" s="157" t="s">
        <v>6062</v>
      </c>
      <c r="H2041" s="157"/>
      <c r="I2041" s="158">
        <v>1.65833</v>
      </c>
      <c r="J2041" s="158">
        <v>59.56194</v>
      </c>
      <c r="K2041" s="157" t="s">
        <v>5978</v>
      </c>
      <c r="L2041" s="157" t="s">
        <v>648</v>
      </c>
      <c r="M2041" s="158">
        <v>2019.0</v>
      </c>
      <c r="N2041" s="157" t="s">
        <v>649</v>
      </c>
      <c r="O2041" s="157" t="s">
        <v>650</v>
      </c>
      <c r="P2041" s="161" t="b">
        <v>0</v>
      </c>
      <c r="Q2041" s="158">
        <v>0.182</v>
      </c>
      <c r="R2041" s="158">
        <v>0.0</v>
      </c>
      <c r="S2041" s="158">
        <v>0.182</v>
      </c>
      <c r="T2041" s="157" t="s">
        <v>594</v>
      </c>
      <c r="U2041" s="46" t="s">
        <v>651</v>
      </c>
      <c r="V2041" s="46" t="b">
        <v>1</v>
      </c>
      <c r="W2041" s="46">
        <v>0.95</v>
      </c>
      <c r="X2041" s="46">
        <v>0.0</v>
      </c>
      <c r="Y2041" s="46">
        <v>147.581507849912</v>
      </c>
      <c r="Z2041" s="46" t="b">
        <v>0</v>
      </c>
      <c r="AA2041" s="46" t="b">
        <v>0</v>
      </c>
    </row>
    <row r="2042">
      <c r="A2042" s="157" t="s">
        <v>563</v>
      </c>
      <c r="B2042" s="158">
        <v>1.0</v>
      </c>
      <c r="C2042" s="157" t="s">
        <v>642</v>
      </c>
      <c r="D2042" s="157" t="s">
        <v>643</v>
      </c>
      <c r="E2042" s="157" t="s">
        <v>644</v>
      </c>
      <c r="F2042" s="157" t="s">
        <v>6063</v>
      </c>
      <c r="G2042" s="157" t="s">
        <v>6064</v>
      </c>
      <c r="H2042" s="157"/>
      <c r="I2042" s="158">
        <v>1.38826</v>
      </c>
      <c r="J2042" s="158">
        <v>57.45068</v>
      </c>
      <c r="K2042" s="157" t="s">
        <v>5978</v>
      </c>
      <c r="L2042" s="157" t="s">
        <v>648</v>
      </c>
      <c r="M2042" s="158">
        <v>2019.0</v>
      </c>
      <c r="N2042" s="157" t="s">
        <v>649</v>
      </c>
      <c r="O2042" s="157" t="s">
        <v>650</v>
      </c>
      <c r="P2042" s="161" t="b">
        <v>0</v>
      </c>
      <c r="Q2042" s="158">
        <v>0.181</v>
      </c>
      <c r="R2042" s="158">
        <v>0.0</v>
      </c>
      <c r="S2042" s="158">
        <v>0.181</v>
      </c>
      <c r="T2042" s="157" t="s">
        <v>594</v>
      </c>
      <c r="U2042" s="46" t="s">
        <v>651</v>
      </c>
      <c r="V2042" s="46" t="b">
        <v>1</v>
      </c>
      <c r="W2042" s="46">
        <v>0.95</v>
      </c>
      <c r="X2042" s="46">
        <v>0.0</v>
      </c>
      <c r="Y2042" s="46">
        <v>91.07068929552</v>
      </c>
      <c r="Z2042" s="46" t="b">
        <v>0</v>
      </c>
      <c r="AA2042" s="46" t="b">
        <v>1</v>
      </c>
    </row>
    <row r="2043">
      <c r="A2043" s="157" t="s">
        <v>563</v>
      </c>
      <c r="B2043" s="158">
        <v>1.0</v>
      </c>
      <c r="C2043" s="157" t="s">
        <v>642</v>
      </c>
      <c r="D2043" s="157" t="s">
        <v>643</v>
      </c>
      <c r="E2043" s="157" t="s">
        <v>644</v>
      </c>
      <c r="F2043" s="157" t="s">
        <v>6065</v>
      </c>
      <c r="G2043" s="157" t="s">
        <v>6066</v>
      </c>
      <c r="H2043" s="157"/>
      <c r="I2043" s="158">
        <v>-1.27183</v>
      </c>
      <c r="J2043" s="158">
        <v>60.45741</v>
      </c>
      <c r="K2043" s="157" t="s">
        <v>6067</v>
      </c>
      <c r="L2043" s="157" t="s">
        <v>648</v>
      </c>
      <c r="M2043" s="158">
        <v>2019.0</v>
      </c>
      <c r="N2043" s="157" t="s">
        <v>649</v>
      </c>
      <c r="O2043" s="157" t="s">
        <v>650</v>
      </c>
      <c r="P2043" s="161" t="b">
        <v>0</v>
      </c>
      <c r="Q2043" s="158">
        <v>0.181</v>
      </c>
      <c r="R2043" s="158">
        <v>0.0</v>
      </c>
      <c r="S2043" s="158">
        <v>0.181</v>
      </c>
      <c r="T2043" s="157" t="s">
        <v>594</v>
      </c>
      <c r="U2043" s="46" t="s">
        <v>651</v>
      </c>
      <c r="V2043" s="46" t="b">
        <v>1</v>
      </c>
      <c r="W2043" s="46">
        <v>0.95</v>
      </c>
      <c r="X2043" s="46">
        <v>0.0</v>
      </c>
      <c r="Y2043" s="46" t="s">
        <v>640</v>
      </c>
      <c r="Z2043" s="46" t="b">
        <v>0</v>
      </c>
      <c r="AA2043" s="46" t="b">
        <v>0</v>
      </c>
    </row>
    <row r="2044">
      <c r="A2044" s="157" t="s">
        <v>563</v>
      </c>
      <c r="B2044" s="158">
        <v>1.0</v>
      </c>
      <c r="C2044" s="157" t="s">
        <v>642</v>
      </c>
      <c r="D2044" s="157" t="s">
        <v>643</v>
      </c>
      <c r="E2044" s="157" t="s">
        <v>644</v>
      </c>
      <c r="F2044" s="157" t="s">
        <v>6068</v>
      </c>
      <c r="G2044" s="157" t="s">
        <v>6069</v>
      </c>
      <c r="H2044" s="157"/>
      <c r="I2044" s="158">
        <v>0.89245</v>
      </c>
      <c r="J2044" s="158">
        <v>57.08393</v>
      </c>
      <c r="K2044" s="157" t="s">
        <v>5978</v>
      </c>
      <c r="L2044" s="157" t="s">
        <v>648</v>
      </c>
      <c r="M2044" s="158">
        <v>2019.0</v>
      </c>
      <c r="N2044" s="157" t="s">
        <v>649</v>
      </c>
      <c r="O2044" s="157" t="s">
        <v>650</v>
      </c>
      <c r="P2044" s="161" t="b">
        <v>0</v>
      </c>
      <c r="Q2044" s="158">
        <v>0.179</v>
      </c>
      <c r="R2044" s="158">
        <v>0.0</v>
      </c>
      <c r="S2044" s="158">
        <v>0.179</v>
      </c>
      <c r="T2044" s="157" t="s">
        <v>594</v>
      </c>
      <c r="U2044" s="46" t="s">
        <v>651</v>
      </c>
      <c r="V2044" s="46" t="b">
        <v>1</v>
      </c>
      <c r="W2044" s="46">
        <v>0.95</v>
      </c>
      <c r="X2044" s="46">
        <v>0.0</v>
      </c>
      <c r="Y2044" s="46">
        <v>107.968554118043</v>
      </c>
      <c r="Z2044" s="46" t="b">
        <v>0</v>
      </c>
      <c r="AA2044" s="46" t="b">
        <v>0</v>
      </c>
    </row>
    <row r="2045">
      <c r="A2045" s="157" t="s">
        <v>563</v>
      </c>
      <c r="B2045" s="158">
        <v>1.0</v>
      </c>
      <c r="C2045" s="157" t="s">
        <v>642</v>
      </c>
      <c r="D2045" s="157" t="s">
        <v>643</v>
      </c>
      <c r="E2045" s="157" t="s">
        <v>644</v>
      </c>
      <c r="F2045" s="157" t="s">
        <v>6070</v>
      </c>
      <c r="G2045" s="157" t="s">
        <v>6071</v>
      </c>
      <c r="H2045" s="157"/>
      <c r="I2045" s="158">
        <v>1.14555</v>
      </c>
      <c r="J2045" s="158">
        <v>57.66301</v>
      </c>
      <c r="K2045" s="157" t="s">
        <v>5978</v>
      </c>
      <c r="L2045" s="157" t="s">
        <v>648</v>
      </c>
      <c r="M2045" s="158">
        <v>2019.0</v>
      </c>
      <c r="N2045" s="157" t="s">
        <v>649</v>
      </c>
      <c r="O2045" s="157" t="s">
        <v>650</v>
      </c>
      <c r="P2045" s="161" t="b">
        <v>0</v>
      </c>
      <c r="Q2045" s="158">
        <v>0.178</v>
      </c>
      <c r="R2045" s="158">
        <v>0.0</v>
      </c>
      <c r="S2045" s="158">
        <v>0.178</v>
      </c>
      <c r="T2045" s="157" t="s">
        <v>594</v>
      </c>
      <c r="U2045" s="46" t="s">
        <v>651</v>
      </c>
      <c r="V2045" s="46" t="b">
        <v>1</v>
      </c>
      <c r="W2045" s="46">
        <v>0.95</v>
      </c>
      <c r="X2045" s="46">
        <v>0.0</v>
      </c>
      <c r="Y2045" s="46">
        <v>65.0688882604887</v>
      </c>
      <c r="Z2045" s="46" t="b">
        <v>0</v>
      </c>
      <c r="AA2045" s="46" t="b">
        <v>1</v>
      </c>
    </row>
    <row r="2046">
      <c r="A2046" s="157" t="s">
        <v>563</v>
      </c>
      <c r="B2046" s="158">
        <v>1.0</v>
      </c>
      <c r="C2046" s="157" t="s">
        <v>642</v>
      </c>
      <c r="D2046" s="157" t="s">
        <v>643</v>
      </c>
      <c r="E2046" s="157" t="s">
        <v>644</v>
      </c>
      <c r="F2046" s="157" t="s">
        <v>6072</v>
      </c>
      <c r="G2046" s="157" t="s">
        <v>6073</v>
      </c>
      <c r="H2046" s="157"/>
      <c r="I2046" s="158">
        <v>-2.54426</v>
      </c>
      <c r="J2046" s="158">
        <v>60.69183</v>
      </c>
      <c r="K2046" s="157" t="s">
        <v>5978</v>
      </c>
      <c r="L2046" s="157" t="s">
        <v>648</v>
      </c>
      <c r="M2046" s="158">
        <v>2019.0</v>
      </c>
      <c r="N2046" s="157" t="s">
        <v>649</v>
      </c>
      <c r="O2046" s="157" t="s">
        <v>650</v>
      </c>
      <c r="P2046" s="161" t="b">
        <v>0</v>
      </c>
      <c r="Q2046" s="158">
        <v>0.176</v>
      </c>
      <c r="R2046" s="158">
        <v>0.0</v>
      </c>
      <c r="S2046" s="158">
        <v>0.176</v>
      </c>
      <c r="T2046" s="157" t="s">
        <v>594</v>
      </c>
      <c r="U2046" s="46" t="s">
        <v>651</v>
      </c>
      <c r="V2046" s="46" t="b">
        <v>1</v>
      </c>
      <c r="W2046" s="46">
        <v>0.95</v>
      </c>
      <c r="X2046" s="46">
        <v>0.0</v>
      </c>
      <c r="Y2046" s="46" t="s">
        <v>640</v>
      </c>
      <c r="Z2046" s="46" t="b">
        <v>0</v>
      </c>
      <c r="AA2046" s="46" t="b">
        <v>0</v>
      </c>
    </row>
    <row r="2047">
      <c r="A2047" s="157" t="s">
        <v>563</v>
      </c>
      <c r="B2047" s="158">
        <v>1.0</v>
      </c>
      <c r="C2047" s="157" t="s">
        <v>642</v>
      </c>
      <c r="D2047" s="157" t="s">
        <v>643</v>
      </c>
      <c r="E2047" s="157" t="s">
        <v>644</v>
      </c>
      <c r="F2047" s="157" t="s">
        <v>6074</v>
      </c>
      <c r="G2047" s="157" t="s">
        <v>6075</v>
      </c>
      <c r="H2047" s="157"/>
      <c r="I2047" s="158">
        <v>2.28833</v>
      </c>
      <c r="J2047" s="158">
        <v>56.45251</v>
      </c>
      <c r="K2047" s="157" t="s">
        <v>5978</v>
      </c>
      <c r="L2047" s="157" t="s">
        <v>648</v>
      </c>
      <c r="M2047" s="158">
        <v>2019.0</v>
      </c>
      <c r="N2047" s="157" t="s">
        <v>649</v>
      </c>
      <c r="O2047" s="157" t="s">
        <v>650</v>
      </c>
      <c r="P2047" s="161" t="b">
        <v>0</v>
      </c>
      <c r="Q2047" s="158">
        <v>0.173</v>
      </c>
      <c r="R2047" s="158">
        <v>0.0</v>
      </c>
      <c r="S2047" s="158">
        <v>0.173</v>
      </c>
      <c r="T2047" s="157" t="s">
        <v>594</v>
      </c>
      <c r="U2047" s="46" t="s">
        <v>651</v>
      </c>
      <c r="V2047" s="46" t="b">
        <v>1</v>
      </c>
      <c r="W2047" s="46">
        <v>0.95</v>
      </c>
      <c r="X2047" s="46">
        <v>0.0</v>
      </c>
      <c r="Y2047" s="46">
        <v>126.215481531609</v>
      </c>
      <c r="Z2047" s="46" t="b">
        <v>0</v>
      </c>
      <c r="AA2047" s="46" t="b">
        <v>0</v>
      </c>
    </row>
    <row r="2048">
      <c r="A2048" s="157" t="s">
        <v>563</v>
      </c>
      <c r="B2048" s="158">
        <v>1.0</v>
      </c>
      <c r="C2048" s="157" t="s">
        <v>642</v>
      </c>
      <c r="D2048" s="157" t="s">
        <v>643</v>
      </c>
      <c r="E2048" s="157" t="s">
        <v>644</v>
      </c>
      <c r="F2048" s="157" t="s">
        <v>6076</v>
      </c>
      <c r="G2048" s="157" t="s">
        <v>6077</v>
      </c>
      <c r="H2048" s="157"/>
      <c r="I2048" s="158">
        <v>0.71304</v>
      </c>
      <c r="J2048" s="158">
        <v>56.77012</v>
      </c>
      <c r="K2048" s="157" t="s">
        <v>5978</v>
      </c>
      <c r="L2048" s="157" t="s">
        <v>648</v>
      </c>
      <c r="M2048" s="158">
        <v>2019.0</v>
      </c>
      <c r="N2048" s="157" t="s">
        <v>649</v>
      </c>
      <c r="O2048" s="157" t="s">
        <v>650</v>
      </c>
      <c r="P2048" s="161" t="b">
        <v>0</v>
      </c>
      <c r="Q2048" s="158">
        <v>0.166</v>
      </c>
      <c r="R2048" s="158">
        <v>0.0</v>
      </c>
      <c r="S2048" s="158">
        <v>0.166</v>
      </c>
      <c r="T2048" s="157" t="s">
        <v>594</v>
      </c>
      <c r="U2048" s="46" t="s">
        <v>651</v>
      </c>
      <c r="V2048" s="46" t="b">
        <v>1</v>
      </c>
      <c r="W2048" s="46">
        <v>0.95</v>
      </c>
      <c r="X2048" s="46">
        <v>0.0</v>
      </c>
      <c r="Y2048" s="46">
        <v>136.547213587834</v>
      </c>
      <c r="Z2048" s="46" t="b">
        <v>0</v>
      </c>
      <c r="AA2048" s="46" t="b">
        <v>0</v>
      </c>
    </row>
    <row r="2049">
      <c r="A2049" s="157" t="s">
        <v>563</v>
      </c>
      <c r="B2049" s="158">
        <v>1.0</v>
      </c>
      <c r="C2049" s="157" t="s">
        <v>642</v>
      </c>
      <c r="D2049" s="157" t="s">
        <v>643</v>
      </c>
      <c r="E2049" s="157" t="s">
        <v>644</v>
      </c>
      <c r="F2049" s="157" t="s">
        <v>6078</v>
      </c>
      <c r="G2049" s="157" t="s">
        <v>6079</v>
      </c>
      <c r="H2049" s="157"/>
      <c r="I2049" s="158">
        <v>0.76135415</v>
      </c>
      <c r="J2049" s="158">
        <v>51.380464</v>
      </c>
      <c r="K2049" s="157" t="s">
        <v>5992</v>
      </c>
      <c r="L2049" s="157" t="s">
        <v>648</v>
      </c>
      <c r="M2049" s="158">
        <v>2019.0</v>
      </c>
      <c r="N2049" s="157" t="s">
        <v>649</v>
      </c>
      <c r="O2049" s="157" t="s">
        <v>650</v>
      </c>
      <c r="P2049" s="161" t="b">
        <v>0</v>
      </c>
      <c r="Q2049" s="158">
        <v>0.165</v>
      </c>
      <c r="R2049" s="158">
        <v>0.0</v>
      </c>
      <c r="S2049" s="158">
        <v>0.165</v>
      </c>
      <c r="T2049" s="157" t="s">
        <v>594</v>
      </c>
      <c r="U2049" s="46" t="s">
        <v>651</v>
      </c>
      <c r="V2049" s="46" t="b">
        <v>1</v>
      </c>
      <c r="W2049" s="46">
        <v>0.95</v>
      </c>
      <c r="X2049" s="46">
        <v>0.0</v>
      </c>
      <c r="Y2049" s="46">
        <v>88.380354251626</v>
      </c>
      <c r="Z2049" s="46" t="b">
        <v>0</v>
      </c>
      <c r="AA2049" s="46" t="b">
        <v>1</v>
      </c>
    </row>
    <row r="2050">
      <c r="A2050" s="157" t="s">
        <v>563</v>
      </c>
      <c r="B2050" s="158">
        <v>1.0</v>
      </c>
      <c r="C2050" s="157" t="s">
        <v>642</v>
      </c>
      <c r="D2050" s="157" t="s">
        <v>643</v>
      </c>
      <c r="E2050" s="157" t="s">
        <v>644</v>
      </c>
      <c r="F2050" s="157" t="s">
        <v>6080</v>
      </c>
      <c r="G2050" s="157" t="s">
        <v>6081</v>
      </c>
      <c r="H2050" s="157"/>
      <c r="I2050" s="158">
        <v>3.57687</v>
      </c>
      <c r="J2050" s="158">
        <v>53.53804</v>
      </c>
      <c r="K2050" s="157" t="s">
        <v>5978</v>
      </c>
      <c r="L2050" s="157" t="s">
        <v>648</v>
      </c>
      <c r="M2050" s="158">
        <v>2019.0</v>
      </c>
      <c r="N2050" s="157" t="s">
        <v>649</v>
      </c>
      <c r="O2050" s="157" t="s">
        <v>650</v>
      </c>
      <c r="P2050" s="161" t="b">
        <v>0</v>
      </c>
      <c r="Q2050" s="158">
        <v>0.159</v>
      </c>
      <c r="R2050" s="158">
        <v>0.0</v>
      </c>
      <c r="S2050" s="158">
        <v>0.159</v>
      </c>
      <c r="T2050" s="157" t="s">
        <v>594</v>
      </c>
      <c r="U2050" s="46" t="s">
        <v>651</v>
      </c>
      <c r="V2050" s="46" t="b">
        <v>1</v>
      </c>
      <c r="W2050" s="46">
        <v>0.95</v>
      </c>
      <c r="X2050" s="46">
        <v>0.0</v>
      </c>
      <c r="Y2050" s="46">
        <v>20.6031555769181</v>
      </c>
      <c r="Z2050" s="46" t="b">
        <v>1</v>
      </c>
      <c r="AA2050" s="46" t="b">
        <v>1</v>
      </c>
    </row>
    <row r="2051">
      <c r="A2051" s="157" t="s">
        <v>563</v>
      </c>
      <c r="B2051" s="158">
        <v>1.0</v>
      </c>
      <c r="C2051" s="157" t="s">
        <v>642</v>
      </c>
      <c r="D2051" s="157" t="s">
        <v>643</v>
      </c>
      <c r="E2051" s="157" t="s">
        <v>644</v>
      </c>
      <c r="F2051" s="157" t="s">
        <v>6082</v>
      </c>
      <c r="G2051" s="157" t="s">
        <v>6083</v>
      </c>
      <c r="H2051" s="157"/>
      <c r="I2051" s="158">
        <v>-1.2450507</v>
      </c>
      <c r="J2051" s="158">
        <v>54.575826</v>
      </c>
      <c r="K2051" s="157" t="s">
        <v>4130</v>
      </c>
      <c r="L2051" s="157" t="s">
        <v>648</v>
      </c>
      <c r="M2051" s="158">
        <v>2019.0</v>
      </c>
      <c r="N2051" s="157" t="s">
        <v>649</v>
      </c>
      <c r="O2051" s="157" t="s">
        <v>650</v>
      </c>
      <c r="P2051" s="161" t="b">
        <v>0</v>
      </c>
      <c r="Q2051" s="158">
        <v>0.159</v>
      </c>
      <c r="R2051" s="158">
        <v>0.0</v>
      </c>
      <c r="S2051" s="158">
        <v>0.159</v>
      </c>
      <c r="T2051" s="157" t="s">
        <v>594</v>
      </c>
      <c r="U2051" s="46" t="s">
        <v>651</v>
      </c>
      <c r="V2051" s="46" t="b">
        <v>1</v>
      </c>
      <c r="W2051" s="46">
        <v>0.95</v>
      </c>
      <c r="X2051" s="46">
        <v>0.0</v>
      </c>
      <c r="Y2051" s="46">
        <v>19.7401944458314</v>
      </c>
      <c r="Z2051" s="46" t="b">
        <v>1</v>
      </c>
      <c r="AA2051" s="46" t="b">
        <v>1</v>
      </c>
    </row>
    <row r="2052">
      <c r="A2052" s="157" t="s">
        <v>563</v>
      </c>
      <c r="B2052" s="158">
        <v>1.0</v>
      </c>
      <c r="C2052" s="157" t="s">
        <v>642</v>
      </c>
      <c r="D2052" s="157" t="s">
        <v>643</v>
      </c>
      <c r="E2052" s="157" t="s">
        <v>644</v>
      </c>
      <c r="F2052" s="157" t="s">
        <v>6084</v>
      </c>
      <c r="G2052" s="157" t="s">
        <v>6085</v>
      </c>
      <c r="H2052" s="157"/>
      <c r="I2052" s="158">
        <v>-0.70122447</v>
      </c>
      <c r="J2052" s="158">
        <v>53.622685</v>
      </c>
      <c r="K2052" s="157" t="s">
        <v>6086</v>
      </c>
      <c r="L2052" s="157" t="s">
        <v>648</v>
      </c>
      <c r="M2052" s="158">
        <v>2019.0</v>
      </c>
      <c r="N2052" s="157" t="s">
        <v>649</v>
      </c>
      <c r="O2052" s="157" t="s">
        <v>650</v>
      </c>
      <c r="P2052" s="161" t="b">
        <v>0</v>
      </c>
      <c r="Q2052" s="158">
        <v>0.158</v>
      </c>
      <c r="R2052" s="158">
        <v>0.0</v>
      </c>
      <c r="S2052" s="158">
        <v>0.158</v>
      </c>
      <c r="T2052" s="157" t="s">
        <v>594</v>
      </c>
      <c r="U2052" s="46" t="s">
        <v>651</v>
      </c>
      <c r="V2052" s="46" t="b">
        <v>1</v>
      </c>
      <c r="W2052" s="46">
        <v>0.95</v>
      </c>
      <c r="X2052" s="46">
        <v>0.0</v>
      </c>
      <c r="Y2052" s="46">
        <v>1.40272170005423</v>
      </c>
      <c r="Z2052" s="46" t="b">
        <v>1</v>
      </c>
      <c r="AA2052" s="46" t="b">
        <v>1</v>
      </c>
    </row>
    <row r="2053">
      <c r="A2053" s="157" t="s">
        <v>563</v>
      </c>
      <c r="B2053" s="158">
        <v>1.0</v>
      </c>
      <c r="C2053" s="157" t="s">
        <v>642</v>
      </c>
      <c r="D2053" s="157" t="s">
        <v>643</v>
      </c>
      <c r="E2053" s="157" t="s">
        <v>644</v>
      </c>
      <c r="F2053" s="157" t="s">
        <v>6087</v>
      </c>
      <c r="G2053" s="157" t="s">
        <v>6088</v>
      </c>
      <c r="H2053" s="157"/>
      <c r="I2053" s="158">
        <v>1.07963</v>
      </c>
      <c r="J2053" s="158">
        <v>58.05869</v>
      </c>
      <c r="K2053" s="157" t="s">
        <v>5978</v>
      </c>
      <c r="L2053" s="157" t="s">
        <v>648</v>
      </c>
      <c r="M2053" s="158">
        <v>2019.0</v>
      </c>
      <c r="N2053" s="157" t="s">
        <v>649</v>
      </c>
      <c r="O2053" s="157" t="s">
        <v>650</v>
      </c>
      <c r="P2053" s="161" t="b">
        <v>0</v>
      </c>
      <c r="Q2053" s="158">
        <v>0.153</v>
      </c>
      <c r="R2053" s="158">
        <v>0.0</v>
      </c>
      <c r="S2053" s="158">
        <v>0.153</v>
      </c>
      <c r="T2053" s="157" t="s">
        <v>594</v>
      </c>
      <c r="U2053" s="46" t="s">
        <v>651</v>
      </c>
      <c r="V2053" s="46" t="b">
        <v>1</v>
      </c>
      <c r="W2053" s="46">
        <v>0.95</v>
      </c>
      <c r="X2053" s="46">
        <v>0.0</v>
      </c>
      <c r="Y2053" s="46">
        <v>50.6459656551397</v>
      </c>
      <c r="Z2053" s="46" t="b">
        <v>0</v>
      </c>
      <c r="AA2053" s="46" t="b">
        <v>1</v>
      </c>
    </row>
    <row r="2054">
      <c r="A2054" s="157" t="s">
        <v>563</v>
      </c>
      <c r="B2054" s="158">
        <v>1.0</v>
      </c>
      <c r="C2054" s="157" t="s">
        <v>642</v>
      </c>
      <c r="D2054" s="157" t="s">
        <v>643</v>
      </c>
      <c r="E2054" s="157" t="s">
        <v>644</v>
      </c>
      <c r="F2054" s="157" t="s">
        <v>6089</v>
      </c>
      <c r="G2054" s="157" t="s">
        <v>6090</v>
      </c>
      <c r="H2054" s="157"/>
      <c r="I2054" s="158">
        <v>-0.80813</v>
      </c>
      <c r="J2054" s="158">
        <v>57.25654</v>
      </c>
      <c r="K2054" s="157" t="s">
        <v>5978</v>
      </c>
      <c r="L2054" s="157" t="s">
        <v>648</v>
      </c>
      <c r="M2054" s="158">
        <v>2019.0</v>
      </c>
      <c r="N2054" s="157" t="s">
        <v>649</v>
      </c>
      <c r="O2054" s="157" t="s">
        <v>650</v>
      </c>
      <c r="P2054" s="161" t="b">
        <v>0</v>
      </c>
      <c r="Q2054" s="158">
        <v>0.151</v>
      </c>
      <c r="R2054" s="158">
        <v>0.0</v>
      </c>
      <c r="S2054" s="158">
        <v>0.151</v>
      </c>
      <c r="T2054" s="157" t="s">
        <v>594</v>
      </c>
      <c r="U2054" s="46" t="s">
        <v>651</v>
      </c>
      <c r="V2054" s="46" t="b">
        <v>1</v>
      </c>
      <c r="W2054" s="46">
        <v>0.95</v>
      </c>
      <c r="X2054" s="46">
        <v>0.0</v>
      </c>
      <c r="Y2054" s="46">
        <v>51.6509351971788</v>
      </c>
      <c r="Z2054" s="46" t="b">
        <v>0</v>
      </c>
      <c r="AA2054" s="46" t="b">
        <v>1</v>
      </c>
    </row>
    <row r="2055">
      <c r="A2055" s="157" t="s">
        <v>563</v>
      </c>
      <c r="B2055" s="158">
        <v>1.0</v>
      </c>
      <c r="C2055" s="157" t="s">
        <v>642</v>
      </c>
      <c r="D2055" s="157" t="s">
        <v>643</v>
      </c>
      <c r="E2055" s="157" t="s">
        <v>644</v>
      </c>
      <c r="F2055" s="157" t="s">
        <v>6091</v>
      </c>
      <c r="G2055" s="157" t="s">
        <v>6092</v>
      </c>
      <c r="H2055" s="157"/>
      <c r="I2055" s="158">
        <v>0.380041</v>
      </c>
      <c r="J2055" s="158">
        <v>52.727186</v>
      </c>
      <c r="K2055" s="157" t="s">
        <v>6093</v>
      </c>
      <c r="L2055" s="157" t="s">
        <v>648</v>
      </c>
      <c r="M2055" s="158">
        <v>2019.0</v>
      </c>
      <c r="N2055" s="157" t="s">
        <v>649</v>
      </c>
      <c r="O2055" s="157" t="s">
        <v>650</v>
      </c>
      <c r="P2055" s="161" t="b">
        <v>0</v>
      </c>
      <c r="Q2055" s="158">
        <v>0.151</v>
      </c>
      <c r="R2055" s="158">
        <v>0.0</v>
      </c>
      <c r="S2055" s="158">
        <v>0.151</v>
      </c>
      <c r="T2055" s="157" t="s">
        <v>594</v>
      </c>
      <c r="U2055" s="46" t="s">
        <v>651</v>
      </c>
      <c r="V2055" s="46" t="b">
        <v>1</v>
      </c>
      <c r="W2055" s="46">
        <v>0.95</v>
      </c>
      <c r="X2055" s="46">
        <v>0.0</v>
      </c>
      <c r="Y2055" s="46">
        <v>73.6676767264568</v>
      </c>
      <c r="Z2055" s="46" t="b">
        <v>0</v>
      </c>
      <c r="AA2055" s="46" t="b">
        <v>1</v>
      </c>
    </row>
    <row r="2056">
      <c r="A2056" s="157" t="s">
        <v>563</v>
      </c>
      <c r="B2056" s="158">
        <v>1.0</v>
      </c>
      <c r="C2056" s="157" t="s">
        <v>642</v>
      </c>
      <c r="D2056" s="157" t="s">
        <v>643</v>
      </c>
      <c r="E2056" s="157" t="s">
        <v>644</v>
      </c>
      <c r="F2056" s="157" t="s">
        <v>6094</v>
      </c>
      <c r="G2056" s="157" t="s">
        <v>6095</v>
      </c>
      <c r="H2056" s="157"/>
      <c r="I2056" s="158">
        <v>0.07369</v>
      </c>
      <c r="J2056" s="158">
        <v>58.36983</v>
      </c>
      <c r="K2056" s="157" t="s">
        <v>5978</v>
      </c>
      <c r="L2056" s="157" t="s">
        <v>648</v>
      </c>
      <c r="M2056" s="158">
        <v>2019.0</v>
      </c>
      <c r="N2056" s="157" t="s">
        <v>649</v>
      </c>
      <c r="O2056" s="157" t="s">
        <v>650</v>
      </c>
      <c r="P2056" s="161" t="b">
        <v>0</v>
      </c>
      <c r="Q2056" s="158">
        <v>0.147</v>
      </c>
      <c r="R2056" s="158">
        <v>0.0</v>
      </c>
      <c r="S2056" s="158">
        <v>0.147</v>
      </c>
      <c r="T2056" s="157" t="s">
        <v>594</v>
      </c>
      <c r="U2056" s="46" t="s">
        <v>651</v>
      </c>
      <c r="V2056" s="46" t="b">
        <v>1</v>
      </c>
      <c r="W2056" s="46">
        <v>0.95</v>
      </c>
      <c r="X2056" s="46">
        <v>0.0</v>
      </c>
      <c r="Y2056" s="46">
        <v>43.7229538429007</v>
      </c>
      <c r="Z2056" s="46" t="b">
        <v>1</v>
      </c>
      <c r="AA2056" s="46" t="b">
        <v>1</v>
      </c>
    </row>
    <row r="2057">
      <c r="A2057" s="157" t="s">
        <v>563</v>
      </c>
      <c r="B2057" s="158">
        <v>1.0</v>
      </c>
      <c r="C2057" s="157" t="s">
        <v>642</v>
      </c>
      <c r="D2057" s="157" t="s">
        <v>643</v>
      </c>
      <c r="E2057" s="157" t="s">
        <v>644</v>
      </c>
      <c r="F2057" s="157" t="s">
        <v>6096</v>
      </c>
      <c r="G2057" s="157" t="s">
        <v>6097</v>
      </c>
      <c r="H2057" s="157"/>
      <c r="I2057" s="158">
        <v>-3.0081171</v>
      </c>
      <c r="J2057" s="158">
        <v>53.451998</v>
      </c>
      <c r="K2057" s="157" t="s">
        <v>6098</v>
      </c>
      <c r="L2057" s="157" t="s">
        <v>648</v>
      </c>
      <c r="M2057" s="158">
        <v>2019.0</v>
      </c>
      <c r="N2057" s="157" t="s">
        <v>649</v>
      </c>
      <c r="O2057" s="157" t="s">
        <v>650</v>
      </c>
      <c r="P2057" s="161" t="b">
        <v>0</v>
      </c>
      <c r="Q2057" s="158">
        <v>0.147</v>
      </c>
      <c r="R2057" s="158">
        <v>0.0</v>
      </c>
      <c r="S2057" s="158">
        <v>0.147</v>
      </c>
      <c r="T2057" s="157" t="s">
        <v>594</v>
      </c>
      <c r="U2057" s="46" t="s">
        <v>651</v>
      </c>
      <c r="V2057" s="46" t="b">
        <v>1</v>
      </c>
      <c r="W2057" s="46">
        <v>0.95</v>
      </c>
      <c r="X2057" s="46">
        <v>0.0</v>
      </c>
      <c r="Y2057" s="46">
        <v>6.38649967107241</v>
      </c>
      <c r="Z2057" s="46" t="b">
        <v>1</v>
      </c>
      <c r="AA2057" s="46" t="b">
        <v>1</v>
      </c>
    </row>
    <row r="2058">
      <c r="A2058" s="157" t="s">
        <v>563</v>
      </c>
      <c r="B2058" s="158">
        <v>1.0</v>
      </c>
      <c r="C2058" s="157" t="s">
        <v>642</v>
      </c>
      <c r="D2058" s="157" t="s">
        <v>643</v>
      </c>
      <c r="E2058" s="157" t="s">
        <v>644</v>
      </c>
      <c r="F2058" s="157" t="s">
        <v>6099</v>
      </c>
      <c r="G2058" s="157" t="s">
        <v>6100</v>
      </c>
      <c r="H2058" s="157"/>
      <c r="I2058" s="158">
        <v>1.57099</v>
      </c>
      <c r="J2058" s="158">
        <v>59.36088</v>
      </c>
      <c r="K2058" s="157" t="s">
        <v>5978</v>
      </c>
      <c r="L2058" s="157" t="s">
        <v>648</v>
      </c>
      <c r="M2058" s="158">
        <v>2019.0</v>
      </c>
      <c r="N2058" s="157" t="s">
        <v>649</v>
      </c>
      <c r="O2058" s="157" t="s">
        <v>650</v>
      </c>
      <c r="P2058" s="161" t="b">
        <v>0</v>
      </c>
      <c r="Q2058" s="158">
        <v>0.145</v>
      </c>
      <c r="R2058" s="158">
        <v>0.0</v>
      </c>
      <c r="S2058" s="158">
        <v>0.145</v>
      </c>
      <c r="T2058" s="157" t="s">
        <v>594</v>
      </c>
      <c r="U2058" s="46" t="s">
        <v>651</v>
      </c>
      <c r="V2058" s="46" t="b">
        <v>1</v>
      </c>
      <c r="W2058" s="46">
        <v>0.95</v>
      </c>
      <c r="X2058" s="46">
        <v>0.0</v>
      </c>
      <c r="Y2058" s="46" t="s">
        <v>640</v>
      </c>
      <c r="Z2058" s="46" t="b">
        <v>0</v>
      </c>
      <c r="AA2058" s="46" t="b">
        <v>0</v>
      </c>
    </row>
    <row r="2059">
      <c r="A2059" s="157" t="s">
        <v>563</v>
      </c>
      <c r="B2059" s="158">
        <v>1.0</v>
      </c>
      <c r="C2059" s="157" t="s">
        <v>642</v>
      </c>
      <c r="D2059" s="157" t="s">
        <v>643</v>
      </c>
      <c r="E2059" s="157" t="s">
        <v>644</v>
      </c>
      <c r="F2059" s="157" t="s">
        <v>6101</v>
      </c>
      <c r="G2059" s="157" t="s">
        <v>6102</v>
      </c>
      <c r="H2059" s="157"/>
      <c r="I2059" s="158">
        <v>1.57976</v>
      </c>
      <c r="J2059" s="158">
        <v>61.36304</v>
      </c>
      <c r="K2059" s="157" t="s">
        <v>5978</v>
      </c>
      <c r="L2059" s="157" t="s">
        <v>648</v>
      </c>
      <c r="M2059" s="158">
        <v>2019.0</v>
      </c>
      <c r="N2059" s="157" t="s">
        <v>649</v>
      </c>
      <c r="O2059" s="157" t="s">
        <v>650</v>
      </c>
      <c r="P2059" s="161" t="b">
        <v>0</v>
      </c>
      <c r="Q2059" s="158">
        <v>0.144</v>
      </c>
      <c r="R2059" s="158">
        <v>0.0</v>
      </c>
      <c r="S2059" s="158">
        <v>0.144</v>
      </c>
      <c r="T2059" s="157" t="s">
        <v>594</v>
      </c>
      <c r="U2059" s="46" t="s">
        <v>651</v>
      </c>
      <c r="V2059" s="46" t="b">
        <v>1</v>
      </c>
      <c r="W2059" s="46">
        <v>0.95</v>
      </c>
      <c r="X2059" s="46">
        <v>0.0</v>
      </c>
      <c r="Y2059" s="46">
        <v>136.320525413125</v>
      </c>
      <c r="Z2059" s="46" t="b">
        <v>0</v>
      </c>
      <c r="AA2059" s="46" t="b">
        <v>0</v>
      </c>
    </row>
    <row r="2060">
      <c r="A2060" s="157" t="s">
        <v>563</v>
      </c>
      <c r="B2060" s="158">
        <v>1.0</v>
      </c>
      <c r="C2060" s="157" t="s">
        <v>642</v>
      </c>
      <c r="D2060" s="157" t="s">
        <v>643</v>
      </c>
      <c r="E2060" s="157" t="s">
        <v>644</v>
      </c>
      <c r="F2060" s="157" t="s">
        <v>6103</v>
      </c>
      <c r="G2060" s="157" t="s">
        <v>6104</v>
      </c>
      <c r="H2060" s="157"/>
      <c r="I2060" s="158">
        <v>1.07278</v>
      </c>
      <c r="J2060" s="158">
        <v>61.10251</v>
      </c>
      <c r="K2060" s="157" t="s">
        <v>5978</v>
      </c>
      <c r="L2060" s="157" t="s">
        <v>648</v>
      </c>
      <c r="M2060" s="158">
        <v>2019.0</v>
      </c>
      <c r="N2060" s="157" t="s">
        <v>649</v>
      </c>
      <c r="O2060" s="157" t="s">
        <v>650</v>
      </c>
      <c r="P2060" s="161" t="b">
        <v>0</v>
      </c>
      <c r="Q2060" s="158">
        <v>0.142</v>
      </c>
      <c r="R2060" s="158">
        <v>0.0</v>
      </c>
      <c r="S2060" s="158">
        <v>0.142</v>
      </c>
      <c r="T2060" s="157" t="s">
        <v>594</v>
      </c>
      <c r="U2060" s="46" t="s">
        <v>651</v>
      </c>
      <c r="V2060" s="46" t="b">
        <v>1</v>
      </c>
      <c r="W2060" s="46">
        <v>0.95</v>
      </c>
      <c r="X2060" s="46">
        <v>0.0</v>
      </c>
      <c r="Y2060" s="46" t="s">
        <v>640</v>
      </c>
      <c r="Z2060" s="46" t="b">
        <v>0</v>
      </c>
      <c r="AA2060" s="46" t="b">
        <v>0</v>
      </c>
    </row>
    <row r="2061">
      <c r="A2061" s="157" t="s">
        <v>563</v>
      </c>
      <c r="B2061" s="158">
        <v>1.0</v>
      </c>
      <c r="C2061" s="157" t="s">
        <v>642</v>
      </c>
      <c r="D2061" s="157" t="s">
        <v>643</v>
      </c>
      <c r="E2061" s="157" t="s">
        <v>644</v>
      </c>
      <c r="F2061" s="157" t="s">
        <v>6105</v>
      </c>
      <c r="G2061" s="157" t="s">
        <v>6106</v>
      </c>
      <c r="H2061" s="157"/>
      <c r="I2061" s="158">
        <v>-2.7513047</v>
      </c>
      <c r="J2061" s="158">
        <v>53.354564</v>
      </c>
      <c r="K2061" s="157" t="s">
        <v>6107</v>
      </c>
      <c r="L2061" s="157" t="s">
        <v>648</v>
      </c>
      <c r="M2061" s="158">
        <v>2019.0</v>
      </c>
      <c r="N2061" s="157" t="s">
        <v>649</v>
      </c>
      <c r="O2061" s="157" t="s">
        <v>650</v>
      </c>
      <c r="P2061" s="161" t="b">
        <v>0</v>
      </c>
      <c r="Q2061" s="158">
        <v>0.142</v>
      </c>
      <c r="R2061" s="158">
        <v>0.0</v>
      </c>
      <c r="S2061" s="158">
        <v>0.142</v>
      </c>
      <c r="T2061" s="157" t="s">
        <v>594</v>
      </c>
      <c r="U2061" s="46" t="s">
        <v>651</v>
      </c>
      <c r="V2061" s="46" t="b">
        <v>1</v>
      </c>
      <c r="W2061" s="46">
        <v>0.95</v>
      </c>
      <c r="X2061" s="46">
        <v>0.0</v>
      </c>
      <c r="Y2061" s="46">
        <v>11.2743018229978</v>
      </c>
      <c r="Z2061" s="46" t="b">
        <v>1</v>
      </c>
      <c r="AA2061" s="46" t="b">
        <v>1</v>
      </c>
    </row>
    <row r="2062">
      <c r="A2062" s="157" t="s">
        <v>563</v>
      </c>
      <c r="B2062" s="158">
        <v>1.0</v>
      </c>
      <c r="C2062" s="157" t="s">
        <v>642</v>
      </c>
      <c r="D2062" s="157" t="s">
        <v>643</v>
      </c>
      <c r="E2062" s="157" t="s">
        <v>644</v>
      </c>
      <c r="F2062" s="157" t="s">
        <v>6108</v>
      </c>
      <c r="G2062" s="157" t="s">
        <v>6109</v>
      </c>
      <c r="H2062" s="157"/>
      <c r="I2062" s="158">
        <v>0.91611</v>
      </c>
      <c r="J2062" s="158">
        <v>57.96194</v>
      </c>
      <c r="K2062" s="157" t="s">
        <v>5978</v>
      </c>
      <c r="L2062" s="157" t="s">
        <v>648</v>
      </c>
      <c r="M2062" s="158">
        <v>2019.0</v>
      </c>
      <c r="N2062" s="157" t="s">
        <v>649</v>
      </c>
      <c r="O2062" s="157" t="s">
        <v>650</v>
      </c>
      <c r="P2062" s="161" t="b">
        <v>0</v>
      </c>
      <c r="Q2062" s="158">
        <v>0.141</v>
      </c>
      <c r="R2062" s="158">
        <v>0.0</v>
      </c>
      <c r="S2062" s="158">
        <v>0.141</v>
      </c>
      <c r="T2062" s="157" t="s">
        <v>594</v>
      </c>
      <c r="U2062" s="46" t="s">
        <v>651</v>
      </c>
      <c r="V2062" s="46" t="b">
        <v>1</v>
      </c>
      <c r="W2062" s="46">
        <v>0.95</v>
      </c>
      <c r="X2062" s="46">
        <v>0.0</v>
      </c>
      <c r="Y2062" s="46">
        <v>40.4878973578677</v>
      </c>
      <c r="Z2062" s="46" t="b">
        <v>1</v>
      </c>
      <c r="AA2062" s="46" t="b">
        <v>1</v>
      </c>
    </row>
    <row r="2063">
      <c r="A2063" s="157" t="s">
        <v>563</v>
      </c>
      <c r="B2063" s="158">
        <v>1.0</v>
      </c>
      <c r="C2063" s="157" t="s">
        <v>642</v>
      </c>
      <c r="D2063" s="157" t="s">
        <v>643</v>
      </c>
      <c r="E2063" s="157" t="s">
        <v>644</v>
      </c>
      <c r="F2063" s="157" t="s">
        <v>6110</v>
      </c>
      <c r="G2063" s="157" t="s">
        <v>6111</v>
      </c>
      <c r="H2063" s="157"/>
      <c r="I2063" s="158">
        <v>2.23501</v>
      </c>
      <c r="J2063" s="158">
        <v>53.05472</v>
      </c>
      <c r="K2063" s="157" t="s">
        <v>5978</v>
      </c>
      <c r="L2063" s="157" t="s">
        <v>648</v>
      </c>
      <c r="M2063" s="158">
        <v>2019.0</v>
      </c>
      <c r="N2063" s="157" t="s">
        <v>649</v>
      </c>
      <c r="O2063" s="157" t="s">
        <v>650</v>
      </c>
      <c r="P2063" s="161" t="b">
        <v>0</v>
      </c>
      <c r="Q2063" s="158">
        <v>0.141</v>
      </c>
      <c r="R2063" s="158">
        <v>0.0</v>
      </c>
      <c r="S2063" s="158">
        <v>0.141</v>
      </c>
      <c r="T2063" s="157" t="s">
        <v>594</v>
      </c>
      <c r="U2063" s="46" t="s">
        <v>651</v>
      </c>
      <c r="V2063" s="46" t="b">
        <v>1</v>
      </c>
      <c r="W2063" s="46">
        <v>0.95</v>
      </c>
      <c r="X2063" s="46">
        <v>0.0</v>
      </c>
      <c r="Y2063" s="46">
        <v>64.0344849293212</v>
      </c>
      <c r="Z2063" s="46" t="b">
        <v>0</v>
      </c>
      <c r="AA2063" s="46" t="b">
        <v>1</v>
      </c>
    </row>
    <row r="2064">
      <c r="A2064" s="157" t="s">
        <v>563</v>
      </c>
      <c r="B2064" s="158">
        <v>1.0</v>
      </c>
      <c r="C2064" s="157" t="s">
        <v>642</v>
      </c>
      <c r="D2064" s="157" t="s">
        <v>643</v>
      </c>
      <c r="E2064" s="157" t="s">
        <v>644</v>
      </c>
      <c r="F2064" s="157" t="s">
        <v>6112</v>
      </c>
      <c r="G2064" s="157" t="s">
        <v>6113</v>
      </c>
      <c r="H2064" s="157"/>
      <c r="I2064" s="158">
        <v>1.00001</v>
      </c>
      <c r="J2064" s="158">
        <v>57.18528</v>
      </c>
      <c r="K2064" s="157" t="s">
        <v>5978</v>
      </c>
      <c r="L2064" s="157" t="s">
        <v>648</v>
      </c>
      <c r="M2064" s="158">
        <v>2019.0</v>
      </c>
      <c r="N2064" s="157" t="s">
        <v>649</v>
      </c>
      <c r="O2064" s="157" t="s">
        <v>650</v>
      </c>
      <c r="P2064" s="161" t="b">
        <v>0</v>
      </c>
      <c r="Q2064" s="158">
        <v>0.14</v>
      </c>
      <c r="R2064" s="158">
        <v>0.0</v>
      </c>
      <c r="S2064" s="158">
        <v>0.14</v>
      </c>
      <c r="T2064" s="157" t="s">
        <v>594</v>
      </c>
      <c r="U2064" s="46" t="s">
        <v>651</v>
      </c>
      <c r="V2064" s="46" t="b">
        <v>1</v>
      </c>
      <c r="W2064" s="46">
        <v>0.95</v>
      </c>
      <c r="X2064" s="46">
        <v>0.0</v>
      </c>
      <c r="Y2064" s="46">
        <v>100.301088897581</v>
      </c>
      <c r="Z2064" s="46" t="b">
        <v>0</v>
      </c>
      <c r="AA2064" s="46" t="b">
        <v>0</v>
      </c>
    </row>
    <row r="2065">
      <c r="A2065" s="157" t="s">
        <v>563</v>
      </c>
      <c r="B2065" s="158">
        <v>1.0</v>
      </c>
      <c r="C2065" s="157" t="s">
        <v>642</v>
      </c>
      <c r="D2065" s="157" t="s">
        <v>643</v>
      </c>
      <c r="E2065" s="157" t="s">
        <v>644</v>
      </c>
      <c r="F2065" s="157" t="s">
        <v>6114</v>
      </c>
      <c r="G2065" s="157" t="s">
        <v>6115</v>
      </c>
      <c r="H2065" s="157"/>
      <c r="I2065" s="158">
        <v>2.09383</v>
      </c>
      <c r="J2065" s="158">
        <v>57.16741</v>
      </c>
      <c r="K2065" s="157" t="s">
        <v>5978</v>
      </c>
      <c r="L2065" s="157" t="s">
        <v>648</v>
      </c>
      <c r="M2065" s="158">
        <v>2019.0</v>
      </c>
      <c r="N2065" s="157" t="s">
        <v>649</v>
      </c>
      <c r="O2065" s="157" t="s">
        <v>650</v>
      </c>
      <c r="P2065" s="161" t="b">
        <v>0</v>
      </c>
      <c r="Q2065" s="158">
        <v>0.136</v>
      </c>
      <c r="R2065" s="158">
        <v>0.0</v>
      </c>
      <c r="S2065" s="158">
        <v>0.136</v>
      </c>
      <c r="T2065" s="157" t="s">
        <v>594</v>
      </c>
      <c r="U2065" s="46" t="s">
        <v>651</v>
      </c>
      <c r="V2065" s="46" t="b">
        <v>1</v>
      </c>
      <c r="W2065" s="46">
        <v>0.95</v>
      </c>
      <c r="X2065" s="46">
        <v>0.0</v>
      </c>
      <c r="Y2065" s="46">
        <v>136.016355076281</v>
      </c>
      <c r="Z2065" s="46" t="b">
        <v>0</v>
      </c>
      <c r="AA2065" s="46" t="b">
        <v>0</v>
      </c>
    </row>
    <row r="2066">
      <c r="A2066" s="157" t="s">
        <v>563</v>
      </c>
      <c r="B2066" s="158">
        <v>1.0</v>
      </c>
      <c r="C2066" s="157" t="s">
        <v>642</v>
      </c>
      <c r="D2066" s="157" t="s">
        <v>643</v>
      </c>
      <c r="E2066" s="157" t="s">
        <v>644</v>
      </c>
      <c r="F2066" s="157" t="s">
        <v>6116</v>
      </c>
      <c r="G2066" s="157" t="s">
        <v>6117</v>
      </c>
      <c r="H2066" s="157"/>
      <c r="I2066" s="158">
        <v>1.43833</v>
      </c>
      <c r="J2066" s="158">
        <v>58.10139</v>
      </c>
      <c r="K2066" s="157" t="s">
        <v>5978</v>
      </c>
      <c r="L2066" s="157" t="s">
        <v>648</v>
      </c>
      <c r="M2066" s="158">
        <v>2019.0</v>
      </c>
      <c r="N2066" s="157" t="s">
        <v>649</v>
      </c>
      <c r="O2066" s="157" t="s">
        <v>650</v>
      </c>
      <c r="P2066" s="161" t="b">
        <v>0</v>
      </c>
      <c r="Q2066" s="158">
        <v>0.133</v>
      </c>
      <c r="R2066" s="158">
        <v>0.0</v>
      </c>
      <c r="S2066" s="158">
        <v>0.133</v>
      </c>
      <c r="T2066" s="157" t="s">
        <v>594</v>
      </c>
      <c r="U2066" s="46" t="s">
        <v>651</v>
      </c>
      <c r="V2066" s="46" t="b">
        <v>1</v>
      </c>
      <c r="W2066" s="46">
        <v>0.95</v>
      </c>
      <c r="X2066" s="46">
        <v>0.0</v>
      </c>
      <c r="Y2066" s="46">
        <v>72.2938728037292</v>
      </c>
      <c r="Z2066" s="46" t="b">
        <v>0</v>
      </c>
      <c r="AA2066" s="46" t="b">
        <v>1</v>
      </c>
    </row>
    <row r="2067">
      <c r="A2067" s="157" t="s">
        <v>563</v>
      </c>
      <c r="B2067" s="158">
        <v>1.0</v>
      </c>
      <c r="C2067" s="157" t="s">
        <v>642</v>
      </c>
      <c r="D2067" s="157" t="s">
        <v>643</v>
      </c>
      <c r="E2067" s="157" t="s">
        <v>644</v>
      </c>
      <c r="F2067" s="157" t="s">
        <v>6118</v>
      </c>
      <c r="G2067" s="157" t="s">
        <v>6119</v>
      </c>
      <c r="H2067" s="157"/>
      <c r="I2067" s="158">
        <v>1.14944</v>
      </c>
      <c r="J2067" s="158">
        <v>61.24061</v>
      </c>
      <c r="K2067" s="157" t="s">
        <v>5978</v>
      </c>
      <c r="L2067" s="157" t="s">
        <v>648</v>
      </c>
      <c r="M2067" s="158">
        <v>2019.0</v>
      </c>
      <c r="N2067" s="157" t="s">
        <v>649</v>
      </c>
      <c r="O2067" s="157" t="s">
        <v>650</v>
      </c>
      <c r="P2067" s="161" t="b">
        <v>0</v>
      </c>
      <c r="Q2067" s="158">
        <v>0.132</v>
      </c>
      <c r="R2067" s="158">
        <v>0.0</v>
      </c>
      <c r="S2067" s="158">
        <v>0.132</v>
      </c>
      <c r="T2067" s="157" t="s">
        <v>594</v>
      </c>
      <c r="U2067" s="46" t="s">
        <v>651</v>
      </c>
      <c r="V2067" s="46" t="b">
        <v>1</v>
      </c>
      <c r="W2067" s="46">
        <v>0.95</v>
      </c>
      <c r="X2067" s="46">
        <v>0.0</v>
      </c>
      <c r="Y2067" s="46" t="s">
        <v>640</v>
      </c>
      <c r="Z2067" s="46" t="b">
        <v>0</v>
      </c>
      <c r="AA2067" s="46" t="b">
        <v>0</v>
      </c>
    </row>
    <row r="2068">
      <c r="A2068" s="157" t="s">
        <v>563</v>
      </c>
      <c r="B2068" s="158">
        <v>1.0</v>
      </c>
      <c r="C2068" s="157" t="s">
        <v>642</v>
      </c>
      <c r="D2068" s="157" t="s">
        <v>643</v>
      </c>
      <c r="E2068" s="157" t="s">
        <v>644</v>
      </c>
      <c r="F2068" s="157" t="s">
        <v>6120</v>
      </c>
      <c r="G2068" s="157" t="s">
        <v>6121</v>
      </c>
      <c r="H2068" s="157"/>
      <c r="I2068" s="158">
        <v>-3.24155</v>
      </c>
      <c r="J2068" s="158">
        <v>51.40625</v>
      </c>
      <c r="K2068" s="157" t="s">
        <v>3401</v>
      </c>
      <c r="L2068" s="157" t="s">
        <v>648</v>
      </c>
      <c r="M2068" s="158">
        <v>2019.0</v>
      </c>
      <c r="N2068" s="157" t="s">
        <v>649</v>
      </c>
      <c r="O2068" s="157" t="s">
        <v>650</v>
      </c>
      <c r="P2068" s="161" t="b">
        <v>0</v>
      </c>
      <c r="Q2068" s="158">
        <v>0.131</v>
      </c>
      <c r="R2068" s="158">
        <v>0.0</v>
      </c>
      <c r="S2068" s="158">
        <v>0.131</v>
      </c>
      <c r="T2068" s="157" t="s">
        <v>594</v>
      </c>
      <c r="U2068" s="46" t="s">
        <v>651</v>
      </c>
      <c r="V2068" s="46" t="b">
        <v>1</v>
      </c>
      <c r="W2068" s="46">
        <v>0.95</v>
      </c>
      <c r="X2068" s="46">
        <v>0.0</v>
      </c>
      <c r="Y2068" s="46" t="s">
        <v>640</v>
      </c>
      <c r="Z2068" s="46" t="b">
        <v>0</v>
      </c>
      <c r="AA2068" s="46" t="b">
        <v>0</v>
      </c>
    </row>
    <row r="2069">
      <c r="A2069" s="157" t="s">
        <v>563</v>
      </c>
      <c r="B2069" s="158">
        <v>1.0</v>
      </c>
      <c r="C2069" s="157" t="s">
        <v>642</v>
      </c>
      <c r="D2069" s="157" t="s">
        <v>643</v>
      </c>
      <c r="E2069" s="157" t="s">
        <v>644</v>
      </c>
      <c r="F2069" s="157" t="s">
        <v>6122</v>
      </c>
      <c r="G2069" s="157" t="s">
        <v>6123</v>
      </c>
      <c r="H2069" s="157"/>
      <c r="I2069" s="158">
        <v>1.84591</v>
      </c>
      <c r="J2069" s="158">
        <v>57.95743</v>
      </c>
      <c r="K2069" s="157" t="s">
        <v>5978</v>
      </c>
      <c r="L2069" s="157" t="s">
        <v>648</v>
      </c>
      <c r="M2069" s="158">
        <v>2019.0</v>
      </c>
      <c r="N2069" s="157" t="s">
        <v>649</v>
      </c>
      <c r="O2069" s="157" t="s">
        <v>650</v>
      </c>
      <c r="P2069" s="161" t="b">
        <v>0</v>
      </c>
      <c r="Q2069" s="158">
        <v>0.128</v>
      </c>
      <c r="R2069" s="158">
        <v>0.0</v>
      </c>
      <c r="S2069" s="158">
        <v>0.128</v>
      </c>
      <c r="T2069" s="157" t="s">
        <v>594</v>
      </c>
      <c r="U2069" s="46" t="s">
        <v>651</v>
      </c>
      <c r="V2069" s="46" t="b">
        <v>1</v>
      </c>
      <c r="W2069" s="46">
        <v>0.95</v>
      </c>
      <c r="X2069" s="46">
        <v>0.0</v>
      </c>
      <c r="Y2069" s="46">
        <v>95.4601454559839</v>
      </c>
      <c r="Z2069" s="46" t="b">
        <v>0</v>
      </c>
      <c r="AA2069" s="46" t="b">
        <v>1</v>
      </c>
    </row>
    <row r="2070">
      <c r="A2070" s="157" t="s">
        <v>563</v>
      </c>
      <c r="B2070" s="158">
        <v>1.0</v>
      </c>
      <c r="C2070" s="157" t="s">
        <v>642</v>
      </c>
      <c r="D2070" s="157" t="s">
        <v>643</v>
      </c>
      <c r="E2070" s="157" t="s">
        <v>644</v>
      </c>
      <c r="F2070" s="157" t="s">
        <v>6124</v>
      </c>
      <c r="G2070" s="157" t="s">
        <v>6125</v>
      </c>
      <c r="H2070" s="157"/>
      <c r="I2070" s="158">
        <v>-3.58056</v>
      </c>
      <c r="J2070" s="158">
        <v>53.84167</v>
      </c>
      <c r="K2070" s="157" t="s">
        <v>5978</v>
      </c>
      <c r="L2070" s="157" t="s">
        <v>648</v>
      </c>
      <c r="M2070" s="158">
        <v>2019.0</v>
      </c>
      <c r="N2070" s="157" t="s">
        <v>649</v>
      </c>
      <c r="O2070" s="157" t="s">
        <v>650</v>
      </c>
      <c r="P2070" s="161" t="b">
        <v>0</v>
      </c>
      <c r="Q2070" s="158">
        <v>0.128</v>
      </c>
      <c r="R2070" s="158">
        <v>0.0</v>
      </c>
      <c r="S2070" s="158">
        <v>0.128</v>
      </c>
      <c r="T2070" s="157" t="s">
        <v>594</v>
      </c>
      <c r="U2070" s="46" t="s">
        <v>651</v>
      </c>
      <c r="V2070" s="46" t="b">
        <v>1</v>
      </c>
      <c r="W2070" s="46">
        <v>0.95</v>
      </c>
      <c r="X2070" s="46">
        <v>0.0</v>
      </c>
      <c r="Y2070" s="46">
        <v>58.6716871133072</v>
      </c>
      <c r="Z2070" s="46" t="b">
        <v>0</v>
      </c>
      <c r="AA2070" s="46" t="b">
        <v>1</v>
      </c>
    </row>
    <row r="2071">
      <c r="A2071" s="157" t="s">
        <v>563</v>
      </c>
      <c r="B2071" s="158">
        <v>1.0</v>
      </c>
      <c r="C2071" s="157" t="s">
        <v>642</v>
      </c>
      <c r="D2071" s="157" t="s">
        <v>643</v>
      </c>
      <c r="E2071" s="157" t="s">
        <v>644</v>
      </c>
      <c r="F2071" s="157" t="s">
        <v>6126</v>
      </c>
      <c r="G2071" s="157" t="s">
        <v>6127</v>
      </c>
      <c r="H2071" s="157"/>
      <c r="I2071" s="158">
        <v>2.08996</v>
      </c>
      <c r="J2071" s="158">
        <v>56.79052</v>
      </c>
      <c r="K2071" s="157" t="s">
        <v>5978</v>
      </c>
      <c r="L2071" s="157" t="s">
        <v>648</v>
      </c>
      <c r="M2071" s="158">
        <v>2019.0</v>
      </c>
      <c r="N2071" s="157" t="s">
        <v>649</v>
      </c>
      <c r="O2071" s="157" t="s">
        <v>650</v>
      </c>
      <c r="P2071" s="161" t="b">
        <v>0</v>
      </c>
      <c r="Q2071" s="158">
        <v>0.128</v>
      </c>
      <c r="R2071" s="158">
        <v>0.0</v>
      </c>
      <c r="S2071" s="158">
        <v>0.128</v>
      </c>
      <c r="T2071" s="157" t="s">
        <v>594</v>
      </c>
      <c r="U2071" s="46" t="s">
        <v>651</v>
      </c>
      <c r="V2071" s="46" t="b">
        <v>1</v>
      </c>
      <c r="W2071" s="46">
        <v>0.95</v>
      </c>
      <c r="X2071" s="46">
        <v>0.0</v>
      </c>
      <c r="Y2071" s="46">
        <v>139.618750789445</v>
      </c>
      <c r="Z2071" s="46" t="b">
        <v>0</v>
      </c>
      <c r="AA2071" s="46" t="b">
        <v>0</v>
      </c>
    </row>
    <row r="2072">
      <c r="A2072" s="157" t="s">
        <v>563</v>
      </c>
      <c r="B2072" s="158">
        <v>1.0</v>
      </c>
      <c r="C2072" s="157" t="s">
        <v>642</v>
      </c>
      <c r="D2072" s="157" t="s">
        <v>643</v>
      </c>
      <c r="E2072" s="157" t="s">
        <v>644</v>
      </c>
      <c r="F2072" s="157" t="s">
        <v>6128</v>
      </c>
      <c r="G2072" s="157" t="s">
        <v>6129</v>
      </c>
      <c r="H2072" s="157"/>
      <c r="I2072" s="158">
        <v>0.50507</v>
      </c>
      <c r="J2072" s="158">
        <v>57.43371</v>
      </c>
      <c r="K2072" s="157" t="s">
        <v>5978</v>
      </c>
      <c r="L2072" s="157" t="s">
        <v>648</v>
      </c>
      <c r="M2072" s="158">
        <v>2019.0</v>
      </c>
      <c r="N2072" s="157" t="s">
        <v>649</v>
      </c>
      <c r="O2072" s="157" t="s">
        <v>650</v>
      </c>
      <c r="P2072" s="161" t="b">
        <v>0</v>
      </c>
      <c r="Q2072" s="158">
        <v>0.126</v>
      </c>
      <c r="R2072" s="158">
        <v>0.0</v>
      </c>
      <c r="S2072" s="158">
        <v>0.126</v>
      </c>
      <c r="T2072" s="157" t="s">
        <v>594</v>
      </c>
      <c r="U2072" s="46" t="s">
        <v>651</v>
      </c>
      <c r="V2072" s="46" t="b">
        <v>1</v>
      </c>
      <c r="W2072" s="46">
        <v>0.95</v>
      </c>
      <c r="X2072" s="46">
        <v>0.0</v>
      </c>
      <c r="Y2072" s="46">
        <v>63.1770522880127</v>
      </c>
      <c r="Z2072" s="46" t="b">
        <v>0</v>
      </c>
      <c r="AA2072" s="46" t="b">
        <v>1</v>
      </c>
    </row>
    <row r="2073">
      <c r="A2073" s="157" t="s">
        <v>563</v>
      </c>
      <c r="B2073" s="158">
        <v>1.0</v>
      </c>
      <c r="C2073" s="157" t="s">
        <v>642</v>
      </c>
      <c r="D2073" s="157" t="s">
        <v>643</v>
      </c>
      <c r="E2073" s="157" t="s">
        <v>644</v>
      </c>
      <c r="F2073" s="157" t="s">
        <v>6130</v>
      </c>
      <c r="G2073" s="157" t="s">
        <v>6131</v>
      </c>
      <c r="H2073" s="157"/>
      <c r="I2073" s="158">
        <v>-1.77001</v>
      </c>
      <c r="J2073" s="158">
        <v>58.30701</v>
      </c>
      <c r="K2073" s="157" t="s">
        <v>5978</v>
      </c>
      <c r="L2073" s="157" t="s">
        <v>648</v>
      </c>
      <c r="M2073" s="158">
        <v>2019.0</v>
      </c>
      <c r="N2073" s="157" t="s">
        <v>649</v>
      </c>
      <c r="O2073" s="157" t="s">
        <v>650</v>
      </c>
      <c r="P2073" s="161" t="b">
        <v>0</v>
      </c>
      <c r="Q2073" s="158">
        <v>0.124</v>
      </c>
      <c r="R2073" s="158">
        <v>0.0</v>
      </c>
      <c r="S2073" s="158">
        <v>0.124</v>
      </c>
      <c r="T2073" s="157" t="s">
        <v>594</v>
      </c>
      <c r="U2073" s="46" t="s">
        <v>651</v>
      </c>
      <c r="V2073" s="46" t="b">
        <v>1</v>
      </c>
      <c r="W2073" s="46">
        <v>0.95</v>
      </c>
      <c r="X2073" s="46">
        <v>0.0</v>
      </c>
      <c r="Y2073" s="46">
        <v>78.3769477866881</v>
      </c>
      <c r="Z2073" s="46" t="b">
        <v>0</v>
      </c>
      <c r="AA2073" s="46" t="b">
        <v>1</v>
      </c>
    </row>
    <row r="2074">
      <c r="A2074" s="157" t="s">
        <v>563</v>
      </c>
      <c r="B2074" s="158">
        <v>1.0</v>
      </c>
      <c r="C2074" s="157" t="s">
        <v>642</v>
      </c>
      <c r="D2074" s="157" t="s">
        <v>643</v>
      </c>
      <c r="E2074" s="157" t="s">
        <v>644</v>
      </c>
      <c r="F2074" s="157" t="s">
        <v>6132</v>
      </c>
      <c r="G2074" s="157" t="s">
        <v>6133</v>
      </c>
      <c r="H2074" s="157"/>
      <c r="I2074" s="158">
        <v>1.40274</v>
      </c>
      <c r="J2074" s="158">
        <v>58.04691</v>
      </c>
      <c r="K2074" s="157" t="s">
        <v>5978</v>
      </c>
      <c r="L2074" s="157" t="s">
        <v>648</v>
      </c>
      <c r="M2074" s="158">
        <v>2019.0</v>
      </c>
      <c r="N2074" s="157" t="s">
        <v>649</v>
      </c>
      <c r="O2074" s="157" t="s">
        <v>650</v>
      </c>
      <c r="P2074" s="161" t="b">
        <v>0</v>
      </c>
      <c r="Q2074" s="158">
        <v>0.122</v>
      </c>
      <c r="R2074" s="158">
        <v>0.0</v>
      </c>
      <c r="S2074" s="158">
        <v>0.122</v>
      </c>
      <c r="T2074" s="157" t="s">
        <v>594</v>
      </c>
      <c r="U2074" s="46" t="s">
        <v>651</v>
      </c>
      <c r="V2074" s="46" t="b">
        <v>1</v>
      </c>
      <c r="W2074" s="46">
        <v>0.95</v>
      </c>
      <c r="X2074" s="46">
        <v>0.0</v>
      </c>
      <c r="Y2074" s="46">
        <v>69.4301058508075</v>
      </c>
      <c r="Z2074" s="46" t="b">
        <v>0</v>
      </c>
      <c r="AA2074" s="46" t="b">
        <v>1</v>
      </c>
    </row>
    <row r="2075">
      <c r="A2075" s="157" t="s">
        <v>563</v>
      </c>
      <c r="B2075" s="158">
        <v>1.0</v>
      </c>
      <c r="C2075" s="157" t="s">
        <v>642</v>
      </c>
      <c r="D2075" s="157" t="s">
        <v>643</v>
      </c>
      <c r="E2075" s="157" t="s">
        <v>644</v>
      </c>
      <c r="F2075" s="157" t="s">
        <v>6134</v>
      </c>
      <c r="G2075" s="157" t="s">
        <v>6135</v>
      </c>
      <c r="H2075" s="157"/>
      <c r="I2075" s="158">
        <v>1.29415</v>
      </c>
      <c r="J2075" s="158">
        <v>57.00125</v>
      </c>
      <c r="K2075" s="157" t="s">
        <v>5978</v>
      </c>
      <c r="L2075" s="157" t="s">
        <v>648</v>
      </c>
      <c r="M2075" s="158">
        <v>2019.0</v>
      </c>
      <c r="N2075" s="157" t="s">
        <v>649</v>
      </c>
      <c r="O2075" s="157" t="s">
        <v>650</v>
      </c>
      <c r="P2075" s="161" t="b">
        <v>0</v>
      </c>
      <c r="Q2075" s="158">
        <v>0.12</v>
      </c>
      <c r="R2075" s="158">
        <v>0.0</v>
      </c>
      <c r="S2075" s="158">
        <v>0.12</v>
      </c>
      <c r="T2075" s="157" t="s">
        <v>594</v>
      </c>
      <c r="U2075" s="46" t="s">
        <v>651</v>
      </c>
      <c r="V2075" s="46" t="b">
        <v>1</v>
      </c>
      <c r="W2075" s="46">
        <v>0.95</v>
      </c>
      <c r="X2075" s="46">
        <v>0.0</v>
      </c>
      <c r="Y2075" s="46">
        <v>126.797189719113</v>
      </c>
      <c r="Z2075" s="46" t="b">
        <v>0</v>
      </c>
      <c r="AA2075" s="46" t="b">
        <v>0</v>
      </c>
    </row>
    <row r="2076">
      <c r="A2076" s="157" t="s">
        <v>563</v>
      </c>
      <c r="B2076" s="158">
        <v>1.0</v>
      </c>
      <c r="C2076" s="157" t="s">
        <v>642</v>
      </c>
      <c r="D2076" s="157" t="s">
        <v>643</v>
      </c>
      <c r="E2076" s="157" t="s">
        <v>644</v>
      </c>
      <c r="F2076" s="157" t="s">
        <v>6136</v>
      </c>
      <c r="G2076" s="157" t="s">
        <v>6137</v>
      </c>
      <c r="H2076" s="157"/>
      <c r="I2076" s="158">
        <v>0.70778</v>
      </c>
      <c r="J2076" s="158">
        <v>61.21667</v>
      </c>
      <c r="K2076" s="157" t="s">
        <v>5978</v>
      </c>
      <c r="L2076" s="157" t="s">
        <v>648</v>
      </c>
      <c r="M2076" s="158">
        <v>2019.0</v>
      </c>
      <c r="N2076" s="157" t="s">
        <v>649</v>
      </c>
      <c r="O2076" s="157" t="s">
        <v>650</v>
      </c>
      <c r="P2076" s="161" t="b">
        <v>0</v>
      </c>
      <c r="Q2076" s="158">
        <v>0.117</v>
      </c>
      <c r="R2076" s="158">
        <v>0.0</v>
      </c>
      <c r="S2076" s="158">
        <v>0.117</v>
      </c>
      <c r="T2076" s="157" t="s">
        <v>594</v>
      </c>
      <c r="U2076" s="46" t="s">
        <v>651</v>
      </c>
      <c r="V2076" s="46" t="b">
        <v>1</v>
      </c>
      <c r="W2076" s="46">
        <v>0.95</v>
      </c>
      <c r="X2076" s="46">
        <v>0.0</v>
      </c>
      <c r="Y2076" s="46" t="s">
        <v>640</v>
      </c>
      <c r="Z2076" s="46" t="b">
        <v>0</v>
      </c>
      <c r="AA2076" s="46" t="b">
        <v>0</v>
      </c>
    </row>
    <row r="2077">
      <c r="A2077" s="157" t="s">
        <v>563</v>
      </c>
      <c r="B2077" s="158">
        <v>1.0</v>
      </c>
      <c r="C2077" s="157" t="s">
        <v>642</v>
      </c>
      <c r="D2077" s="157" t="s">
        <v>643</v>
      </c>
      <c r="E2077" s="157" t="s">
        <v>644</v>
      </c>
      <c r="F2077" s="157" t="s">
        <v>6138</v>
      </c>
      <c r="G2077" s="157" t="s">
        <v>6139</v>
      </c>
      <c r="H2077" s="157"/>
      <c r="I2077" s="158">
        <v>0.58217</v>
      </c>
      <c r="J2077" s="158">
        <v>57.43551</v>
      </c>
      <c r="K2077" s="157" t="s">
        <v>5978</v>
      </c>
      <c r="L2077" s="157" t="s">
        <v>648</v>
      </c>
      <c r="M2077" s="158">
        <v>2019.0</v>
      </c>
      <c r="N2077" s="157" t="s">
        <v>649</v>
      </c>
      <c r="O2077" s="157" t="s">
        <v>650</v>
      </c>
      <c r="P2077" s="161" t="b">
        <v>0</v>
      </c>
      <c r="Q2077" s="158">
        <v>0.111</v>
      </c>
      <c r="R2077" s="158">
        <v>0.0</v>
      </c>
      <c r="S2077" s="158">
        <v>0.111</v>
      </c>
      <c r="T2077" s="157" t="s">
        <v>594</v>
      </c>
      <c r="U2077" s="46" t="s">
        <v>651</v>
      </c>
      <c r="V2077" s="46" t="b">
        <v>1</v>
      </c>
      <c r="W2077" s="46">
        <v>0.95</v>
      </c>
      <c r="X2077" s="46">
        <v>0.0</v>
      </c>
      <c r="Y2077" s="46">
        <v>64.690931932663</v>
      </c>
      <c r="Z2077" s="46" t="b">
        <v>0</v>
      </c>
      <c r="AA2077" s="46" t="b">
        <v>1</v>
      </c>
    </row>
    <row r="2078">
      <c r="A2078" s="157" t="s">
        <v>563</v>
      </c>
      <c r="B2078" s="158">
        <v>1.0</v>
      </c>
      <c r="C2078" s="157" t="s">
        <v>642</v>
      </c>
      <c r="D2078" s="157" t="s">
        <v>643</v>
      </c>
      <c r="E2078" s="157" t="s">
        <v>644</v>
      </c>
      <c r="F2078" s="157" t="s">
        <v>6140</v>
      </c>
      <c r="G2078" s="157" t="s">
        <v>6141</v>
      </c>
      <c r="H2078" s="157"/>
      <c r="I2078" s="158">
        <v>2.17666</v>
      </c>
      <c r="J2078" s="158">
        <v>57.28691</v>
      </c>
      <c r="K2078" s="157" t="s">
        <v>5978</v>
      </c>
      <c r="L2078" s="157" t="s">
        <v>648</v>
      </c>
      <c r="M2078" s="158">
        <v>2019.0</v>
      </c>
      <c r="N2078" s="157" t="s">
        <v>649</v>
      </c>
      <c r="O2078" s="157" t="s">
        <v>650</v>
      </c>
      <c r="P2078" s="161" t="b">
        <v>0</v>
      </c>
      <c r="Q2078" s="158">
        <v>0.109</v>
      </c>
      <c r="R2078" s="158">
        <v>0.0</v>
      </c>
      <c r="S2078" s="158">
        <v>0.109</v>
      </c>
      <c r="T2078" s="157" t="s">
        <v>594</v>
      </c>
      <c r="U2078" s="46" t="s">
        <v>651</v>
      </c>
      <c r="V2078" s="46" t="b">
        <v>1</v>
      </c>
      <c r="W2078" s="46">
        <v>0.95</v>
      </c>
      <c r="X2078" s="46">
        <v>0.0</v>
      </c>
      <c r="Y2078" s="46">
        <v>128.625774076638</v>
      </c>
      <c r="Z2078" s="46" t="b">
        <v>0</v>
      </c>
      <c r="AA2078" s="46" t="b">
        <v>0</v>
      </c>
    </row>
    <row r="2079">
      <c r="A2079" s="157" t="s">
        <v>563</v>
      </c>
      <c r="B2079" s="158">
        <v>1.0</v>
      </c>
      <c r="C2079" s="157" t="s">
        <v>642</v>
      </c>
      <c r="D2079" s="157" t="s">
        <v>643</v>
      </c>
      <c r="E2079" s="157" t="s">
        <v>644</v>
      </c>
      <c r="F2079" s="157" t="s">
        <v>6142</v>
      </c>
      <c r="G2079" s="157" t="s">
        <v>6143</v>
      </c>
      <c r="H2079" s="157"/>
      <c r="I2079" s="158">
        <v>2.29444</v>
      </c>
      <c r="J2079" s="158">
        <v>53.09031</v>
      </c>
      <c r="K2079" s="157" t="s">
        <v>5978</v>
      </c>
      <c r="L2079" s="157" t="s">
        <v>648</v>
      </c>
      <c r="M2079" s="158">
        <v>2019.0</v>
      </c>
      <c r="N2079" s="157" t="s">
        <v>649</v>
      </c>
      <c r="O2079" s="157" t="s">
        <v>650</v>
      </c>
      <c r="P2079" s="161" t="b">
        <v>0</v>
      </c>
      <c r="Q2079" s="158">
        <v>0.104</v>
      </c>
      <c r="R2079" s="158">
        <v>0.0</v>
      </c>
      <c r="S2079" s="158">
        <v>0.104</v>
      </c>
      <c r="T2079" s="157" t="s">
        <v>594</v>
      </c>
      <c r="U2079" s="46" t="s">
        <v>651</v>
      </c>
      <c r="V2079" s="46" t="b">
        <v>1</v>
      </c>
      <c r="W2079" s="46">
        <v>0.95</v>
      </c>
      <c r="X2079" s="46">
        <v>0.0</v>
      </c>
      <c r="Y2079" s="46">
        <v>60.3518266797846</v>
      </c>
      <c r="Z2079" s="46" t="b">
        <v>0</v>
      </c>
      <c r="AA2079" s="46" t="b">
        <v>1</v>
      </c>
    </row>
    <row r="2080">
      <c r="A2080" s="157" t="s">
        <v>563</v>
      </c>
      <c r="B2080" s="158">
        <v>1.0</v>
      </c>
      <c r="C2080" s="157" t="s">
        <v>642</v>
      </c>
      <c r="D2080" s="157" t="s">
        <v>643</v>
      </c>
      <c r="E2080" s="157" t="s">
        <v>644</v>
      </c>
      <c r="F2080" s="157" t="s">
        <v>6144</v>
      </c>
      <c r="G2080" s="157" t="s">
        <v>6145</v>
      </c>
      <c r="H2080" s="157"/>
      <c r="I2080" s="158">
        <v>1.52706</v>
      </c>
      <c r="J2080" s="158">
        <v>58.87616</v>
      </c>
      <c r="K2080" s="157" t="s">
        <v>5978</v>
      </c>
      <c r="L2080" s="157" t="s">
        <v>648</v>
      </c>
      <c r="M2080" s="158">
        <v>2019.0</v>
      </c>
      <c r="N2080" s="157" t="s">
        <v>649</v>
      </c>
      <c r="O2080" s="157" t="s">
        <v>650</v>
      </c>
      <c r="P2080" s="161" t="b">
        <v>0</v>
      </c>
      <c r="Q2080" s="158">
        <v>0.101</v>
      </c>
      <c r="R2080" s="158">
        <v>0.0</v>
      </c>
      <c r="S2080" s="158">
        <v>0.101</v>
      </c>
      <c r="T2080" s="157" t="s">
        <v>594</v>
      </c>
      <c r="U2080" s="46" t="s">
        <v>651</v>
      </c>
      <c r="V2080" s="46" t="b">
        <v>1</v>
      </c>
      <c r="W2080" s="46">
        <v>0.95</v>
      </c>
      <c r="X2080" s="46">
        <v>0.0</v>
      </c>
      <c r="Y2080" s="46">
        <v>124.603564508107</v>
      </c>
      <c r="Z2080" s="46" t="b">
        <v>0</v>
      </c>
      <c r="AA2080" s="46" t="b">
        <v>0</v>
      </c>
    </row>
    <row r="2081">
      <c r="A2081" s="157" t="s">
        <v>557</v>
      </c>
      <c r="B2081" s="158">
        <v>3.0</v>
      </c>
      <c r="C2081" s="157" t="s">
        <v>1215</v>
      </c>
      <c r="D2081" s="157" t="s">
        <v>6146</v>
      </c>
      <c r="E2081" s="157" t="s">
        <v>6147</v>
      </c>
      <c r="F2081" s="162" t="s">
        <v>6148</v>
      </c>
      <c r="G2081" s="157" t="s">
        <v>6149</v>
      </c>
      <c r="H2081" s="157"/>
      <c r="I2081" s="158">
        <v>9.98085274575312</v>
      </c>
      <c r="J2081" s="158">
        <v>50.839191445938</v>
      </c>
      <c r="K2081" s="157" t="s">
        <v>6150</v>
      </c>
      <c r="L2081" s="157" t="s">
        <v>648</v>
      </c>
      <c r="M2081" s="158">
        <v>2022.0</v>
      </c>
      <c r="N2081" s="157" t="s">
        <v>548</v>
      </c>
      <c r="O2081" s="157" t="s">
        <v>6151</v>
      </c>
      <c r="P2081" s="161" t="b">
        <v>1</v>
      </c>
      <c r="Q2081" s="158">
        <v>0.386</v>
      </c>
      <c r="R2081" s="158">
        <v>0.0</v>
      </c>
      <c r="S2081" s="158">
        <v>0.386</v>
      </c>
      <c r="T2081" s="157" t="s">
        <v>548</v>
      </c>
      <c r="U2081" s="46" t="s">
        <v>651</v>
      </c>
      <c r="V2081" s="46" t="b">
        <v>1</v>
      </c>
      <c r="W2081" s="46">
        <v>0.95</v>
      </c>
      <c r="X2081" s="46">
        <v>0.0</v>
      </c>
      <c r="Y2081" s="46">
        <v>101.718616923131</v>
      </c>
      <c r="Z2081" s="46" t="b">
        <v>0</v>
      </c>
      <c r="AA2081" s="46" t="b">
        <v>0</v>
      </c>
    </row>
    <row r="2082">
      <c r="A2082" s="157" t="s">
        <v>557</v>
      </c>
      <c r="B2082" s="158">
        <v>3.0</v>
      </c>
      <c r="C2082" s="157" t="s">
        <v>1215</v>
      </c>
      <c r="D2082" s="157" t="s">
        <v>6146</v>
      </c>
      <c r="E2082" s="157" t="s">
        <v>6147</v>
      </c>
      <c r="F2082" s="162" t="s">
        <v>6152</v>
      </c>
      <c r="G2082" s="157" t="s">
        <v>6153</v>
      </c>
      <c r="H2082" s="157"/>
      <c r="I2082" s="158">
        <v>11.6792316420522</v>
      </c>
      <c r="J2082" s="158">
        <v>52.29852065</v>
      </c>
      <c r="K2082" s="157" t="s">
        <v>6154</v>
      </c>
      <c r="L2082" s="157" t="s">
        <v>648</v>
      </c>
      <c r="M2082" s="158">
        <v>2022.0</v>
      </c>
      <c r="N2082" s="157" t="s">
        <v>548</v>
      </c>
      <c r="O2082" s="157" t="s">
        <v>6151</v>
      </c>
      <c r="P2082" s="161" t="b">
        <v>1</v>
      </c>
      <c r="Q2082" s="158">
        <v>0.225</v>
      </c>
      <c r="R2082" s="158">
        <v>0.0</v>
      </c>
      <c r="S2082" s="158">
        <v>0.225</v>
      </c>
      <c r="T2082" s="157" t="s">
        <v>548</v>
      </c>
      <c r="U2082" s="46" t="s">
        <v>651</v>
      </c>
      <c r="V2082" s="46" t="b">
        <v>1</v>
      </c>
      <c r="W2082" s="46">
        <v>0.95</v>
      </c>
      <c r="X2082" s="46">
        <v>0.0</v>
      </c>
      <c r="Y2082" s="46">
        <v>16.2486900212293</v>
      </c>
      <c r="Z2082" s="46" t="b">
        <v>1</v>
      </c>
      <c r="AA2082" s="46" t="b">
        <v>1</v>
      </c>
    </row>
    <row r="2083">
      <c r="A2083" s="157" t="s">
        <v>557</v>
      </c>
      <c r="B2083" s="158">
        <v>3.0</v>
      </c>
      <c r="C2083" s="157" t="s">
        <v>1215</v>
      </c>
      <c r="D2083" s="157" t="s">
        <v>6146</v>
      </c>
      <c r="E2083" s="157" t="s">
        <v>6147</v>
      </c>
      <c r="F2083" s="162" t="s">
        <v>6155</v>
      </c>
      <c r="G2083" s="157" t="s">
        <v>6156</v>
      </c>
      <c r="H2083" s="157"/>
      <c r="I2083" s="158">
        <v>9.9958586092397</v>
      </c>
      <c r="J2083" s="158">
        <v>50.8935887965667</v>
      </c>
      <c r="K2083" s="157" t="s">
        <v>6157</v>
      </c>
      <c r="L2083" s="157" t="s">
        <v>648</v>
      </c>
      <c r="M2083" s="158">
        <v>2022.0</v>
      </c>
      <c r="N2083" s="157" t="s">
        <v>548</v>
      </c>
      <c r="O2083" s="157" t="s">
        <v>6151</v>
      </c>
      <c r="P2083" s="161" t="b">
        <v>1</v>
      </c>
      <c r="Q2083" s="158">
        <v>0.215</v>
      </c>
      <c r="R2083" s="158">
        <v>0.0</v>
      </c>
      <c r="S2083" s="158">
        <v>0.215</v>
      </c>
      <c r="T2083" s="157" t="s">
        <v>548</v>
      </c>
      <c r="U2083" s="46" t="s">
        <v>651</v>
      </c>
      <c r="V2083" s="46" t="b">
        <v>1</v>
      </c>
      <c r="W2083" s="46">
        <v>0.95</v>
      </c>
      <c r="X2083" s="46">
        <v>0.0</v>
      </c>
      <c r="Y2083" s="46">
        <v>107.773542689158</v>
      </c>
      <c r="Z2083" s="46" t="b">
        <v>0</v>
      </c>
      <c r="AA2083" s="46" t="b">
        <v>0</v>
      </c>
    </row>
    <row r="2084">
      <c r="A2084" s="157" t="s">
        <v>557</v>
      </c>
      <c r="B2084" s="158">
        <v>3.0</v>
      </c>
      <c r="C2084" s="157" t="s">
        <v>1215</v>
      </c>
      <c r="D2084" s="157" t="s">
        <v>6146</v>
      </c>
      <c r="E2084" s="157" t="s">
        <v>6147</v>
      </c>
      <c r="F2084" s="162" t="s">
        <v>6158</v>
      </c>
      <c r="G2084" s="157" t="s">
        <v>6159</v>
      </c>
      <c r="H2084" s="157"/>
      <c r="I2084" s="158">
        <v>9.97729204311675</v>
      </c>
      <c r="J2084" s="158">
        <v>50.8121882642952</v>
      </c>
      <c r="K2084" s="157" t="s">
        <v>6160</v>
      </c>
      <c r="L2084" s="157" t="s">
        <v>648</v>
      </c>
      <c r="M2084" s="158">
        <v>2022.0</v>
      </c>
      <c r="N2084" s="157" t="s">
        <v>548</v>
      </c>
      <c r="O2084" s="157" t="s">
        <v>6151</v>
      </c>
      <c r="P2084" s="161" t="b">
        <v>1</v>
      </c>
      <c r="Q2084" s="158">
        <v>0.131</v>
      </c>
      <c r="R2084" s="158">
        <v>0.0</v>
      </c>
      <c r="S2084" s="158">
        <v>0.131</v>
      </c>
      <c r="T2084" s="157" t="s">
        <v>548</v>
      </c>
      <c r="U2084" s="46" t="s">
        <v>651</v>
      </c>
      <c r="V2084" s="46" t="b">
        <v>1</v>
      </c>
      <c r="W2084" s="46">
        <v>0.95</v>
      </c>
      <c r="X2084" s="46">
        <v>0.0</v>
      </c>
      <c r="Y2084" s="46">
        <v>98.7159396536157</v>
      </c>
      <c r="Z2084" s="46" t="b">
        <v>0</v>
      </c>
      <c r="AA2084" s="46" t="b">
        <v>1</v>
      </c>
    </row>
    <row r="2085">
      <c r="A2085" s="157" t="s">
        <v>569</v>
      </c>
      <c r="B2085" s="158">
        <v>3.0</v>
      </c>
      <c r="C2085" s="157" t="s">
        <v>1215</v>
      </c>
      <c r="D2085" s="157" t="s">
        <v>6146</v>
      </c>
      <c r="E2085" s="157" t="s">
        <v>6147</v>
      </c>
      <c r="F2085" s="157" t="s">
        <v>6161</v>
      </c>
      <c r="G2085" s="157" t="s">
        <v>6162</v>
      </c>
      <c r="H2085" s="157"/>
      <c r="I2085" s="158">
        <v>20.188964</v>
      </c>
      <c r="J2085" s="158">
        <v>46.298841</v>
      </c>
      <c r="K2085" s="157" t="s">
        <v>6163</v>
      </c>
      <c r="L2085" s="157" t="s">
        <v>648</v>
      </c>
      <c r="M2085" s="158">
        <v>2020.0</v>
      </c>
      <c r="N2085" s="157" t="s">
        <v>548</v>
      </c>
      <c r="O2085" s="157" t="s">
        <v>6151</v>
      </c>
      <c r="P2085" s="161" t="b">
        <v>1</v>
      </c>
      <c r="Q2085" s="158">
        <v>0.101571</v>
      </c>
      <c r="R2085" s="158">
        <v>0.0</v>
      </c>
      <c r="S2085" s="158">
        <v>0.101571</v>
      </c>
      <c r="T2085" s="157" t="s">
        <v>548</v>
      </c>
      <c r="U2085" s="46" t="s">
        <v>651</v>
      </c>
      <c r="V2085" s="46" t="b">
        <v>1</v>
      </c>
      <c r="W2085" s="46">
        <v>0.95</v>
      </c>
      <c r="X2085" s="46">
        <v>0.0</v>
      </c>
      <c r="Y2085" s="46" t="s">
        <v>640</v>
      </c>
      <c r="Z2085" s="46" t="b">
        <v>0</v>
      </c>
      <c r="AA2085" s="46" t="b">
        <v>0</v>
      </c>
    </row>
    <row r="2086">
      <c r="A2086" s="157" t="s">
        <v>559</v>
      </c>
      <c r="B2086" s="158">
        <v>3.0</v>
      </c>
      <c r="C2086" s="157" t="s">
        <v>1215</v>
      </c>
      <c r="D2086" s="157" t="s">
        <v>6146</v>
      </c>
      <c r="E2086" s="157" t="s">
        <v>6147</v>
      </c>
      <c r="F2086" s="157" t="s">
        <v>6164</v>
      </c>
      <c r="G2086" s="157" t="s">
        <v>6165</v>
      </c>
      <c r="H2086" s="157"/>
      <c r="I2086" s="158">
        <v>15.8972</v>
      </c>
      <c r="J2086" s="158">
        <v>40.3136</v>
      </c>
      <c r="K2086" s="157" t="s">
        <v>6166</v>
      </c>
      <c r="L2086" s="157" t="s">
        <v>648</v>
      </c>
      <c r="M2086" s="158">
        <v>2022.0</v>
      </c>
      <c r="N2086" s="157" t="s">
        <v>548</v>
      </c>
      <c r="O2086" s="157" t="s">
        <v>6151</v>
      </c>
      <c r="P2086" s="161" t="b">
        <v>1</v>
      </c>
      <c r="Q2086" s="158">
        <v>0.7158558</v>
      </c>
      <c r="R2086" s="158">
        <v>0.0</v>
      </c>
      <c r="S2086" s="158">
        <v>0.7158558</v>
      </c>
      <c r="T2086" s="157" t="s">
        <v>548</v>
      </c>
      <c r="U2086" s="46" t="s">
        <v>651</v>
      </c>
      <c r="V2086" s="46" t="b">
        <v>1</v>
      </c>
      <c r="W2086" s="46">
        <v>0.95</v>
      </c>
      <c r="X2086" s="46">
        <v>0.0</v>
      </c>
      <c r="Y2086" s="46" t="s">
        <v>640</v>
      </c>
      <c r="Z2086" s="46" t="b">
        <v>0</v>
      </c>
      <c r="AA2086" s="46" t="b">
        <v>0</v>
      </c>
    </row>
    <row r="2087">
      <c r="A2087" s="157" t="s">
        <v>559</v>
      </c>
      <c r="B2087" s="158">
        <v>3.0</v>
      </c>
      <c r="C2087" s="157" t="s">
        <v>1215</v>
      </c>
      <c r="D2087" s="157" t="s">
        <v>6146</v>
      </c>
      <c r="E2087" s="157" t="s">
        <v>6147</v>
      </c>
      <c r="F2087" s="157" t="s">
        <v>6167</v>
      </c>
      <c r="G2087" s="157" t="s">
        <v>6168</v>
      </c>
      <c r="H2087" s="157"/>
      <c r="I2087" s="158">
        <v>16.0871</v>
      </c>
      <c r="J2087" s="158">
        <v>40.4101</v>
      </c>
      <c r="K2087" s="157" t="s">
        <v>6169</v>
      </c>
      <c r="L2087" s="157" t="s">
        <v>648</v>
      </c>
      <c r="M2087" s="158">
        <v>2022.0</v>
      </c>
      <c r="N2087" s="157" t="s">
        <v>548</v>
      </c>
      <c r="O2087" s="157" t="s">
        <v>6151</v>
      </c>
      <c r="P2087" s="161" t="b">
        <v>1</v>
      </c>
      <c r="Q2087" s="158">
        <v>0.172764</v>
      </c>
      <c r="R2087" s="158">
        <v>0.0</v>
      </c>
      <c r="S2087" s="158">
        <v>0.172764</v>
      </c>
      <c r="T2087" s="157" t="s">
        <v>548</v>
      </c>
      <c r="U2087" s="46" t="s">
        <v>651</v>
      </c>
      <c r="V2087" s="46" t="b">
        <v>1</v>
      </c>
      <c r="W2087" s="46">
        <v>0.95</v>
      </c>
      <c r="X2087" s="46">
        <v>0.0</v>
      </c>
      <c r="Y2087" s="46" t="s">
        <v>640</v>
      </c>
      <c r="Z2087" s="46" t="b">
        <v>0</v>
      </c>
      <c r="AA2087" s="46" t="b">
        <v>0</v>
      </c>
    </row>
    <row r="2088">
      <c r="A2088" s="157" t="s">
        <v>576</v>
      </c>
      <c r="B2088" s="158">
        <v>3.0</v>
      </c>
      <c r="C2088" s="157" t="s">
        <v>1215</v>
      </c>
      <c r="D2088" s="157" t="s">
        <v>6146</v>
      </c>
      <c r="E2088" s="157" t="s">
        <v>6147</v>
      </c>
      <c r="F2088" s="157" t="s">
        <v>6170</v>
      </c>
      <c r="G2088" s="157" t="s">
        <v>6171</v>
      </c>
      <c r="H2088" s="157"/>
      <c r="I2088" s="158">
        <v>29.565711</v>
      </c>
      <c r="J2088" s="158">
        <v>44.522987</v>
      </c>
      <c r="K2088" s="157" t="s">
        <v>5842</v>
      </c>
      <c r="L2088" s="157" t="s">
        <v>648</v>
      </c>
      <c r="M2088" s="158">
        <v>2018.0</v>
      </c>
      <c r="N2088" s="157" t="s">
        <v>548</v>
      </c>
      <c r="O2088" s="157" t="s">
        <v>6151</v>
      </c>
      <c r="P2088" s="161" t="b">
        <v>1</v>
      </c>
      <c r="Q2088" s="158">
        <v>0.101</v>
      </c>
      <c r="R2088" s="158">
        <v>0.0</v>
      </c>
      <c r="S2088" s="158">
        <v>0.101</v>
      </c>
      <c r="T2088" s="157" t="s">
        <v>548</v>
      </c>
      <c r="U2088" s="46" t="s">
        <v>651</v>
      </c>
      <c r="V2088" s="46" t="b">
        <v>1</v>
      </c>
      <c r="W2088" s="46">
        <v>0.95</v>
      </c>
      <c r="X2088" s="46">
        <v>0.0</v>
      </c>
      <c r="Y2088" s="46" t="s">
        <v>640</v>
      </c>
      <c r="Z2088" s="46" t="b">
        <v>0</v>
      </c>
      <c r="AA2088" s="46" t="b">
        <v>0</v>
      </c>
    </row>
    <row r="2089">
      <c r="A2089" s="157" t="s">
        <v>567</v>
      </c>
      <c r="B2089" s="158">
        <v>3.0</v>
      </c>
      <c r="C2089" s="157" t="s">
        <v>1215</v>
      </c>
      <c r="D2089" s="157" t="s">
        <v>6146</v>
      </c>
      <c r="E2089" s="157" t="s">
        <v>6147</v>
      </c>
      <c r="F2089" s="157" t="s">
        <v>6172</v>
      </c>
      <c r="G2089" s="157" t="s">
        <v>6173</v>
      </c>
      <c r="H2089" s="157"/>
      <c r="I2089" s="158">
        <v>6.725545</v>
      </c>
      <c r="J2089" s="158">
        <v>65.06417</v>
      </c>
      <c r="K2089" s="157" t="s">
        <v>6174</v>
      </c>
      <c r="L2089" s="157" t="s">
        <v>648</v>
      </c>
      <c r="M2089" s="158">
        <v>2017.0</v>
      </c>
      <c r="N2089" s="157" t="s">
        <v>548</v>
      </c>
      <c r="O2089" s="157" t="s">
        <v>6151</v>
      </c>
      <c r="P2089" s="161" t="b">
        <v>1</v>
      </c>
      <c r="Q2089" s="158">
        <v>1.06</v>
      </c>
      <c r="R2089" s="158">
        <v>0.0</v>
      </c>
      <c r="S2089" s="158">
        <v>1.06</v>
      </c>
      <c r="T2089" s="157" t="s">
        <v>548</v>
      </c>
      <c r="U2089" s="46" t="s">
        <v>651</v>
      </c>
      <c r="V2089" s="46" t="b">
        <v>1</v>
      </c>
      <c r="W2089" s="46">
        <v>0.95</v>
      </c>
      <c r="X2089" s="46">
        <v>0.0</v>
      </c>
      <c r="Y2089" s="46" t="s">
        <v>640</v>
      </c>
      <c r="Z2089" s="46" t="b">
        <v>0</v>
      </c>
      <c r="AA2089" s="46" t="b">
        <v>0</v>
      </c>
    </row>
    <row r="2090">
      <c r="A2090" s="157" t="s">
        <v>567</v>
      </c>
      <c r="B2090" s="158">
        <v>3.0</v>
      </c>
      <c r="C2090" s="157" t="s">
        <v>1215</v>
      </c>
      <c r="D2090" s="157" t="s">
        <v>6146</v>
      </c>
      <c r="E2090" s="157" t="s">
        <v>6147</v>
      </c>
      <c r="F2090" s="157" t="s">
        <v>6175</v>
      </c>
      <c r="G2090" s="157" t="s">
        <v>6176</v>
      </c>
      <c r="H2090" s="157"/>
      <c r="I2090" s="158">
        <v>2.187338</v>
      </c>
      <c r="J2090" s="158">
        <v>61.1755829</v>
      </c>
      <c r="K2090" s="157" t="s">
        <v>6174</v>
      </c>
      <c r="L2090" s="157" t="s">
        <v>648</v>
      </c>
      <c r="M2090" s="158">
        <v>2017.0</v>
      </c>
      <c r="N2090" s="157" t="s">
        <v>548</v>
      </c>
      <c r="O2090" s="157" t="s">
        <v>6151</v>
      </c>
      <c r="P2090" s="161" t="b">
        <v>1</v>
      </c>
      <c r="Q2090" s="158">
        <v>0.902</v>
      </c>
      <c r="R2090" s="158">
        <v>0.0</v>
      </c>
      <c r="S2090" s="158">
        <v>0.902</v>
      </c>
      <c r="T2090" s="157" t="s">
        <v>548</v>
      </c>
      <c r="U2090" s="46" t="s">
        <v>651</v>
      </c>
      <c r="V2090" s="46" t="b">
        <v>1</v>
      </c>
      <c r="W2090" s="46">
        <v>0.95</v>
      </c>
      <c r="X2090" s="46">
        <v>0.0</v>
      </c>
      <c r="Y2090" s="46">
        <v>98.2808775401145</v>
      </c>
      <c r="Z2090" s="46" t="b">
        <v>0</v>
      </c>
      <c r="AA2090" s="46" t="b">
        <v>1</v>
      </c>
    </row>
    <row r="2091">
      <c r="A2091" s="157" t="s">
        <v>567</v>
      </c>
      <c r="B2091" s="158">
        <v>3.0</v>
      </c>
      <c r="C2091" s="157" t="s">
        <v>1215</v>
      </c>
      <c r="D2091" s="157" t="s">
        <v>6146</v>
      </c>
      <c r="E2091" s="157" t="s">
        <v>6147</v>
      </c>
      <c r="F2091" s="157" t="s">
        <v>6177</v>
      </c>
      <c r="G2091" s="157" t="s">
        <v>6178</v>
      </c>
      <c r="H2091" s="157"/>
      <c r="I2091" s="158">
        <v>2.8256</v>
      </c>
      <c r="J2091" s="158">
        <v>60.49131</v>
      </c>
      <c r="K2091" s="157" t="s">
        <v>6174</v>
      </c>
      <c r="L2091" s="157" t="s">
        <v>648</v>
      </c>
      <c r="M2091" s="158">
        <v>2017.0</v>
      </c>
      <c r="N2091" s="157" t="s">
        <v>548</v>
      </c>
      <c r="O2091" s="157" t="s">
        <v>6151</v>
      </c>
      <c r="P2091" s="161" t="b">
        <v>1</v>
      </c>
      <c r="Q2091" s="158">
        <v>0.874</v>
      </c>
      <c r="R2091" s="158">
        <v>0.0</v>
      </c>
      <c r="S2091" s="158">
        <v>0.874</v>
      </c>
      <c r="T2091" s="157" t="s">
        <v>548</v>
      </c>
      <c r="U2091" s="46" t="s">
        <v>651</v>
      </c>
      <c r="V2091" s="46" t="b">
        <v>1</v>
      </c>
      <c r="W2091" s="46">
        <v>0.95</v>
      </c>
      <c r="X2091" s="46">
        <v>0.0</v>
      </c>
      <c r="Y2091" s="46">
        <v>34.4230909465574</v>
      </c>
      <c r="Z2091" s="46" t="b">
        <v>1</v>
      </c>
      <c r="AA2091" s="46" t="b">
        <v>1</v>
      </c>
    </row>
    <row r="2092">
      <c r="A2092" s="157" t="s">
        <v>567</v>
      </c>
      <c r="B2092" s="158">
        <v>3.0</v>
      </c>
      <c r="C2092" s="157" t="s">
        <v>1215</v>
      </c>
      <c r="D2092" s="157" t="s">
        <v>6146</v>
      </c>
      <c r="E2092" s="157" t="s">
        <v>6147</v>
      </c>
      <c r="F2092" s="157" t="s">
        <v>6179</v>
      </c>
      <c r="G2092" s="157" t="s">
        <v>6180</v>
      </c>
      <c r="H2092" s="157"/>
      <c r="I2092" s="158">
        <v>1.852061</v>
      </c>
      <c r="J2092" s="158">
        <v>61.2551537</v>
      </c>
      <c r="K2092" s="157" t="s">
        <v>6174</v>
      </c>
      <c r="L2092" s="157" t="s">
        <v>648</v>
      </c>
      <c r="M2092" s="158">
        <v>2017.0</v>
      </c>
      <c r="N2092" s="157" t="s">
        <v>548</v>
      </c>
      <c r="O2092" s="157" t="s">
        <v>6151</v>
      </c>
      <c r="P2092" s="161" t="b">
        <v>1</v>
      </c>
      <c r="Q2092" s="158">
        <v>0.824</v>
      </c>
      <c r="R2092" s="158">
        <v>0.0</v>
      </c>
      <c r="S2092" s="158">
        <v>0.824</v>
      </c>
      <c r="T2092" s="157" t="s">
        <v>548</v>
      </c>
      <c r="U2092" s="46" t="s">
        <v>651</v>
      </c>
      <c r="V2092" s="46" t="b">
        <v>1</v>
      </c>
      <c r="W2092" s="46">
        <v>0.95</v>
      </c>
      <c r="X2092" s="46">
        <v>0.0</v>
      </c>
      <c r="Y2092" s="46">
        <v>117.435257211977</v>
      </c>
      <c r="Z2092" s="46" t="b">
        <v>0</v>
      </c>
      <c r="AA2092" s="46" t="b">
        <v>0</v>
      </c>
    </row>
    <row r="2093">
      <c r="A2093" s="157" t="s">
        <v>567</v>
      </c>
      <c r="B2093" s="158">
        <v>3.0</v>
      </c>
      <c r="C2093" s="157" t="s">
        <v>1215</v>
      </c>
      <c r="D2093" s="157" t="s">
        <v>6146</v>
      </c>
      <c r="E2093" s="157" t="s">
        <v>6147</v>
      </c>
      <c r="F2093" s="157" t="s">
        <v>6181</v>
      </c>
      <c r="G2093" s="157" t="s">
        <v>6182</v>
      </c>
      <c r="H2093" s="157"/>
      <c r="I2093" s="158">
        <v>3.72485</v>
      </c>
      <c r="J2093" s="158">
        <v>60.645134</v>
      </c>
      <c r="K2093" s="157" t="s">
        <v>6174</v>
      </c>
      <c r="L2093" s="157" t="s">
        <v>648</v>
      </c>
      <c r="M2093" s="158">
        <v>2017.0</v>
      </c>
      <c r="N2093" s="157" t="s">
        <v>548</v>
      </c>
      <c r="O2093" s="157" t="s">
        <v>6151</v>
      </c>
      <c r="P2093" s="161" t="b">
        <v>1</v>
      </c>
      <c r="Q2093" s="158">
        <v>0.691</v>
      </c>
      <c r="R2093" s="158">
        <v>0.0</v>
      </c>
      <c r="S2093" s="158">
        <v>0.691</v>
      </c>
      <c r="T2093" s="157" t="s">
        <v>548</v>
      </c>
      <c r="U2093" s="46" t="s">
        <v>651</v>
      </c>
      <c r="V2093" s="46" t="b">
        <v>1</v>
      </c>
      <c r="W2093" s="46">
        <v>0.95</v>
      </c>
      <c r="X2093" s="46">
        <v>0.0</v>
      </c>
      <c r="Y2093" s="46">
        <v>12.0533548420252</v>
      </c>
      <c r="Z2093" s="46" t="b">
        <v>1</v>
      </c>
      <c r="AA2093" s="46" t="b">
        <v>1</v>
      </c>
    </row>
    <row r="2094">
      <c r="A2094" s="157" t="s">
        <v>567</v>
      </c>
      <c r="B2094" s="158">
        <v>3.0</v>
      </c>
      <c r="C2094" s="157" t="s">
        <v>1215</v>
      </c>
      <c r="D2094" s="157" t="s">
        <v>6146</v>
      </c>
      <c r="E2094" s="157" t="s">
        <v>6147</v>
      </c>
      <c r="F2094" s="157" t="s">
        <v>6183</v>
      </c>
      <c r="G2094" s="157" t="s">
        <v>6184</v>
      </c>
      <c r="H2094" s="157"/>
      <c r="I2094" s="158">
        <v>3.221415</v>
      </c>
      <c r="J2094" s="158">
        <v>56.5203133</v>
      </c>
      <c r="K2094" s="157" t="s">
        <v>6185</v>
      </c>
      <c r="L2094" s="157" t="s">
        <v>648</v>
      </c>
      <c r="M2094" s="158">
        <v>2017.0</v>
      </c>
      <c r="N2094" s="157" t="s">
        <v>548</v>
      </c>
      <c r="O2094" s="157" t="s">
        <v>6151</v>
      </c>
      <c r="P2094" s="161" t="b">
        <v>1</v>
      </c>
      <c r="Q2094" s="158">
        <v>0.605</v>
      </c>
      <c r="R2094" s="158">
        <v>0.0</v>
      </c>
      <c r="S2094" s="158">
        <v>0.605</v>
      </c>
      <c r="T2094" s="157" t="s">
        <v>548</v>
      </c>
      <c r="U2094" s="46" t="s">
        <v>651</v>
      </c>
      <c r="V2094" s="46" t="b">
        <v>1</v>
      </c>
      <c r="W2094" s="46">
        <v>0.95</v>
      </c>
      <c r="X2094" s="46">
        <v>0.0</v>
      </c>
      <c r="Y2094" s="46">
        <v>69.1130545145891</v>
      </c>
      <c r="Z2094" s="46" t="b">
        <v>0</v>
      </c>
      <c r="AA2094" s="46" t="b">
        <v>1</v>
      </c>
    </row>
    <row r="2095">
      <c r="A2095" s="157" t="s">
        <v>567</v>
      </c>
      <c r="B2095" s="158">
        <v>3.0</v>
      </c>
      <c r="C2095" s="157" t="s">
        <v>1215</v>
      </c>
      <c r="D2095" s="157" t="s">
        <v>6146</v>
      </c>
      <c r="E2095" s="157" t="s">
        <v>6147</v>
      </c>
      <c r="F2095" s="157" t="s">
        <v>6186</v>
      </c>
      <c r="G2095" s="157" t="s">
        <v>6187</v>
      </c>
      <c r="H2095" s="157"/>
      <c r="I2095" s="158">
        <v>1.90703</v>
      </c>
      <c r="J2095" s="158">
        <v>58.36666</v>
      </c>
      <c r="K2095" s="157" t="s">
        <v>6174</v>
      </c>
      <c r="L2095" s="157" t="s">
        <v>648</v>
      </c>
      <c r="M2095" s="158">
        <v>2017.0</v>
      </c>
      <c r="N2095" s="157" t="s">
        <v>548</v>
      </c>
      <c r="O2095" s="157" t="s">
        <v>6151</v>
      </c>
      <c r="P2095" s="161" t="b">
        <v>1</v>
      </c>
      <c r="Q2095" s="158">
        <v>0.474</v>
      </c>
      <c r="R2095" s="158">
        <v>0.0</v>
      </c>
      <c r="S2095" s="158">
        <v>0.474</v>
      </c>
      <c r="T2095" s="157" t="s">
        <v>548</v>
      </c>
      <c r="U2095" s="46" t="s">
        <v>651</v>
      </c>
      <c r="V2095" s="46" t="b">
        <v>1</v>
      </c>
      <c r="W2095" s="46">
        <v>0.95</v>
      </c>
      <c r="X2095" s="46">
        <v>0.0</v>
      </c>
      <c r="Y2095" s="46">
        <v>107.173140053742</v>
      </c>
      <c r="Z2095" s="46" t="b">
        <v>0</v>
      </c>
      <c r="AA2095" s="46" t="b">
        <v>0</v>
      </c>
    </row>
    <row r="2096">
      <c r="A2096" s="157" t="s">
        <v>567</v>
      </c>
      <c r="B2096" s="158">
        <v>3.0</v>
      </c>
      <c r="C2096" s="157" t="s">
        <v>1215</v>
      </c>
      <c r="D2096" s="157" t="s">
        <v>6146</v>
      </c>
      <c r="E2096" s="157" t="s">
        <v>6147</v>
      </c>
      <c r="F2096" s="157" t="s">
        <v>6188</v>
      </c>
      <c r="G2096" s="157" t="s">
        <v>6189</v>
      </c>
      <c r="H2096" s="157"/>
      <c r="I2096" s="158">
        <v>2.142531</v>
      </c>
      <c r="J2096" s="158">
        <v>61.448822</v>
      </c>
      <c r="K2096" s="157" t="s">
        <v>6174</v>
      </c>
      <c r="L2096" s="157" t="s">
        <v>648</v>
      </c>
      <c r="M2096" s="158">
        <v>2017.0</v>
      </c>
      <c r="N2096" s="157" t="s">
        <v>548</v>
      </c>
      <c r="O2096" s="157" t="s">
        <v>6151</v>
      </c>
      <c r="P2096" s="161" t="b">
        <v>1</v>
      </c>
      <c r="Q2096" s="158">
        <v>0.437</v>
      </c>
      <c r="R2096" s="158">
        <v>0.0</v>
      </c>
      <c r="S2096" s="158">
        <v>0.437</v>
      </c>
      <c r="T2096" s="157" t="s">
        <v>548</v>
      </c>
      <c r="U2096" s="46" t="s">
        <v>651</v>
      </c>
      <c r="V2096" s="46" t="b">
        <v>1</v>
      </c>
      <c r="W2096" s="46">
        <v>0.95</v>
      </c>
      <c r="X2096" s="46">
        <v>0.0</v>
      </c>
      <c r="Y2096" s="46">
        <v>123.220309587665</v>
      </c>
      <c r="Z2096" s="46" t="b">
        <v>0</v>
      </c>
      <c r="AA2096" s="46" t="b">
        <v>0</v>
      </c>
    </row>
    <row r="2097">
      <c r="A2097" s="157" t="s">
        <v>567</v>
      </c>
      <c r="B2097" s="158">
        <v>3.0</v>
      </c>
      <c r="C2097" s="157" t="s">
        <v>1215</v>
      </c>
      <c r="D2097" s="157" t="s">
        <v>6146</v>
      </c>
      <c r="E2097" s="157" t="s">
        <v>6147</v>
      </c>
      <c r="F2097" s="157" t="s">
        <v>6190</v>
      </c>
      <c r="G2097" s="157" t="s">
        <v>6191</v>
      </c>
      <c r="H2097" s="157"/>
      <c r="I2097" s="158">
        <v>7.654019</v>
      </c>
      <c r="J2097" s="158">
        <v>65.73843</v>
      </c>
      <c r="K2097" s="157" t="s">
        <v>6174</v>
      </c>
      <c r="L2097" s="157" t="s">
        <v>648</v>
      </c>
      <c r="M2097" s="158">
        <v>2017.0</v>
      </c>
      <c r="N2097" s="157" t="s">
        <v>548</v>
      </c>
      <c r="O2097" s="157" t="s">
        <v>6151</v>
      </c>
      <c r="P2097" s="161" t="b">
        <v>1</v>
      </c>
      <c r="Q2097" s="158">
        <v>0.399</v>
      </c>
      <c r="R2097" s="158">
        <v>0.0</v>
      </c>
      <c r="S2097" s="158">
        <v>0.399</v>
      </c>
      <c r="T2097" s="157" t="s">
        <v>548</v>
      </c>
      <c r="U2097" s="46" t="s">
        <v>651</v>
      </c>
      <c r="V2097" s="46" t="b">
        <v>1</v>
      </c>
      <c r="W2097" s="46">
        <v>0.95</v>
      </c>
      <c r="X2097" s="46">
        <v>0.0</v>
      </c>
      <c r="Y2097" s="46" t="s">
        <v>640</v>
      </c>
      <c r="Z2097" s="46" t="b">
        <v>0</v>
      </c>
      <c r="AA2097" s="46" t="b">
        <v>0</v>
      </c>
    </row>
    <row r="2098">
      <c r="A2098" s="157" t="s">
        <v>567</v>
      </c>
      <c r="B2098" s="158">
        <v>3.0</v>
      </c>
      <c r="C2098" s="157" t="s">
        <v>1215</v>
      </c>
      <c r="D2098" s="157" t="s">
        <v>6146</v>
      </c>
      <c r="E2098" s="157" t="s">
        <v>6147</v>
      </c>
      <c r="F2098" s="157" t="s">
        <v>6192</v>
      </c>
      <c r="G2098" s="157" t="s">
        <v>6193</v>
      </c>
      <c r="H2098" s="157"/>
      <c r="I2098" s="158">
        <v>7.315686</v>
      </c>
      <c r="J2098" s="158">
        <v>65.32562</v>
      </c>
      <c r="K2098" s="157" t="s">
        <v>6174</v>
      </c>
      <c r="L2098" s="157" t="s">
        <v>648</v>
      </c>
      <c r="M2098" s="158">
        <v>2017.0</v>
      </c>
      <c r="N2098" s="157" t="s">
        <v>548</v>
      </c>
      <c r="O2098" s="157" t="s">
        <v>6151</v>
      </c>
      <c r="P2098" s="161" t="b">
        <v>1</v>
      </c>
      <c r="Q2098" s="158">
        <v>0.379</v>
      </c>
      <c r="R2098" s="158">
        <v>0.0</v>
      </c>
      <c r="S2098" s="158">
        <v>0.379</v>
      </c>
      <c r="T2098" s="157" t="s">
        <v>548</v>
      </c>
      <c r="U2098" s="46" t="s">
        <v>651</v>
      </c>
      <c r="V2098" s="46" t="b">
        <v>1</v>
      </c>
      <c r="W2098" s="46">
        <v>0.95</v>
      </c>
      <c r="X2098" s="46">
        <v>0.0</v>
      </c>
      <c r="Y2098" s="46" t="s">
        <v>640</v>
      </c>
      <c r="Z2098" s="46" t="b">
        <v>0</v>
      </c>
      <c r="AA2098" s="46" t="b">
        <v>0</v>
      </c>
    </row>
    <row r="2099">
      <c r="A2099" s="157" t="s">
        <v>567</v>
      </c>
      <c r="B2099" s="158">
        <v>3.0</v>
      </c>
      <c r="C2099" s="157" t="s">
        <v>1215</v>
      </c>
      <c r="D2099" s="157" t="s">
        <v>6146</v>
      </c>
      <c r="E2099" s="157" t="s">
        <v>6147</v>
      </c>
      <c r="F2099" s="157" t="s">
        <v>6194</v>
      </c>
      <c r="G2099" s="157" t="s">
        <v>6195</v>
      </c>
      <c r="H2099" s="157"/>
      <c r="I2099" s="158">
        <v>8.086531</v>
      </c>
      <c r="J2099" s="158">
        <v>66.02713</v>
      </c>
      <c r="K2099" s="157" t="s">
        <v>6174</v>
      </c>
      <c r="L2099" s="157" t="s">
        <v>648</v>
      </c>
      <c r="M2099" s="158">
        <v>2017.0</v>
      </c>
      <c r="N2099" s="157" t="s">
        <v>548</v>
      </c>
      <c r="O2099" s="157" t="s">
        <v>6151</v>
      </c>
      <c r="P2099" s="161" t="b">
        <v>1</v>
      </c>
      <c r="Q2099" s="158">
        <v>0.373</v>
      </c>
      <c r="R2099" s="158">
        <v>0.0</v>
      </c>
      <c r="S2099" s="158">
        <v>0.373</v>
      </c>
      <c r="T2099" s="157" t="s">
        <v>548</v>
      </c>
      <c r="U2099" s="46" t="s">
        <v>651</v>
      </c>
      <c r="V2099" s="46" t="b">
        <v>1</v>
      </c>
      <c r="W2099" s="46">
        <v>0.95</v>
      </c>
      <c r="X2099" s="46">
        <v>0.0</v>
      </c>
      <c r="Y2099" s="46" t="s">
        <v>640</v>
      </c>
      <c r="Z2099" s="46" t="b">
        <v>0</v>
      </c>
      <c r="AA2099" s="46" t="b">
        <v>0</v>
      </c>
    </row>
    <row r="2100">
      <c r="A2100" s="157" t="s">
        <v>567</v>
      </c>
      <c r="B2100" s="158">
        <v>3.0</v>
      </c>
      <c r="C2100" s="157" t="s">
        <v>1215</v>
      </c>
      <c r="D2100" s="157" t="s">
        <v>6146</v>
      </c>
      <c r="E2100" s="157" t="s">
        <v>6147</v>
      </c>
      <c r="F2100" s="157" t="s">
        <v>6196</v>
      </c>
      <c r="G2100" s="157" t="s">
        <v>6197</v>
      </c>
      <c r="H2100" s="157"/>
      <c r="I2100" s="158">
        <v>6.549454</v>
      </c>
      <c r="J2100" s="158">
        <v>64.99371</v>
      </c>
      <c r="K2100" s="157" t="s">
        <v>6174</v>
      </c>
      <c r="L2100" s="157" t="s">
        <v>648</v>
      </c>
      <c r="M2100" s="158">
        <v>2017.0</v>
      </c>
      <c r="N2100" s="157" t="s">
        <v>548</v>
      </c>
      <c r="O2100" s="157" t="s">
        <v>6151</v>
      </c>
      <c r="P2100" s="161" t="b">
        <v>1</v>
      </c>
      <c r="Q2100" s="158">
        <v>0.314</v>
      </c>
      <c r="R2100" s="158">
        <v>0.0</v>
      </c>
      <c r="S2100" s="158">
        <v>0.314</v>
      </c>
      <c r="T2100" s="157" t="s">
        <v>548</v>
      </c>
      <c r="U2100" s="46" t="s">
        <v>651</v>
      </c>
      <c r="V2100" s="46" t="b">
        <v>1</v>
      </c>
      <c r="W2100" s="46">
        <v>0.95</v>
      </c>
      <c r="X2100" s="46">
        <v>0.0</v>
      </c>
      <c r="Y2100" s="46" t="s">
        <v>640</v>
      </c>
      <c r="Z2100" s="46" t="b">
        <v>0</v>
      </c>
      <c r="AA2100" s="46" t="b">
        <v>0</v>
      </c>
    </row>
    <row r="2101">
      <c r="A2101" s="157" t="s">
        <v>567</v>
      </c>
      <c r="B2101" s="158">
        <v>3.0</v>
      </c>
      <c r="C2101" s="157" t="s">
        <v>1215</v>
      </c>
      <c r="D2101" s="157" t="s">
        <v>6146</v>
      </c>
      <c r="E2101" s="157" t="s">
        <v>6147</v>
      </c>
      <c r="F2101" s="157" t="s">
        <v>6198</v>
      </c>
      <c r="G2101" s="157" t="s">
        <v>6199</v>
      </c>
      <c r="H2101" s="157"/>
      <c r="I2101" s="158">
        <v>1.716314</v>
      </c>
      <c r="J2101" s="158">
        <v>58.417244</v>
      </c>
      <c r="K2101" s="157" t="s">
        <v>6174</v>
      </c>
      <c r="L2101" s="157" t="s">
        <v>648</v>
      </c>
      <c r="M2101" s="158">
        <v>2017.0</v>
      </c>
      <c r="N2101" s="157" t="s">
        <v>548</v>
      </c>
      <c r="O2101" s="157" t="s">
        <v>6151</v>
      </c>
      <c r="P2101" s="161" t="b">
        <v>1</v>
      </c>
      <c r="Q2101" s="158">
        <v>0.29</v>
      </c>
      <c r="R2101" s="158">
        <v>0.0</v>
      </c>
      <c r="S2101" s="158">
        <v>0.29</v>
      </c>
      <c r="T2101" s="157" t="s">
        <v>548</v>
      </c>
      <c r="U2101" s="46" t="s">
        <v>651</v>
      </c>
      <c r="V2101" s="46" t="b">
        <v>1</v>
      </c>
      <c r="W2101" s="46">
        <v>0.95</v>
      </c>
      <c r="X2101" s="46">
        <v>0.0</v>
      </c>
      <c r="Y2101" s="46">
        <v>99.5040672800747</v>
      </c>
      <c r="Z2101" s="46" t="b">
        <v>0</v>
      </c>
      <c r="AA2101" s="46" t="b">
        <v>1</v>
      </c>
    </row>
    <row r="2102">
      <c r="A2102" s="157" t="s">
        <v>567</v>
      </c>
      <c r="B2102" s="158">
        <v>3.0</v>
      </c>
      <c r="C2102" s="157" t="s">
        <v>1215</v>
      </c>
      <c r="D2102" s="157" t="s">
        <v>6146</v>
      </c>
      <c r="E2102" s="157" t="s">
        <v>6147</v>
      </c>
      <c r="F2102" s="157" t="s">
        <v>6200</v>
      </c>
      <c r="G2102" s="157" t="s">
        <v>6201</v>
      </c>
      <c r="H2102" s="157"/>
      <c r="I2102" s="158">
        <v>2.248272</v>
      </c>
      <c r="J2102" s="158">
        <v>58.84408</v>
      </c>
      <c r="K2102" s="157" t="s">
        <v>6202</v>
      </c>
      <c r="L2102" s="157" t="s">
        <v>648</v>
      </c>
      <c r="M2102" s="158">
        <v>2017.0</v>
      </c>
      <c r="N2102" s="157" t="s">
        <v>548</v>
      </c>
      <c r="O2102" s="157" t="s">
        <v>6151</v>
      </c>
      <c r="P2102" s="161" t="b">
        <v>1</v>
      </c>
      <c r="Q2102" s="158">
        <v>0.283</v>
      </c>
      <c r="R2102" s="158">
        <v>0.0</v>
      </c>
      <c r="S2102" s="158">
        <v>0.283</v>
      </c>
      <c r="T2102" s="157" t="s">
        <v>548</v>
      </c>
      <c r="U2102" s="46" t="s">
        <v>651</v>
      </c>
      <c r="V2102" s="46" t="b">
        <v>1</v>
      </c>
      <c r="W2102" s="46">
        <v>0.95</v>
      </c>
      <c r="X2102" s="46">
        <v>0.0</v>
      </c>
      <c r="Y2102" s="46">
        <v>104.204531146222</v>
      </c>
      <c r="Z2102" s="46" t="b">
        <v>0</v>
      </c>
      <c r="AA2102" s="46" t="b">
        <v>0</v>
      </c>
    </row>
    <row r="2103">
      <c r="A2103" s="157" t="s">
        <v>567</v>
      </c>
      <c r="B2103" s="158">
        <v>3.0</v>
      </c>
      <c r="C2103" s="157" t="s">
        <v>1215</v>
      </c>
      <c r="D2103" s="157" t="s">
        <v>6146</v>
      </c>
      <c r="E2103" s="157" t="s">
        <v>6147</v>
      </c>
      <c r="F2103" s="157" t="s">
        <v>6203</v>
      </c>
      <c r="G2103" s="157" t="s">
        <v>6204</v>
      </c>
      <c r="H2103" s="157"/>
      <c r="I2103" s="158">
        <v>2.457112</v>
      </c>
      <c r="J2103" s="158">
        <v>61.3696442</v>
      </c>
      <c r="K2103" s="157" t="s">
        <v>6174</v>
      </c>
      <c r="L2103" s="157" t="s">
        <v>648</v>
      </c>
      <c r="M2103" s="158">
        <v>2017.0</v>
      </c>
      <c r="N2103" s="157" t="s">
        <v>548</v>
      </c>
      <c r="O2103" s="157" t="s">
        <v>6151</v>
      </c>
      <c r="P2103" s="161" t="b">
        <v>1</v>
      </c>
      <c r="Q2103" s="158">
        <v>0.267</v>
      </c>
      <c r="R2103" s="158">
        <v>0.0</v>
      </c>
      <c r="S2103" s="158">
        <v>0.267</v>
      </c>
      <c r="T2103" s="157" t="s">
        <v>548</v>
      </c>
      <c r="U2103" s="46" t="s">
        <v>651</v>
      </c>
      <c r="V2103" s="46" t="b">
        <v>1</v>
      </c>
      <c r="W2103" s="46">
        <v>0.95</v>
      </c>
      <c r="X2103" s="46">
        <v>0.0</v>
      </c>
      <c r="Y2103" s="46">
        <v>106.666819304397</v>
      </c>
      <c r="Z2103" s="46" t="b">
        <v>0</v>
      </c>
      <c r="AA2103" s="46" t="b">
        <v>0</v>
      </c>
    </row>
    <row r="2104">
      <c r="A2104" s="157" t="s">
        <v>567</v>
      </c>
      <c r="B2104" s="158">
        <v>3.0</v>
      </c>
      <c r="C2104" s="157" t="s">
        <v>1215</v>
      </c>
      <c r="D2104" s="157" t="s">
        <v>6146</v>
      </c>
      <c r="E2104" s="157" t="s">
        <v>6147</v>
      </c>
      <c r="F2104" s="157" t="s">
        <v>6205</v>
      </c>
      <c r="G2104" s="157" t="s">
        <v>6206</v>
      </c>
      <c r="H2104" s="157"/>
      <c r="I2104" s="158">
        <v>3.264366</v>
      </c>
      <c r="J2104" s="158">
        <v>56.3761749</v>
      </c>
      <c r="K2104" s="157" t="s">
        <v>6185</v>
      </c>
      <c r="L2104" s="157" t="s">
        <v>648</v>
      </c>
      <c r="M2104" s="158">
        <v>2017.0</v>
      </c>
      <c r="N2104" s="157" t="s">
        <v>548</v>
      </c>
      <c r="O2104" s="157" t="s">
        <v>6151</v>
      </c>
      <c r="P2104" s="161" t="b">
        <v>1</v>
      </c>
      <c r="Q2104" s="158">
        <v>0.256</v>
      </c>
      <c r="R2104" s="158">
        <v>0.0</v>
      </c>
      <c r="S2104" s="158">
        <v>0.256</v>
      </c>
      <c r="T2104" s="157" t="s">
        <v>548</v>
      </c>
      <c r="U2104" s="46" t="s">
        <v>651</v>
      </c>
      <c r="V2104" s="46" t="b">
        <v>1</v>
      </c>
      <c r="W2104" s="46">
        <v>0.95</v>
      </c>
      <c r="X2104" s="46">
        <v>0.0</v>
      </c>
      <c r="Y2104" s="46">
        <v>65.6949485556609</v>
      </c>
      <c r="Z2104" s="46" t="b">
        <v>0</v>
      </c>
      <c r="AA2104" s="46" t="b">
        <v>1</v>
      </c>
    </row>
    <row r="2105">
      <c r="A2105" s="157" t="s">
        <v>567</v>
      </c>
      <c r="B2105" s="158">
        <v>3.0</v>
      </c>
      <c r="C2105" s="157" t="s">
        <v>1215</v>
      </c>
      <c r="D2105" s="157" t="s">
        <v>6146</v>
      </c>
      <c r="E2105" s="157" t="s">
        <v>6147</v>
      </c>
      <c r="F2105" s="157" t="s">
        <v>6207</v>
      </c>
      <c r="G2105" s="157" t="s">
        <v>6208</v>
      </c>
      <c r="H2105" s="157"/>
      <c r="I2105" s="158">
        <v>1.996792</v>
      </c>
      <c r="J2105" s="158">
        <v>59.5669174</v>
      </c>
      <c r="K2105" s="157" t="s">
        <v>6174</v>
      </c>
      <c r="L2105" s="157" t="s">
        <v>648</v>
      </c>
      <c r="M2105" s="158">
        <v>2017.0</v>
      </c>
      <c r="N2105" s="157" t="s">
        <v>548</v>
      </c>
      <c r="O2105" s="157" t="s">
        <v>6151</v>
      </c>
      <c r="P2105" s="161" t="b">
        <v>1</v>
      </c>
      <c r="Q2105" s="158">
        <v>0.222</v>
      </c>
      <c r="R2105" s="158">
        <v>0.0</v>
      </c>
      <c r="S2105" s="158">
        <v>0.222</v>
      </c>
      <c r="T2105" s="157" t="s">
        <v>548</v>
      </c>
      <c r="U2105" s="46" t="s">
        <v>651</v>
      </c>
      <c r="V2105" s="46" t="b">
        <v>1</v>
      </c>
      <c r="W2105" s="46">
        <v>0.95</v>
      </c>
      <c r="X2105" s="46">
        <v>0.0</v>
      </c>
      <c r="Y2105" s="46">
        <v>112.627592569727</v>
      </c>
      <c r="Z2105" s="46" t="b">
        <v>0</v>
      </c>
      <c r="AA2105" s="46" t="b">
        <v>0</v>
      </c>
    </row>
    <row r="2106">
      <c r="A2106" s="157" t="s">
        <v>567</v>
      </c>
      <c r="B2106" s="158">
        <v>3.0</v>
      </c>
      <c r="C2106" s="157" t="s">
        <v>1215</v>
      </c>
      <c r="D2106" s="157" t="s">
        <v>6146</v>
      </c>
      <c r="E2106" s="157" t="s">
        <v>6147</v>
      </c>
      <c r="F2106" s="157" t="s">
        <v>6209</v>
      </c>
      <c r="G2106" s="157" t="s">
        <v>6210</v>
      </c>
      <c r="H2106" s="157"/>
      <c r="I2106" s="158">
        <v>2.485774</v>
      </c>
      <c r="J2106" s="158">
        <v>59.1646233</v>
      </c>
      <c r="K2106" s="157" t="s">
        <v>6174</v>
      </c>
      <c r="L2106" s="157" t="s">
        <v>648</v>
      </c>
      <c r="M2106" s="158">
        <v>2017.0</v>
      </c>
      <c r="N2106" s="157" t="s">
        <v>548</v>
      </c>
      <c r="O2106" s="157" t="s">
        <v>6151</v>
      </c>
      <c r="P2106" s="161" t="b">
        <v>1</v>
      </c>
      <c r="Q2106" s="158">
        <v>0.216</v>
      </c>
      <c r="R2106" s="158">
        <v>0.0</v>
      </c>
      <c r="S2106" s="158">
        <v>0.216</v>
      </c>
      <c r="T2106" s="157" t="s">
        <v>548</v>
      </c>
      <c r="U2106" s="46" t="s">
        <v>651</v>
      </c>
      <c r="V2106" s="46" t="b">
        <v>1</v>
      </c>
      <c r="W2106" s="46">
        <v>0.95</v>
      </c>
      <c r="X2106" s="46">
        <v>0.0</v>
      </c>
      <c r="Y2106" s="46">
        <v>87.7780080631343</v>
      </c>
      <c r="Z2106" s="46" t="b">
        <v>0</v>
      </c>
      <c r="AA2106" s="46" t="b">
        <v>1</v>
      </c>
    </row>
    <row r="2107">
      <c r="A2107" s="157" t="s">
        <v>567</v>
      </c>
      <c r="B2107" s="158">
        <v>3.0</v>
      </c>
      <c r="C2107" s="157" t="s">
        <v>1215</v>
      </c>
      <c r="D2107" s="157" t="s">
        <v>6146</v>
      </c>
      <c r="E2107" s="157" t="s">
        <v>6147</v>
      </c>
      <c r="F2107" s="157" t="s">
        <v>6211</v>
      </c>
      <c r="G2107" s="157" t="s">
        <v>6212</v>
      </c>
      <c r="H2107" s="157"/>
      <c r="I2107" s="158">
        <v>2.795247</v>
      </c>
      <c r="J2107" s="158">
        <v>60.3896065</v>
      </c>
      <c r="K2107" s="157" t="s">
        <v>6174</v>
      </c>
      <c r="L2107" s="157" t="s">
        <v>648</v>
      </c>
      <c r="M2107" s="158">
        <v>2017.0</v>
      </c>
      <c r="N2107" s="157" t="s">
        <v>548</v>
      </c>
      <c r="O2107" s="157" t="s">
        <v>6151</v>
      </c>
      <c r="P2107" s="161" t="b">
        <v>1</v>
      </c>
      <c r="Q2107" s="158">
        <v>0.208</v>
      </c>
      <c r="R2107" s="158">
        <v>0.0</v>
      </c>
      <c r="S2107" s="158">
        <v>0.208</v>
      </c>
      <c r="T2107" s="157" t="s">
        <v>548</v>
      </c>
      <c r="U2107" s="46" t="s">
        <v>651</v>
      </c>
      <c r="V2107" s="46" t="b">
        <v>1</v>
      </c>
      <c r="W2107" s="46">
        <v>0.95</v>
      </c>
      <c r="X2107" s="46">
        <v>0.0</v>
      </c>
      <c r="Y2107" s="46">
        <v>39.4792414133078</v>
      </c>
      <c r="Z2107" s="46" t="b">
        <v>1</v>
      </c>
      <c r="AA2107" s="46" t="b">
        <v>1</v>
      </c>
    </row>
    <row r="2108">
      <c r="A2108" s="157" t="s">
        <v>567</v>
      </c>
      <c r="B2108" s="158">
        <v>3.0</v>
      </c>
      <c r="C2108" s="157" t="s">
        <v>1215</v>
      </c>
      <c r="D2108" s="157" t="s">
        <v>6146</v>
      </c>
      <c r="E2108" s="157" t="s">
        <v>6147</v>
      </c>
      <c r="F2108" s="157" t="s">
        <v>6213</v>
      </c>
      <c r="G2108" s="157" t="s">
        <v>6214</v>
      </c>
      <c r="H2108" s="157"/>
      <c r="I2108" s="158">
        <v>2.497937</v>
      </c>
      <c r="J2108" s="158">
        <v>61.07978</v>
      </c>
      <c r="K2108" s="157" t="s">
        <v>6174</v>
      </c>
      <c r="L2108" s="157" t="s">
        <v>648</v>
      </c>
      <c r="M2108" s="158">
        <v>2017.0</v>
      </c>
      <c r="N2108" s="157" t="s">
        <v>548</v>
      </c>
      <c r="O2108" s="157" t="s">
        <v>6151</v>
      </c>
      <c r="P2108" s="161" t="b">
        <v>1</v>
      </c>
      <c r="Q2108" s="158">
        <v>0.206</v>
      </c>
      <c r="R2108" s="158">
        <v>0.0</v>
      </c>
      <c r="S2108" s="158">
        <v>0.206</v>
      </c>
      <c r="T2108" s="157" t="s">
        <v>548</v>
      </c>
      <c r="U2108" s="46" t="s">
        <v>651</v>
      </c>
      <c r="V2108" s="46" t="b">
        <v>1</v>
      </c>
      <c r="W2108" s="46">
        <v>0.95</v>
      </c>
      <c r="X2108" s="46">
        <v>0.0</v>
      </c>
      <c r="Y2108" s="46">
        <v>79.0745178388696</v>
      </c>
      <c r="Z2108" s="46" t="b">
        <v>0</v>
      </c>
      <c r="AA2108" s="46" t="b">
        <v>1</v>
      </c>
    </row>
    <row r="2109">
      <c r="A2109" s="157" t="s">
        <v>567</v>
      </c>
      <c r="B2109" s="158">
        <v>3.0</v>
      </c>
      <c r="C2109" s="157" t="s">
        <v>1215</v>
      </c>
      <c r="D2109" s="157" t="s">
        <v>6146</v>
      </c>
      <c r="E2109" s="157" t="s">
        <v>6147</v>
      </c>
      <c r="F2109" s="157" t="s">
        <v>6215</v>
      </c>
      <c r="G2109" s="157" t="s">
        <v>6216</v>
      </c>
      <c r="H2109" s="157"/>
      <c r="I2109" s="158">
        <v>7.780844</v>
      </c>
      <c r="J2109" s="158">
        <v>64.3529358</v>
      </c>
      <c r="K2109" s="157" t="s">
        <v>6217</v>
      </c>
      <c r="L2109" s="157" t="s">
        <v>648</v>
      </c>
      <c r="M2109" s="158">
        <v>2017.0</v>
      </c>
      <c r="N2109" s="157" t="s">
        <v>548</v>
      </c>
      <c r="O2109" s="157" t="s">
        <v>6151</v>
      </c>
      <c r="P2109" s="161" t="b">
        <v>1</v>
      </c>
      <c r="Q2109" s="158">
        <v>0.194</v>
      </c>
      <c r="R2109" s="158">
        <v>0.0</v>
      </c>
      <c r="S2109" s="158">
        <v>0.194</v>
      </c>
      <c r="T2109" s="157" t="s">
        <v>548</v>
      </c>
      <c r="U2109" s="46" t="s">
        <v>651</v>
      </c>
      <c r="V2109" s="46" t="b">
        <v>1</v>
      </c>
      <c r="W2109" s="46">
        <v>0.95</v>
      </c>
      <c r="X2109" s="46">
        <v>0.0</v>
      </c>
      <c r="Y2109" s="46" t="s">
        <v>640</v>
      </c>
      <c r="Z2109" s="46" t="b">
        <v>0</v>
      </c>
      <c r="AA2109" s="46" t="b">
        <v>0</v>
      </c>
    </row>
    <row r="2110">
      <c r="A2110" s="157" t="s">
        <v>567</v>
      </c>
      <c r="B2110" s="158">
        <v>3.0</v>
      </c>
      <c r="C2110" s="157" t="s">
        <v>1215</v>
      </c>
      <c r="D2110" s="157" t="s">
        <v>6146</v>
      </c>
      <c r="E2110" s="157" t="s">
        <v>6147</v>
      </c>
      <c r="F2110" s="157" t="s">
        <v>6218</v>
      </c>
      <c r="G2110" s="157" t="s">
        <v>6219</v>
      </c>
      <c r="H2110" s="157"/>
      <c r="I2110" s="158">
        <v>2.84584</v>
      </c>
      <c r="J2110" s="158">
        <v>57.1107445</v>
      </c>
      <c r="K2110" s="157" t="s">
        <v>6174</v>
      </c>
      <c r="L2110" s="157" t="s">
        <v>648</v>
      </c>
      <c r="M2110" s="158">
        <v>2017.0</v>
      </c>
      <c r="N2110" s="157" t="s">
        <v>548</v>
      </c>
      <c r="O2110" s="157" t="s">
        <v>6151</v>
      </c>
      <c r="P2110" s="161" t="b">
        <v>1</v>
      </c>
      <c r="Q2110" s="158">
        <v>0.189</v>
      </c>
      <c r="R2110" s="158">
        <v>0.0</v>
      </c>
      <c r="S2110" s="158">
        <v>0.189</v>
      </c>
      <c r="T2110" s="157" t="s">
        <v>548</v>
      </c>
      <c r="U2110" s="46" t="s">
        <v>651</v>
      </c>
      <c r="V2110" s="46" t="b">
        <v>1</v>
      </c>
      <c r="W2110" s="46">
        <v>0.95</v>
      </c>
      <c r="X2110" s="46">
        <v>0.0</v>
      </c>
      <c r="Y2110" s="46">
        <v>92.4020471428744</v>
      </c>
      <c r="Z2110" s="46" t="b">
        <v>0</v>
      </c>
      <c r="AA2110" s="46" t="b">
        <v>1</v>
      </c>
    </row>
    <row r="2111">
      <c r="A2111" s="157" t="s">
        <v>567</v>
      </c>
      <c r="B2111" s="158">
        <v>3.0</v>
      </c>
      <c r="C2111" s="157" t="s">
        <v>1215</v>
      </c>
      <c r="D2111" s="157" t="s">
        <v>6146</v>
      </c>
      <c r="E2111" s="157" t="s">
        <v>6147</v>
      </c>
      <c r="F2111" s="157" t="s">
        <v>6220</v>
      </c>
      <c r="G2111" s="157" t="s">
        <v>6221</v>
      </c>
      <c r="H2111" s="157"/>
      <c r="I2111" s="158">
        <v>3.045078</v>
      </c>
      <c r="J2111" s="158">
        <v>60.5420074</v>
      </c>
      <c r="K2111" s="157" t="s">
        <v>6174</v>
      </c>
      <c r="L2111" s="157" t="s">
        <v>648</v>
      </c>
      <c r="M2111" s="158">
        <v>2017.0</v>
      </c>
      <c r="N2111" s="157" t="s">
        <v>548</v>
      </c>
      <c r="O2111" s="157" t="s">
        <v>6151</v>
      </c>
      <c r="P2111" s="161" t="b">
        <v>1</v>
      </c>
      <c r="Q2111" s="158">
        <v>0.181</v>
      </c>
      <c r="R2111" s="158">
        <v>0.0</v>
      </c>
      <c r="S2111" s="158">
        <v>0.181</v>
      </c>
      <c r="T2111" s="157" t="s">
        <v>548</v>
      </c>
      <c r="U2111" s="46" t="s">
        <v>651</v>
      </c>
      <c r="V2111" s="46" t="b">
        <v>1</v>
      </c>
      <c r="W2111" s="46">
        <v>0.95</v>
      </c>
      <c r="X2111" s="46">
        <v>0.0</v>
      </c>
      <c r="Y2111" s="46">
        <v>21.9079299965687</v>
      </c>
      <c r="Z2111" s="46" t="b">
        <v>1</v>
      </c>
      <c r="AA2111" s="46" t="b">
        <v>1</v>
      </c>
    </row>
    <row r="2112">
      <c r="A2112" s="157" t="s">
        <v>567</v>
      </c>
      <c r="B2112" s="158">
        <v>3.0</v>
      </c>
      <c r="C2112" s="157" t="s">
        <v>1215</v>
      </c>
      <c r="D2112" s="157" t="s">
        <v>6146</v>
      </c>
      <c r="E2112" s="157" t="s">
        <v>6147</v>
      </c>
      <c r="F2112" s="157" t="s">
        <v>6222</v>
      </c>
      <c r="G2112" s="157" t="s">
        <v>6223</v>
      </c>
      <c r="H2112" s="157"/>
      <c r="I2112" s="158">
        <v>2.773479</v>
      </c>
      <c r="J2112" s="158">
        <v>61.8134727</v>
      </c>
      <c r="K2112" s="157" t="s">
        <v>6185</v>
      </c>
      <c r="L2112" s="157" t="s">
        <v>648</v>
      </c>
      <c r="M2112" s="158">
        <v>2017.0</v>
      </c>
      <c r="N2112" s="157" t="s">
        <v>548</v>
      </c>
      <c r="O2112" s="157" t="s">
        <v>6151</v>
      </c>
      <c r="P2112" s="161" t="b">
        <v>1</v>
      </c>
      <c r="Q2112" s="158">
        <v>0.174</v>
      </c>
      <c r="R2112" s="158">
        <v>0.0</v>
      </c>
      <c r="S2112" s="158">
        <v>0.174</v>
      </c>
      <c r="T2112" s="157" t="s">
        <v>548</v>
      </c>
      <c r="U2112" s="46" t="s">
        <v>651</v>
      </c>
      <c r="V2112" s="46" t="b">
        <v>1</v>
      </c>
      <c r="W2112" s="46">
        <v>0.95</v>
      </c>
      <c r="X2112" s="46">
        <v>0.0</v>
      </c>
      <c r="Y2112" s="46" t="s">
        <v>640</v>
      </c>
      <c r="Z2112" s="46" t="b">
        <v>0</v>
      </c>
      <c r="AA2112" s="46" t="b">
        <v>0</v>
      </c>
    </row>
    <row r="2113">
      <c r="A2113" s="157" t="s">
        <v>567</v>
      </c>
      <c r="B2113" s="158">
        <v>3.0</v>
      </c>
      <c r="C2113" s="157" t="s">
        <v>1215</v>
      </c>
      <c r="D2113" s="157" t="s">
        <v>6146</v>
      </c>
      <c r="E2113" s="157" t="s">
        <v>6147</v>
      </c>
      <c r="F2113" s="157" t="s">
        <v>6224</v>
      </c>
      <c r="G2113" s="157" t="s">
        <v>6225</v>
      </c>
      <c r="H2113" s="157"/>
      <c r="I2113" s="158">
        <v>2.227158</v>
      </c>
      <c r="J2113" s="158">
        <v>59.5735626</v>
      </c>
      <c r="K2113" s="157" t="s">
        <v>6174</v>
      </c>
      <c r="L2113" s="157" t="s">
        <v>648</v>
      </c>
      <c r="M2113" s="158">
        <v>2017.0</v>
      </c>
      <c r="N2113" s="157" t="s">
        <v>548</v>
      </c>
      <c r="O2113" s="157" t="s">
        <v>6151</v>
      </c>
      <c r="P2113" s="161" t="b">
        <v>1</v>
      </c>
      <c r="Q2113" s="158">
        <v>0.151</v>
      </c>
      <c r="R2113" s="158">
        <v>0.0</v>
      </c>
      <c r="S2113" s="158">
        <v>0.151</v>
      </c>
      <c r="T2113" s="157" t="s">
        <v>548</v>
      </c>
      <c r="U2113" s="46" t="s">
        <v>651</v>
      </c>
      <c r="V2113" s="46" t="b">
        <v>1</v>
      </c>
      <c r="W2113" s="46">
        <v>0.95</v>
      </c>
      <c r="X2113" s="46">
        <v>0.0</v>
      </c>
      <c r="Y2113" s="46">
        <v>99.5912190302873</v>
      </c>
      <c r="Z2113" s="46" t="b">
        <v>0</v>
      </c>
      <c r="AA2113" s="46" t="b">
        <v>1</v>
      </c>
    </row>
    <row r="2114">
      <c r="A2114" s="157" t="s">
        <v>567</v>
      </c>
      <c r="B2114" s="158">
        <v>3.0</v>
      </c>
      <c r="C2114" s="157" t="s">
        <v>1215</v>
      </c>
      <c r="D2114" s="157" t="s">
        <v>6146</v>
      </c>
      <c r="E2114" s="157" t="s">
        <v>6147</v>
      </c>
      <c r="F2114" s="157" t="s">
        <v>6226</v>
      </c>
      <c r="G2114" s="157" t="s">
        <v>6227</v>
      </c>
      <c r="H2114" s="157"/>
      <c r="I2114" s="158">
        <v>2.384727</v>
      </c>
      <c r="J2114" s="158">
        <v>59.45466</v>
      </c>
      <c r="K2114" s="157" t="s">
        <v>6174</v>
      </c>
      <c r="L2114" s="157" t="s">
        <v>648</v>
      </c>
      <c r="M2114" s="158">
        <v>2017.0</v>
      </c>
      <c r="N2114" s="157" t="s">
        <v>548</v>
      </c>
      <c r="O2114" s="157" t="s">
        <v>6151</v>
      </c>
      <c r="P2114" s="161" t="b">
        <v>1</v>
      </c>
      <c r="Q2114" s="158">
        <v>0.141</v>
      </c>
      <c r="R2114" s="158">
        <v>0.0</v>
      </c>
      <c r="S2114" s="158">
        <v>0.141</v>
      </c>
      <c r="T2114" s="157" t="s">
        <v>548</v>
      </c>
      <c r="U2114" s="46" t="s">
        <v>651</v>
      </c>
      <c r="V2114" s="46" t="b">
        <v>1</v>
      </c>
      <c r="W2114" s="46">
        <v>0.95</v>
      </c>
      <c r="X2114" s="46">
        <v>0.0</v>
      </c>
      <c r="Y2114" s="46">
        <v>91.5325448426519</v>
      </c>
      <c r="Z2114" s="46" t="b">
        <v>0</v>
      </c>
      <c r="AA2114" s="46" t="b">
        <v>1</v>
      </c>
    </row>
    <row r="2115">
      <c r="A2115" s="157" t="s">
        <v>567</v>
      </c>
      <c r="B2115" s="158">
        <v>3.0</v>
      </c>
      <c r="C2115" s="157" t="s">
        <v>1215</v>
      </c>
      <c r="D2115" s="157" t="s">
        <v>6146</v>
      </c>
      <c r="E2115" s="157" t="s">
        <v>6147</v>
      </c>
      <c r="F2115" s="157" t="s">
        <v>6228</v>
      </c>
      <c r="G2115" s="157" t="s">
        <v>6229</v>
      </c>
      <c r="H2115" s="157"/>
      <c r="I2115" s="158">
        <v>2.89612</v>
      </c>
      <c r="J2115" s="158">
        <v>60.78217</v>
      </c>
      <c r="K2115" s="157" t="s">
        <v>6174</v>
      </c>
      <c r="L2115" s="157" t="s">
        <v>648</v>
      </c>
      <c r="M2115" s="158">
        <v>2017.0</v>
      </c>
      <c r="N2115" s="157" t="s">
        <v>548</v>
      </c>
      <c r="O2115" s="157" t="s">
        <v>6151</v>
      </c>
      <c r="P2115" s="161" t="b">
        <v>1</v>
      </c>
      <c r="Q2115" s="158">
        <v>0.14</v>
      </c>
      <c r="R2115" s="158">
        <v>0.0</v>
      </c>
      <c r="S2115" s="158">
        <v>0.14</v>
      </c>
      <c r="T2115" s="157" t="s">
        <v>548</v>
      </c>
      <c r="U2115" s="46" t="s">
        <v>651</v>
      </c>
      <c r="V2115" s="46" t="b">
        <v>1</v>
      </c>
      <c r="W2115" s="46">
        <v>0.95</v>
      </c>
      <c r="X2115" s="46">
        <v>0.0</v>
      </c>
      <c r="Y2115" s="46">
        <v>40.2451894160553</v>
      </c>
      <c r="Z2115" s="46" t="b">
        <v>1</v>
      </c>
      <c r="AA2115" s="46" t="b">
        <v>1</v>
      </c>
    </row>
    <row r="2116">
      <c r="A2116" s="157" t="s">
        <v>567</v>
      </c>
      <c r="B2116" s="158">
        <v>3.0</v>
      </c>
      <c r="C2116" s="157" t="s">
        <v>1215</v>
      </c>
      <c r="D2116" s="157" t="s">
        <v>6146</v>
      </c>
      <c r="E2116" s="157" t="s">
        <v>6147</v>
      </c>
      <c r="F2116" s="157" t="s">
        <v>6230</v>
      </c>
      <c r="G2116" s="157" t="s">
        <v>6231</v>
      </c>
      <c r="H2116" s="157"/>
      <c r="I2116" s="158">
        <v>2.3858</v>
      </c>
      <c r="J2116" s="158">
        <v>59.1909943</v>
      </c>
      <c r="K2116" s="157" t="s">
        <v>6174</v>
      </c>
      <c r="L2116" s="157" t="s">
        <v>648</v>
      </c>
      <c r="M2116" s="158">
        <v>2017.0</v>
      </c>
      <c r="N2116" s="157" t="s">
        <v>548</v>
      </c>
      <c r="O2116" s="157" t="s">
        <v>6151</v>
      </c>
      <c r="P2116" s="161" t="b">
        <v>1</v>
      </c>
      <c r="Q2116" s="158">
        <v>0.137</v>
      </c>
      <c r="R2116" s="158">
        <v>0.0</v>
      </c>
      <c r="S2116" s="158">
        <v>0.137</v>
      </c>
      <c r="T2116" s="157" t="s">
        <v>548</v>
      </c>
      <c r="U2116" s="46" t="s">
        <v>651</v>
      </c>
      <c r="V2116" s="46" t="b">
        <v>1</v>
      </c>
      <c r="W2116" s="46">
        <v>0.95</v>
      </c>
      <c r="X2116" s="46">
        <v>0.0</v>
      </c>
      <c r="Y2116" s="46">
        <v>93.3006771494921</v>
      </c>
      <c r="Z2116" s="46" t="b">
        <v>0</v>
      </c>
      <c r="AA2116" s="46" t="b">
        <v>1</v>
      </c>
    </row>
    <row r="2117">
      <c r="A2117" s="157" t="s">
        <v>567</v>
      </c>
      <c r="B2117" s="158">
        <v>3.0</v>
      </c>
      <c r="C2117" s="157" t="s">
        <v>1215</v>
      </c>
      <c r="D2117" s="157" t="s">
        <v>6146</v>
      </c>
      <c r="E2117" s="157" t="s">
        <v>6147</v>
      </c>
      <c r="F2117" s="157" t="s">
        <v>6232</v>
      </c>
      <c r="G2117" s="157" t="s">
        <v>6233</v>
      </c>
      <c r="H2117" s="157"/>
      <c r="I2117" s="158">
        <v>3.895116</v>
      </c>
      <c r="J2117" s="158">
        <v>61.3318863</v>
      </c>
      <c r="K2117" s="157" t="s">
        <v>6234</v>
      </c>
      <c r="L2117" s="157" t="s">
        <v>648</v>
      </c>
      <c r="M2117" s="158">
        <v>2017.0</v>
      </c>
      <c r="N2117" s="157" t="s">
        <v>548</v>
      </c>
      <c r="O2117" s="157" t="s">
        <v>6151</v>
      </c>
      <c r="P2117" s="161" t="b">
        <v>1</v>
      </c>
      <c r="Q2117" s="158">
        <v>0.114</v>
      </c>
      <c r="R2117" s="158">
        <v>0.0</v>
      </c>
      <c r="S2117" s="158">
        <v>0.114</v>
      </c>
      <c r="T2117" s="157" t="s">
        <v>548</v>
      </c>
      <c r="U2117" s="46" t="s">
        <v>651</v>
      </c>
      <c r="V2117" s="46" t="b">
        <v>1</v>
      </c>
      <c r="W2117" s="46">
        <v>0.95</v>
      </c>
      <c r="X2117" s="46">
        <v>0.0</v>
      </c>
      <c r="Y2117" s="46">
        <v>88.8133458149707</v>
      </c>
      <c r="Z2117" s="46" t="b">
        <v>0</v>
      </c>
      <c r="AA2117" s="46" t="b">
        <v>1</v>
      </c>
    </row>
    <row r="2118">
      <c r="A2118" s="157" t="s">
        <v>567</v>
      </c>
      <c r="B2118" s="158">
        <v>3.0</v>
      </c>
      <c r="C2118" s="157" t="s">
        <v>1215</v>
      </c>
      <c r="D2118" s="157" t="s">
        <v>6146</v>
      </c>
      <c r="E2118" s="157" t="s">
        <v>6147</v>
      </c>
      <c r="F2118" s="157" t="s">
        <v>6235</v>
      </c>
      <c r="G2118" s="157" t="s">
        <v>6236</v>
      </c>
      <c r="H2118" s="157"/>
      <c r="I2118" s="158">
        <v>2.933486</v>
      </c>
      <c r="J2118" s="158">
        <v>60.699955</v>
      </c>
      <c r="K2118" s="157" t="s">
        <v>6174</v>
      </c>
      <c r="L2118" s="157" t="s">
        <v>648</v>
      </c>
      <c r="M2118" s="158">
        <v>2017.0</v>
      </c>
      <c r="N2118" s="157" t="s">
        <v>548</v>
      </c>
      <c r="O2118" s="157" t="s">
        <v>6151</v>
      </c>
      <c r="P2118" s="161" t="b">
        <v>1</v>
      </c>
      <c r="Q2118" s="158">
        <v>0.103</v>
      </c>
      <c r="R2118" s="158">
        <v>0.0</v>
      </c>
      <c r="S2118" s="158">
        <v>0.103</v>
      </c>
      <c r="T2118" s="157" t="s">
        <v>548</v>
      </c>
      <c r="U2118" s="46" t="s">
        <v>651</v>
      </c>
      <c r="V2118" s="46" t="b">
        <v>1</v>
      </c>
      <c r="W2118" s="46">
        <v>0.95</v>
      </c>
      <c r="X2118" s="46">
        <v>0.0</v>
      </c>
      <c r="Y2118" s="46">
        <v>33.095590975532</v>
      </c>
      <c r="Z2118" s="46" t="b">
        <v>1</v>
      </c>
      <c r="AA2118" s="46" t="b">
        <v>1</v>
      </c>
    </row>
    <row r="2119">
      <c r="A2119" s="157" t="s">
        <v>568</v>
      </c>
      <c r="B2119" s="158">
        <v>5.0</v>
      </c>
      <c r="C2119" s="157" t="s">
        <v>652</v>
      </c>
      <c r="D2119" s="157" t="s">
        <v>6237</v>
      </c>
      <c r="E2119" s="157" t="s">
        <v>6238</v>
      </c>
      <c r="F2119" s="157" t="s">
        <v>6239</v>
      </c>
      <c r="G2119" s="157" t="s">
        <v>6240</v>
      </c>
      <c r="H2119" s="157"/>
      <c r="I2119" s="158">
        <v>12.45055509</v>
      </c>
      <c r="J2119" s="158">
        <v>55.6085262</v>
      </c>
      <c r="K2119" s="157" t="s">
        <v>4996</v>
      </c>
      <c r="L2119" s="157" t="s">
        <v>648</v>
      </c>
      <c r="M2119" s="158">
        <v>2022.0</v>
      </c>
      <c r="N2119" s="157" t="s">
        <v>116</v>
      </c>
      <c r="O2119" s="157" t="s">
        <v>6241</v>
      </c>
      <c r="P2119" s="161" t="b">
        <v>1</v>
      </c>
      <c r="Q2119" s="158">
        <v>0.007886</v>
      </c>
      <c r="R2119" s="158">
        <v>0.0</v>
      </c>
      <c r="S2119" s="158">
        <v>0.007886</v>
      </c>
      <c r="T2119" s="157" t="s">
        <v>116</v>
      </c>
      <c r="U2119" s="46" t="s">
        <v>651</v>
      </c>
      <c r="V2119" s="46" t="b">
        <v>0</v>
      </c>
      <c r="W2119" s="46">
        <v>0.95</v>
      </c>
      <c r="X2119" s="46">
        <v>0.0</v>
      </c>
      <c r="Y2119" s="46">
        <v>7.05892916282453</v>
      </c>
      <c r="Z2119" s="46" t="b">
        <v>1</v>
      </c>
      <c r="AA2119" s="46" t="b">
        <v>1</v>
      </c>
    </row>
    <row r="2120">
      <c r="A2120" s="157" t="s">
        <v>564</v>
      </c>
      <c r="B2120" s="158">
        <v>5.0</v>
      </c>
      <c r="C2120" s="157" t="s">
        <v>652</v>
      </c>
      <c r="D2120" s="157" t="s">
        <v>6237</v>
      </c>
      <c r="E2120" s="157" t="s">
        <v>6238</v>
      </c>
      <c r="F2120" s="157" t="s">
        <v>6242</v>
      </c>
      <c r="G2120" s="157" t="s">
        <v>6243</v>
      </c>
      <c r="H2120" s="157"/>
      <c r="I2120" s="158">
        <v>7.4284</v>
      </c>
      <c r="J2120" s="158">
        <v>46.972</v>
      </c>
      <c r="K2120" s="157" t="s">
        <v>6244</v>
      </c>
      <c r="L2120" s="157" t="s">
        <v>648</v>
      </c>
      <c r="M2120" s="158">
        <v>2021.0</v>
      </c>
      <c r="N2120" s="157" t="s">
        <v>116</v>
      </c>
      <c r="O2120" s="157" t="s">
        <v>6241</v>
      </c>
      <c r="P2120" s="161" t="b">
        <v>1</v>
      </c>
      <c r="Q2120" s="158">
        <v>0.0117</v>
      </c>
      <c r="R2120" s="158">
        <v>0.0</v>
      </c>
      <c r="S2120" s="158">
        <v>0.0117</v>
      </c>
      <c r="T2120" s="157" t="s">
        <v>116</v>
      </c>
      <c r="U2120" s="46" t="s">
        <v>651</v>
      </c>
      <c r="V2120" s="46" t="b">
        <v>0</v>
      </c>
      <c r="W2120" s="46">
        <v>0.95</v>
      </c>
      <c r="X2120" s="46">
        <v>0.0</v>
      </c>
      <c r="Y2120" s="46">
        <v>56.8738034564339</v>
      </c>
      <c r="Z2120" s="46" t="b">
        <v>0</v>
      </c>
      <c r="AA2120" s="46" t="b">
        <v>1</v>
      </c>
    </row>
    <row r="2121">
      <c r="A2121" s="157" t="s">
        <v>563</v>
      </c>
      <c r="B2121" s="158">
        <v>5.0</v>
      </c>
      <c r="C2121" s="157" t="s">
        <v>652</v>
      </c>
      <c r="D2121" s="157" t="s">
        <v>6237</v>
      </c>
      <c r="E2121" s="157" t="s">
        <v>6238</v>
      </c>
      <c r="F2121" s="157" t="s">
        <v>6245</v>
      </c>
      <c r="G2121" s="157" t="s">
        <v>6246</v>
      </c>
      <c r="H2121" s="157"/>
      <c r="I2121" s="158">
        <v>0.095074261</v>
      </c>
      <c r="J2121" s="158">
        <v>51.51523</v>
      </c>
      <c r="K2121" s="157" t="s">
        <v>6247</v>
      </c>
      <c r="L2121" s="157" t="s">
        <v>648</v>
      </c>
      <c r="M2121" s="158">
        <v>2019.0</v>
      </c>
      <c r="N2121" s="157" t="s">
        <v>116</v>
      </c>
      <c r="O2121" s="157" t="s">
        <v>6241</v>
      </c>
      <c r="P2121" s="161" t="b">
        <v>1</v>
      </c>
      <c r="Q2121" s="158">
        <v>0.107</v>
      </c>
      <c r="R2121" s="158">
        <v>0.0</v>
      </c>
      <c r="S2121" s="158">
        <v>0.107</v>
      </c>
      <c r="T2121" s="157" t="s">
        <v>116</v>
      </c>
      <c r="U2121" s="46" t="s">
        <v>651</v>
      </c>
      <c r="V2121" s="46" t="b">
        <v>1</v>
      </c>
      <c r="W2121" s="46">
        <v>0.95</v>
      </c>
      <c r="X2121" s="46">
        <v>0.0</v>
      </c>
      <c r="Y2121" s="46">
        <v>132.945132559056</v>
      </c>
      <c r="Z2121" s="46" t="b">
        <v>0</v>
      </c>
      <c r="AA2121" s="46" t="b">
        <v>0</v>
      </c>
    </row>
    <row r="2122">
      <c r="A2122" s="157" t="s">
        <v>581</v>
      </c>
      <c r="B2122" s="158">
        <v>3.0</v>
      </c>
      <c r="C2122" s="157" t="s">
        <v>1215</v>
      </c>
      <c r="D2122" s="157" t="s">
        <v>2348</v>
      </c>
      <c r="E2122" s="157" t="s">
        <v>2349</v>
      </c>
      <c r="F2122" s="157" t="s">
        <v>6248</v>
      </c>
      <c r="G2122" s="157" t="s">
        <v>6249</v>
      </c>
      <c r="H2122" s="157"/>
      <c r="I2122" s="158">
        <v>22.976383</v>
      </c>
      <c r="J2122" s="158">
        <v>42.90878</v>
      </c>
      <c r="K2122" s="157" t="s">
        <v>5200</v>
      </c>
      <c r="L2122" s="157" t="s">
        <v>648</v>
      </c>
      <c r="M2122" s="158">
        <v>2021.0</v>
      </c>
      <c r="N2122" s="157" t="s">
        <v>114</v>
      </c>
      <c r="O2122" s="157" t="s">
        <v>1221</v>
      </c>
      <c r="P2122" s="161" t="b">
        <v>1</v>
      </c>
      <c r="Q2122" s="158">
        <v>0.110928</v>
      </c>
      <c r="R2122" s="158">
        <v>0.0</v>
      </c>
      <c r="S2122" s="158">
        <v>0.110928</v>
      </c>
      <c r="T2122" s="157" t="s">
        <v>114</v>
      </c>
      <c r="U2122" s="46" t="s">
        <v>651</v>
      </c>
      <c r="V2122" s="46" t="b">
        <v>1</v>
      </c>
      <c r="W2122" s="46">
        <v>0.95</v>
      </c>
      <c r="X2122" s="46">
        <v>0.0</v>
      </c>
      <c r="Y2122" s="46" t="s">
        <v>640</v>
      </c>
      <c r="Z2122" s="46" t="b">
        <v>0</v>
      </c>
      <c r="AA2122" s="46" t="b">
        <v>0</v>
      </c>
    </row>
    <row r="2123">
      <c r="A2123" s="157" t="s">
        <v>565</v>
      </c>
      <c r="B2123" s="158">
        <v>3.0</v>
      </c>
      <c r="C2123" s="157" t="s">
        <v>1215</v>
      </c>
      <c r="D2123" s="157" t="s">
        <v>2348</v>
      </c>
      <c r="E2123" s="157" t="s">
        <v>2349</v>
      </c>
      <c r="F2123" s="157" t="s">
        <v>6250</v>
      </c>
      <c r="G2123" s="157" t="s">
        <v>6251</v>
      </c>
      <c r="H2123" s="157"/>
      <c r="I2123" s="158">
        <v>14.05710849</v>
      </c>
      <c r="J2123" s="158">
        <v>49.91027826</v>
      </c>
      <c r="K2123" s="157" t="s">
        <v>6252</v>
      </c>
      <c r="L2123" s="157" t="s">
        <v>648</v>
      </c>
      <c r="M2123" s="158">
        <v>2020.0</v>
      </c>
      <c r="N2123" s="157" t="s">
        <v>114</v>
      </c>
      <c r="O2123" s="157" t="s">
        <v>1221</v>
      </c>
      <c r="P2123" s="161" t="b">
        <v>1</v>
      </c>
      <c r="Q2123" s="158">
        <v>0.361016</v>
      </c>
      <c r="R2123" s="158">
        <v>0.0</v>
      </c>
      <c r="S2123" s="158">
        <v>0.361016</v>
      </c>
      <c r="T2123" s="157" t="s">
        <v>114</v>
      </c>
      <c r="U2123" s="46" t="s">
        <v>651</v>
      </c>
      <c r="V2123" s="46" t="b">
        <v>1</v>
      </c>
      <c r="W2123" s="46">
        <v>0.95</v>
      </c>
      <c r="X2123" s="46">
        <v>0.0</v>
      </c>
      <c r="Y2123" s="46">
        <v>72.5978041047459</v>
      </c>
      <c r="Z2123" s="46" t="b">
        <v>0</v>
      </c>
      <c r="AA2123" s="46" t="b">
        <v>1</v>
      </c>
    </row>
    <row r="2124">
      <c r="A2124" s="157" t="s">
        <v>565</v>
      </c>
      <c r="B2124" s="158">
        <v>3.0</v>
      </c>
      <c r="C2124" s="157" t="s">
        <v>1215</v>
      </c>
      <c r="D2124" s="157" t="s">
        <v>2348</v>
      </c>
      <c r="E2124" s="157" t="s">
        <v>2349</v>
      </c>
      <c r="F2124" s="157" t="s">
        <v>6253</v>
      </c>
      <c r="G2124" s="157" t="s">
        <v>6254</v>
      </c>
      <c r="H2124" s="157"/>
      <c r="I2124" s="158">
        <v>16.94784761</v>
      </c>
      <c r="J2124" s="158">
        <v>49.85958766</v>
      </c>
      <c r="K2124" s="157" t="s">
        <v>6255</v>
      </c>
      <c r="L2124" s="157" t="s">
        <v>648</v>
      </c>
      <c r="M2124" s="158">
        <v>2020.0</v>
      </c>
      <c r="N2124" s="157" t="s">
        <v>114</v>
      </c>
      <c r="O2124" s="157" t="s">
        <v>1221</v>
      </c>
      <c r="P2124" s="161" t="b">
        <v>1</v>
      </c>
      <c r="Q2124" s="158">
        <v>0.296932452</v>
      </c>
      <c r="R2124" s="158">
        <v>0.0</v>
      </c>
      <c r="S2124" s="158">
        <v>0.296932452</v>
      </c>
      <c r="T2124" s="157" t="s">
        <v>114</v>
      </c>
      <c r="U2124" s="46" t="s">
        <v>651</v>
      </c>
      <c r="V2124" s="46" t="b">
        <v>1</v>
      </c>
      <c r="W2124" s="46">
        <v>0.95</v>
      </c>
      <c r="X2124" s="46">
        <v>0.0</v>
      </c>
      <c r="Y2124" s="46" t="s">
        <v>640</v>
      </c>
      <c r="Z2124" s="46" t="b">
        <v>0</v>
      </c>
      <c r="AA2124" s="46" t="b">
        <v>0</v>
      </c>
    </row>
    <row r="2125">
      <c r="A2125" s="157" t="s">
        <v>565</v>
      </c>
      <c r="B2125" s="158">
        <v>3.0</v>
      </c>
      <c r="C2125" s="157" t="s">
        <v>1215</v>
      </c>
      <c r="D2125" s="157" t="s">
        <v>2348</v>
      </c>
      <c r="E2125" s="157" t="s">
        <v>2349</v>
      </c>
      <c r="F2125" s="157" t="s">
        <v>6256</v>
      </c>
      <c r="G2125" s="157" t="s">
        <v>6257</v>
      </c>
      <c r="H2125" s="157"/>
      <c r="I2125" s="158">
        <v>18.11595116</v>
      </c>
      <c r="J2125" s="158">
        <v>49.57982179</v>
      </c>
      <c r="K2125" s="157" t="s">
        <v>6258</v>
      </c>
      <c r="L2125" s="157" t="s">
        <v>648</v>
      </c>
      <c r="M2125" s="158">
        <v>2020.0</v>
      </c>
      <c r="N2125" s="157" t="s">
        <v>114</v>
      </c>
      <c r="O2125" s="157" t="s">
        <v>1221</v>
      </c>
      <c r="P2125" s="161" t="b">
        <v>1</v>
      </c>
      <c r="Q2125" s="158">
        <v>0.14723</v>
      </c>
      <c r="R2125" s="158">
        <v>0.0</v>
      </c>
      <c r="S2125" s="158">
        <v>0.14723</v>
      </c>
      <c r="T2125" s="157" t="s">
        <v>114</v>
      </c>
      <c r="U2125" s="46" t="s">
        <v>651</v>
      </c>
      <c r="V2125" s="46" t="b">
        <v>1</v>
      </c>
      <c r="W2125" s="46">
        <v>0.95</v>
      </c>
      <c r="X2125" s="46">
        <v>0.0</v>
      </c>
      <c r="Y2125" s="46" t="s">
        <v>640</v>
      </c>
      <c r="Z2125" s="46" t="b">
        <v>0</v>
      </c>
      <c r="AA2125" s="46" t="b">
        <v>0</v>
      </c>
    </row>
    <row r="2126">
      <c r="A2126" s="157" t="s">
        <v>557</v>
      </c>
      <c r="B2126" s="158">
        <v>3.0</v>
      </c>
      <c r="C2126" s="157" t="s">
        <v>1215</v>
      </c>
      <c r="D2126" s="157" t="s">
        <v>2348</v>
      </c>
      <c r="E2126" s="157" t="s">
        <v>2349</v>
      </c>
      <c r="F2126" s="162" t="s">
        <v>6259</v>
      </c>
      <c r="G2126" s="157" t="s">
        <v>4454</v>
      </c>
      <c r="H2126" s="157"/>
      <c r="I2126" s="158">
        <v>7.02249287903465</v>
      </c>
      <c r="J2126" s="158">
        <v>51.2800362227478</v>
      </c>
      <c r="K2126" s="157" t="s">
        <v>6260</v>
      </c>
      <c r="L2126" s="157" t="s">
        <v>648</v>
      </c>
      <c r="M2126" s="158">
        <v>2022.0</v>
      </c>
      <c r="N2126" s="157" t="s">
        <v>114</v>
      </c>
      <c r="O2126" s="157" t="s">
        <v>1221</v>
      </c>
      <c r="P2126" s="161" t="b">
        <v>1</v>
      </c>
      <c r="Q2126" s="158">
        <v>1.76</v>
      </c>
      <c r="R2126" s="158">
        <v>0.0</v>
      </c>
      <c r="S2126" s="158">
        <v>1.76</v>
      </c>
      <c r="T2126" s="157" t="s">
        <v>114</v>
      </c>
      <c r="U2126" s="46" t="s">
        <v>651</v>
      </c>
      <c r="V2126" s="46" t="b">
        <v>1</v>
      </c>
      <c r="W2126" s="46">
        <v>0.95</v>
      </c>
      <c r="X2126" s="46">
        <v>0.0</v>
      </c>
      <c r="Y2126" s="46">
        <v>14.8627558613158</v>
      </c>
      <c r="Z2126" s="46" t="b">
        <v>1</v>
      </c>
      <c r="AA2126" s="46" t="b">
        <v>1</v>
      </c>
    </row>
    <row r="2127">
      <c r="A2127" s="157" t="s">
        <v>557</v>
      </c>
      <c r="B2127" s="158">
        <v>3.0</v>
      </c>
      <c r="C2127" s="157" t="s">
        <v>1215</v>
      </c>
      <c r="D2127" s="157" t="s">
        <v>2348</v>
      </c>
      <c r="E2127" s="157" t="s">
        <v>2349</v>
      </c>
      <c r="F2127" s="162" t="s">
        <v>6261</v>
      </c>
      <c r="G2127" s="157" t="s">
        <v>6262</v>
      </c>
      <c r="H2127" s="157"/>
      <c r="I2127" s="158">
        <v>11.7563323961521</v>
      </c>
      <c r="J2127" s="158">
        <v>51.8127470277852</v>
      </c>
      <c r="K2127" s="157" t="s">
        <v>5546</v>
      </c>
      <c r="L2127" s="157" t="s">
        <v>648</v>
      </c>
      <c r="M2127" s="158">
        <v>2022.0</v>
      </c>
      <c r="N2127" s="157" t="s">
        <v>114</v>
      </c>
      <c r="O2127" s="157" t="s">
        <v>1221</v>
      </c>
      <c r="P2127" s="161" t="b">
        <v>1</v>
      </c>
      <c r="Q2127" s="158">
        <v>0.884</v>
      </c>
      <c r="R2127" s="158">
        <v>0.0</v>
      </c>
      <c r="S2127" s="158">
        <v>0.884</v>
      </c>
      <c r="T2127" s="157" t="s">
        <v>114</v>
      </c>
      <c r="U2127" s="46" t="s">
        <v>651</v>
      </c>
      <c r="V2127" s="46" t="b">
        <v>1</v>
      </c>
      <c r="W2127" s="46">
        <v>0.95</v>
      </c>
      <c r="X2127" s="46">
        <v>0.0</v>
      </c>
      <c r="Y2127" s="46">
        <v>2.89974266677728</v>
      </c>
      <c r="Z2127" s="46" t="b">
        <v>1</v>
      </c>
      <c r="AA2127" s="46" t="b">
        <v>1</v>
      </c>
    </row>
    <row r="2128">
      <c r="A2128" s="157" t="s">
        <v>557</v>
      </c>
      <c r="B2128" s="158">
        <v>3.0</v>
      </c>
      <c r="C2128" s="157" t="s">
        <v>1215</v>
      </c>
      <c r="D2128" s="157" t="s">
        <v>2348</v>
      </c>
      <c r="E2128" s="157" t="s">
        <v>2349</v>
      </c>
      <c r="F2128" s="162" t="s">
        <v>6263</v>
      </c>
      <c r="G2128" s="157" t="s">
        <v>6264</v>
      </c>
      <c r="H2128" s="157"/>
      <c r="I2128" s="158">
        <v>11.6603377807005</v>
      </c>
      <c r="J2128" s="158">
        <v>51.2702196021692</v>
      </c>
      <c r="K2128" s="157" t="s">
        <v>6265</v>
      </c>
      <c r="L2128" s="157" t="s">
        <v>648</v>
      </c>
      <c r="M2128" s="158">
        <v>2022.0</v>
      </c>
      <c r="N2128" s="157" t="s">
        <v>114</v>
      </c>
      <c r="O2128" s="157" t="s">
        <v>1221</v>
      </c>
      <c r="P2128" s="161" t="b">
        <v>1</v>
      </c>
      <c r="Q2128" s="158">
        <v>0.847</v>
      </c>
      <c r="R2128" s="158">
        <v>0.0</v>
      </c>
      <c r="S2128" s="158">
        <v>0.847</v>
      </c>
      <c r="T2128" s="157" t="s">
        <v>114</v>
      </c>
      <c r="U2128" s="46" t="s">
        <v>651</v>
      </c>
      <c r="V2128" s="46" t="b">
        <v>1</v>
      </c>
      <c r="W2128" s="46">
        <v>0.95</v>
      </c>
      <c r="X2128" s="46">
        <v>0.0</v>
      </c>
      <c r="Y2128" s="46">
        <v>24.7444801322876</v>
      </c>
      <c r="Z2128" s="46" t="b">
        <v>1</v>
      </c>
      <c r="AA2128" s="46" t="b">
        <v>1</v>
      </c>
    </row>
    <row r="2129">
      <c r="A2129" s="157" t="s">
        <v>557</v>
      </c>
      <c r="B2129" s="158">
        <v>3.0</v>
      </c>
      <c r="C2129" s="157" t="s">
        <v>1215</v>
      </c>
      <c r="D2129" s="157" t="s">
        <v>1216</v>
      </c>
      <c r="E2129" s="157" t="s">
        <v>1217</v>
      </c>
      <c r="F2129" s="162" t="s">
        <v>6266</v>
      </c>
      <c r="G2129" s="157" t="s">
        <v>6267</v>
      </c>
      <c r="H2129" s="157"/>
      <c r="I2129" s="158">
        <v>9.73048444262082</v>
      </c>
      <c r="J2129" s="158">
        <v>48.3319725775515</v>
      </c>
      <c r="K2129" s="157" t="s">
        <v>6268</v>
      </c>
      <c r="L2129" s="157" t="s">
        <v>648</v>
      </c>
      <c r="M2129" s="158">
        <v>2022.0</v>
      </c>
      <c r="N2129" s="157" t="s">
        <v>114</v>
      </c>
      <c r="O2129" s="157" t="s">
        <v>1221</v>
      </c>
      <c r="P2129" s="161" t="b">
        <v>1</v>
      </c>
      <c r="Q2129" s="158">
        <v>0.822</v>
      </c>
      <c r="R2129" s="158">
        <v>0.0</v>
      </c>
      <c r="S2129" s="158">
        <v>0.822</v>
      </c>
      <c r="T2129" s="157" t="s">
        <v>114</v>
      </c>
      <c r="U2129" s="46" t="s">
        <v>651</v>
      </c>
      <c r="V2129" s="46" t="b">
        <v>1</v>
      </c>
      <c r="W2129" s="46">
        <v>0.95</v>
      </c>
      <c r="X2129" s="46">
        <v>0.0</v>
      </c>
      <c r="Y2129" s="46">
        <v>25.3731616646456</v>
      </c>
      <c r="Z2129" s="46" t="b">
        <v>1</v>
      </c>
      <c r="AA2129" s="46" t="b">
        <v>1</v>
      </c>
    </row>
    <row r="2130">
      <c r="A2130" s="157" t="s">
        <v>557</v>
      </c>
      <c r="B2130" s="158">
        <v>3.0</v>
      </c>
      <c r="C2130" s="157" t="s">
        <v>1215</v>
      </c>
      <c r="D2130" s="157" t="s">
        <v>1216</v>
      </c>
      <c r="E2130" s="157" t="s">
        <v>1217</v>
      </c>
      <c r="F2130" s="162" t="s">
        <v>6269</v>
      </c>
      <c r="G2130" s="157" t="s">
        <v>6270</v>
      </c>
      <c r="H2130" s="157"/>
      <c r="I2130" s="158">
        <v>9.73469313178231</v>
      </c>
      <c r="J2130" s="158">
        <v>48.3685926678066</v>
      </c>
      <c r="K2130" s="157" t="s">
        <v>6271</v>
      </c>
      <c r="L2130" s="157" t="s">
        <v>648</v>
      </c>
      <c r="M2130" s="158">
        <v>2022.0</v>
      </c>
      <c r="N2130" s="157" t="s">
        <v>114</v>
      </c>
      <c r="O2130" s="157" t="s">
        <v>1221</v>
      </c>
      <c r="P2130" s="161" t="b">
        <v>1</v>
      </c>
      <c r="Q2130" s="158">
        <v>0.768</v>
      </c>
      <c r="R2130" s="158">
        <v>0.0</v>
      </c>
      <c r="S2130" s="158">
        <v>0.768</v>
      </c>
      <c r="T2130" s="157" t="s">
        <v>114</v>
      </c>
      <c r="U2130" s="46" t="s">
        <v>651</v>
      </c>
      <c r="V2130" s="46" t="b">
        <v>1</v>
      </c>
      <c r="W2130" s="46">
        <v>0.95</v>
      </c>
      <c r="X2130" s="46">
        <v>0.0</v>
      </c>
      <c r="Y2130" s="46">
        <v>21.8656199864319</v>
      </c>
      <c r="Z2130" s="46" t="b">
        <v>1</v>
      </c>
      <c r="AA2130" s="46" t="b">
        <v>1</v>
      </c>
    </row>
    <row r="2131">
      <c r="A2131" s="157" t="s">
        <v>557</v>
      </c>
      <c r="B2131" s="158">
        <v>3.0</v>
      </c>
      <c r="C2131" s="157" t="s">
        <v>1215</v>
      </c>
      <c r="D2131" s="157" t="s">
        <v>1216</v>
      </c>
      <c r="E2131" s="157" t="s">
        <v>1217</v>
      </c>
      <c r="F2131" s="162" t="s">
        <v>6272</v>
      </c>
      <c r="G2131" s="157" t="s">
        <v>6273</v>
      </c>
      <c r="H2131" s="157"/>
      <c r="I2131" s="158">
        <v>10.1624787804246</v>
      </c>
      <c r="J2131" s="158">
        <v>48.6536749893587</v>
      </c>
      <c r="K2131" s="157" t="s">
        <v>6274</v>
      </c>
      <c r="L2131" s="157" t="s">
        <v>648</v>
      </c>
      <c r="M2131" s="158">
        <v>2022.0</v>
      </c>
      <c r="N2131" s="157" t="s">
        <v>114</v>
      </c>
      <c r="O2131" s="157" t="s">
        <v>1221</v>
      </c>
      <c r="P2131" s="161" t="b">
        <v>1</v>
      </c>
      <c r="Q2131" s="158">
        <v>0.59</v>
      </c>
      <c r="R2131" s="158">
        <v>0.0</v>
      </c>
      <c r="S2131" s="158">
        <v>0.59</v>
      </c>
      <c r="T2131" s="157" t="s">
        <v>114</v>
      </c>
      <c r="U2131" s="46" t="s">
        <v>651</v>
      </c>
      <c r="V2131" s="46" t="b">
        <v>1</v>
      </c>
      <c r="W2131" s="46">
        <v>0.95</v>
      </c>
      <c r="X2131" s="46">
        <v>0.0</v>
      </c>
      <c r="Y2131" s="46">
        <v>22.2589281074532</v>
      </c>
      <c r="Z2131" s="46" t="b">
        <v>1</v>
      </c>
      <c r="AA2131" s="46" t="b">
        <v>1</v>
      </c>
    </row>
    <row r="2132">
      <c r="A2132" s="157" t="s">
        <v>557</v>
      </c>
      <c r="B2132" s="158">
        <v>3.0</v>
      </c>
      <c r="C2132" s="157" t="s">
        <v>1215</v>
      </c>
      <c r="D2132" s="157" t="s">
        <v>1216</v>
      </c>
      <c r="E2132" s="157" t="s">
        <v>1217</v>
      </c>
      <c r="F2132" s="162" t="s">
        <v>6275</v>
      </c>
      <c r="G2132" s="157" t="s">
        <v>6276</v>
      </c>
      <c r="H2132" s="157"/>
      <c r="I2132" s="158">
        <v>8.61445443081367</v>
      </c>
      <c r="J2132" s="158">
        <v>49.0170401919872</v>
      </c>
      <c r="K2132" s="157" t="s">
        <v>6277</v>
      </c>
      <c r="L2132" s="157" t="s">
        <v>648</v>
      </c>
      <c r="M2132" s="158">
        <v>2022.0</v>
      </c>
      <c r="N2132" s="157" t="s">
        <v>114</v>
      </c>
      <c r="O2132" s="157" t="s">
        <v>1221</v>
      </c>
      <c r="P2132" s="161" t="b">
        <v>1</v>
      </c>
      <c r="Q2132" s="158">
        <v>0.509</v>
      </c>
      <c r="R2132" s="158">
        <v>0.0</v>
      </c>
      <c r="S2132" s="158">
        <v>0.509</v>
      </c>
      <c r="T2132" s="157" t="s">
        <v>114</v>
      </c>
      <c r="U2132" s="46" t="s">
        <v>651</v>
      </c>
      <c r="V2132" s="46" t="b">
        <v>1</v>
      </c>
      <c r="W2132" s="46">
        <v>0.95</v>
      </c>
      <c r="X2132" s="46">
        <v>0.0</v>
      </c>
      <c r="Y2132" s="46">
        <v>3.93970276246129</v>
      </c>
      <c r="Z2132" s="46" t="b">
        <v>1</v>
      </c>
      <c r="AA2132" s="46" t="b">
        <v>1</v>
      </c>
    </row>
    <row r="2133">
      <c r="A2133" s="157" t="s">
        <v>557</v>
      </c>
      <c r="B2133" s="158">
        <v>3.0</v>
      </c>
      <c r="C2133" s="157" t="s">
        <v>1215</v>
      </c>
      <c r="D2133" s="157" t="s">
        <v>1216</v>
      </c>
      <c r="E2133" s="157" t="s">
        <v>1217</v>
      </c>
      <c r="F2133" s="162" t="s">
        <v>6278</v>
      </c>
      <c r="G2133" s="157" t="s">
        <v>6279</v>
      </c>
      <c r="H2133" s="157"/>
      <c r="I2133" s="158">
        <v>8.77910185188865</v>
      </c>
      <c r="J2133" s="158">
        <v>48.2270218973993</v>
      </c>
      <c r="K2133" s="157" t="s">
        <v>6280</v>
      </c>
      <c r="L2133" s="157" t="s">
        <v>648</v>
      </c>
      <c r="M2133" s="158">
        <v>2022.0</v>
      </c>
      <c r="N2133" s="157" t="s">
        <v>114</v>
      </c>
      <c r="O2133" s="157" t="s">
        <v>1221</v>
      </c>
      <c r="P2133" s="161" t="b">
        <v>1</v>
      </c>
      <c r="Q2133" s="158">
        <v>0.458</v>
      </c>
      <c r="R2133" s="158">
        <v>0.0</v>
      </c>
      <c r="S2133" s="158">
        <v>0.458</v>
      </c>
      <c r="T2133" s="157" t="s">
        <v>114</v>
      </c>
      <c r="U2133" s="46" t="s">
        <v>651</v>
      </c>
      <c r="V2133" s="46" t="b">
        <v>1</v>
      </c>
      <c r="W2133" s="46">
        <v>0.95</v>
      </c>
      <c r="X2133" s="46">
        <v>0.0</v>
      </c>
      <c r="Y2133" s="46">
        <v>47.3183499356769</v>
      </c>
      <c r="Z2133" s="46" t="b">
        <v>1</v>
      </c>
      <c r="AA2133" s="46" t="b">
        <v>1</v>
      </c>
    </row>
    <row r="2134">
      <c r="A2134" s="157" t="s">
        <v>557</v>
      </c>
      <c r="B2134" s="158">
        <v>3.0</v>
      </c>
      <c r="C2134" s="157" t="s">
        <v>1215</v>
      </c>
      <c r="D2134" s="157" t="s">
        <v>2348</v>
      </c>
      <c r="E2134" s="157" t="s">
        <v>2349</v>
      </c>
      <c r="F2134" s="162" t="s">
        <v>6281</v>
      </c>
      <c r="G2134" s="157" t="s">
        <v>6282</v>
      </c>
      <c r="H2134" s="157"/>
      <c r="I2134" s="158">
        <v>10.8340204083728</v>
      </c>
      <c r="J2134" s="158">
        <v>51.7706054010665</v>
      </c>
      <c r="K2134" s="157" t="s">
        <v>6283</v>
      </c>
      <c r="L2134" s="157" t="s">
        <v>648</v>
      </c>
      <c r="M2134" s="158">
        <v>2022.0</v>
      </c>
      <c r="N2134" s="157" t="s">
        <v>114</v>
      </c>
      <c r="O2134" s="157" t="s">
        <v>1221</v>
      </c>
      <c r="P2134" s="161" t="b">
        <v>1</v>
      </c>
      <c r="Q2134" s="158">
        <v>0.411</v>
      </c>
      <c r="R2134" s="158">
        <v>0.0</v>
      </c>
      <c r="S2134" s="158">
        <v>0.411</v>
      </c>
      <c r="T2134" s="157" t="s">
        <v>114</v>
      </c>
      <c r="U2134" s="46" t="s">
        <v>651</v>
      </c>
      <c r="V2134" s="46" t="b">
        <v>1</v>
      </c>
      <c r="W2134" s="46">
        <v>0.95</v>
      </c>
      <c r="X2134" s="46">
        <v>0.0</v>
      </c>
      <c r="Y2134" s="46">
        <v>19.5670318956493</v>
      </c>
      <c r="Z2134" s="46" t="b">
        <v>1</v>
      </c>
      <c r="AA2134" s="46" t="b">
        <v>1</v>
      </c>
    </row>
    <row r="2135">
      <c r="A2135" s="157" t="s">
        <v>557</v>
      </c>
      <c r="B2135" s="158">
        <v>3.0</v>
      </c>
      <c r="C2135" s="157" t="s">
        <v>1215</v>
      </c>
      <c r="D2135" s="157" t="s">
        <v>2348</v>
      </c>
      <c r="E2135" s="157" t="s">
        <v>2349</v>
      </c>
      <c r="F2135" s="162" t="s">
        <v>6284</v>
      </c>
      <c r="G2135" s="157" t="s">
        <v>6285</v>
      </c>
      <c r="H2135" s="157"/>
      <c r="I2135" s="158">
        <v>10.8276711982595</v>
      </c>
      <c r="J2135" s="158">
        <v>51.7530072859272</v>
      </c>
      <c r="K2135" s="157" t="s">
        <v>6283</v>
      </c>
      <c r="L2135" s="157" t="s">
        <v>648</v>
      </c>
      <c r="M2135" s="158">
        <v>2022.0</v>
      </c>
      <c r="N2135" s="157" t="s">
        <v>114</v>
      </c>
      <c r="O2135" s="157" t="s">
        <v>1221</v>
      </c>
      <c r="P2135" s="161" t="b">
        <v>1</v>
      </c>
      <c r="Q2135" s="158">
        <v>0.319</v>
      </c>
      <c r="R2135" s="158">
        <v>0.0</v>
      </c>
      <c r="S2135" s="158">
        <v>0.319</v>
      </c>
      <c r="T2135" s="157" t="s">
        <v>114</v>
      </c>
      <c r="U2135" s="46" t="s">
        <v>651</v>
      </c>
      <c r="V2135" s="46" t="b">
        <v>1</v>
      </c>
      <c r="W2135" s="46">
        <v>0.95</v>
      </c>
      <c r="X2135" s="46">
        <v>0.0</v>
      </c>
      <c r="Y2135" s="46">
        <v>21.3065154302629</v>
      </c>
      <c r="Z2135" s="46" t="b">
        <v>1</v>
      </c>
      <c r="AA2135" s="46" t="b">
        <v>1</v>
      </c>
    </row>
    <row r="2136">
      <c r="A2136" s="157" t="s">
        <v>557</v>
      </c>
      <c r="B2136" s="158">
        <v>3.0</v>
      </c>
      <c r="C2136" s="157" t="s">
        <v>1215</v>
      </c>
      <c r="D2136" s="157" t="s">
        <v>2348</v>
      </c>
      <c r="E2136" s="157" t="s">
        <v>2349</v>
      </c>
      <c r="F2136" s="162" t="s">
        <v>6286</v>
      </c>
      <c r="G2136" s="157" t="s">
        <v>6287</v>
      </c>
      <c r="H2136" s="157"/>
      <c r="I2136" s="158">
        <v>10.1908974492968</v>
      </c>
      <c r="J2136" s="158">
        <v>51.8435851473783</v>
      </c>
      <c r="K2136" s="157" t="s">
        <v>6288</v>
      </c>
      <c r="L2136" s="157" t="s">
        <v>648</v>
      </c>
      <c r="M2136" s="158">
        <v>2022.0</v>
      </c>
      <c r="N2136" s="157" t="s">
        <v>114</v>
      </c>
      <c r="O2136" s="157" t="s">
        <v>1221</v>
      </c>
      <c r="P2136" s="161" t="b">
        <v>1</v>
      </c>
      <c r="Q2136" s="158">
        <v>0.312</v>
      </c>
      <c r="R2136" s="158">
        <v>0.0</v>
      </c>
      <c r="S2136" s="158">
        <v>0.312</v>
      </c>
      <c r="T2136" s="157" t="s">
        <v>114</v>
      </c>
      <c r="U2136" s="46" t="s">
        <v>651</v>
      </c>
      <c r="V2136" s="46" t="b">
        <v>1</v>
      </c>
      <c r="W2136" s="46">
        <v>0.95</v>
      </c>
      <c r="X2136" s="46">
        <v>0.0</v>
      </c>
      <c r="Y2136" s="46">
        <v>25.7040096142957</v>
      </c>
      <c r="Z2136" s="46" t="b">
        <v>1</v>
      </c>
      <c r="AA2136" s="46" t="b">
        <v>1</v>
      </c>
    </row>
    <row r="2137">
      <c r="A2137" s="157" t="s">
        <v>557</v>
      </c>
      <c r="B2137" s="158">
        <v>3.0</v>
      </c>
      <c r="C2137" s="157" t="s">
        <v>1215</v>
      </c>
      <c r="D2137" s="157" t="s">
        <v>2348</v>
      </c>
      <c r="E2137" s="157" t="s">
        <v>2349</v>
      </c>
      <c r="F2137" s="162" t="s">
        <v>6289</v>
      </c>
      <c r="G2137" s="157" t="s">
        <v>6290</v>
      </c>
      <c r="H2137" s="157"/>
      <c r="I2137" s="158">
        <v>11.934038611612</v>
      </c>
      <c r="J2137" s="158">
        <v>48.8905910679224</v>
      </c>
      <c r="K2137" s="157" t="s">
        <v>6291</v>
      </c>
      <c r="L2137" s="157" t="s">
        <v>648</v>
      </c>
      <c r="M2137" s="158">
        <v>2022.0</v>
      </c>
      <c r="N2137" s="157" t="s">
        <v>114</v>
      </c>
      <c r="O2137" s="157" t="s">
        <v>1221</v>
      </c>
      <c r="P2137" s="161" t="b">
        <v>1</v>
      </c>
      <c r="Q2137" s="158">
        <v>0.302</v>
      </c>
      <c r="R2137" s="158">
        <v>0.0</v>
      </c>
      <c r="S2137" s="158">
        <v>0.302</v>
      </c>
      <c r="T2137" s="157" t="s">
        <v>114</v>
      </c>
      <c r="U2137" s="46" t="s">
        <v>651</v>
      </c>
      <c r="V2137" s="46" t="b">
        <v>1</v>
      </c>
      <c r="W2137" s="46">
        <v>0.95</v>
      </c>
      <c r="X2137" s="46">
        <v>0.0</v>
      </c>
      <c r="Y2137" s="46">
        <v>8.62490940663315</v>
      </c>
      <c r="Z2137" s="46" t="b">
        <v>1</v>
      </c>
      <c r="AA2137" s="46" t="b">
        <v>1</v>
      </c>
    </row>
    <row r="2138">
      <c r="A2138" s="157" t="s">
        <v>557</v>
      </c>
      <c r="B2138" s="158">
        <v>3.0</v>
      </c>
      <c r="C2138" s="157" t="s">
        <v>1215</v>
      </c>
      <c r="D2138" s="157" t="s">
        <v>2348</v>
      </c>
      <c r="E2138" s="157" t="s">
        <v>2349</v>
      </c>
      <c r="F2138" s="162" t="s">
        <v>6292</v>
      </c>
      <c r="G2138" s="157" t="s">
        <v>6293</v>
      </c>
      <c r="H2138" s="157"/>
      <c r="I2138" s="158">
        <v>8.11153927412408</v>
      </c>
      <c r="J2138" s="158">
        <v>50.418856896455</v>
      </c>
      <c r="K2138" s="157" t="s">
        <v>6294</v>
      </c>
      <c r="L2138" s="157" t="s">
        <v>648</v>
      </c>
      <c r="M2138" s="158">
        <v>2022.0</v>
      </c>
      <c r="N2138" s="157" t="s">
        <v>114</v>
      </c>
      <c r="O2138" s="157" t="s">
        <v>1221</v>
      </c>
      <c r="P2138" s="161" t="b">
        <v>1</v>
      </c>
      <c r="Q2138" s="158">
        <v>0.288</v>
      </c>
      <c r="R2138" s="158">
        <v>0.0</v>
      </c>
      <c r="S2138" s="158">
        <v>0.288</v>
      </c>
      <c r="T2138" s="157" t="s">
        <v>114</v>
      </c>
      <c r="U2138" s="46" t="s">
        <v>651</v>
      </c>
      <c r="V2138" s="46" t="b">
        <v>1</v>
      </c>
      <c r="W2138" s="46">
        <v>0.95</v>
      </c>
      <c r="X2138" s="46">
        <v>0.0</v>
      </c>
      <c r="Y2138" s="46">
        <v>19.4219206778276</v>
      </c>
      <c r="Z2138" s="46" t="b">
        <v>1</v>
      </c>
      <c r="AA2138" s="46" t="b">
        <v>1</v>
      </c>
    </row>
    <row r="2139">
      <c r="A2139" s="157" t="s">
        <v>557</v>
      </c>
      <c r="B2139" s="158">
        <v>3.0</v>
      </c>
      <c r="C2139" s="157" t="s">
        <v>1215</v>
      </c>
      <c r="D2139" s="157" t="s">
        <v>2348</v>
      </c>
      <c r="E2139" s="157" t="s">
        <v>2349</v>
      </c>
      <c r="F2139" s="162" t="s">
        <v>6295</v>
      </c>
      <c r="G2139" s="157" t="s">
        <v>6296</v>
      </c>
      <c r="H2139" s="157"/>
      <c r="I2139" s="158">
        <v>8.052328226</v>
      </c>
      <c r="J2139" s="158">
        <v>50.3174802525125</v>
      </c>
      <c r="K2139" s="157" t="s">
        <v>6297</v>
      </c>
      <c r="L2139" s="157" t="s">
        <v>648</v>
      </c>
      <c r="M2139" s="158">
        <v>2022.0</v>
      </c>
      <c r="N2139" s="157" t="s">
        <v>114</v>
      </c>
      <c r="O2139" s="157" t="s">
        <v>1221</v>
      </c>
      <c r="P2139" s="161" t="b">
        <v>1</v>
      </c>
      <c r="Q2139" s="158">
        <v>0.288</v>
      </c>
      <c r="R2139" s="158">
        <v>0.0</v>
      </c>
      <c r="S2139" s="158">
        <v>0.288</v>
      </c>
      <c r="T2139" s="157" t="s">
        <v>114</v>
      </c>
      <c r="U2139" s="46" t="s">
        <v>651</v>
      </c>
      <c r="V2139" s="46" t="b">
        <v>1</v>
      </c>
      <c r="W2139" s="46">
        <v>0.95</v>
      </c>
      <c r="X2139" s="46">
        <v>0.0</v>
      </c>
      <c r="Y2139" s="46">
        <v>7.45132681265999</v>
      </c>
      <c r="Z2139" s="46" t="b">
        <v>1</v>
      </c>
      <c r="AA2139" s="46" t="b">
        <v>1</v>
      </c>
    </row>
    <row r="2140">
      <c r="A2140" s="157" t="s">
        <v>557</v>
      </c>
      <c r="B2140" s="158">
        <v>3.0</v>
      </c>
      <c r="C2140" s="157" t="s">
        <v>1215</v>
      </c>
      <c r="D2140" s="157" t="s">
        <v>2348</v>
      </c>
      <c r="E2140" s="157" t="s">
        <v>2349</v>
      </c>
      <c r="F2140" s="162" t="s">
        <v>6298</v>
      </c>
      <c r="G2140" s="157" t="s">
        <v>6299</v>
      </c>
      <c r="H2140" s="157"/>
      <c r="I2140" s="158">
        <v>10.7639040421948</v>
      </c>
      <c r="J2140" s="158">
        <v>51.7599976494764</v>
      </c>
      <c r="K2140" s="157" t="s">
        <v>6283</v>
      </c>
      <c r="L2140" s="157" t="s">
        <v>648</v>
      </c>
      <c r="M2140" s="158">
        <v>2022.0</v>
      </c>
      <c r="N2140" s="157" t="s">
        <v>114</v>
      </c>
      <c r="O2140" s="157" t="s">
        <v>1221</v>
      </c>
      <c r="P2140" s="161" t="b">
        <v>1</v>
      </c>
      <c r="Q2140" s="158">
        <v>0.172</v>
      </c>
      <c r="R2140" s="158">
        <v>0.0</v>
      </c>
      <c r="S2140" s="158">
        <v>0.172</v>
      </c>
      <c r="T2140" s="157" t="s">
        <v>114</v>
      </c>
      <c r="U2140" s="46" t="s">
        <v>651</v>
      </c>
      <c r="V2140" s="46" t="b">
        <v>1</v>
      </c>
      <c r="W2140" s="46">
        <v>0.95</v>
      </c>
      <c r="X2140" s="46">
        <v>0.0</v>
      </c>
      <c r="Y2140" s="46">
        <v>19.7650149117</v>
      </c>
      <c r="Z2140" s="46" t="b">
        <v>1</v>
      </c>
      <c r="AA2140" s="46" t="b">
        <v>1</v>
      </c>
    </row>
    <row r="2141">
      <c r="A2141" s="157" t="s">
        <v>557</v>
      </c>
      <c r="B2141" s="158">
        <v>3.0</v>
      </c>
      <c r="C2141" s="157" t="s">
        <v>1215</v>
      </c>
      <c r="D2141" s="157" t="s">
        <v>1216</v>
      </c>
      <c r="E2141" s="157" t="s">
        <v>1217</v>
      </c>
      <c r="F2141" s="162" t="s">
        <v>6300</v>
      </c>
      <c r="G2141" s="157" t="s">
        <v>4454</v>
      </c>
      <c r="H2141" s="157"/>
      <c r="I2141" s="158">
        <v>7.54366592587855</v>
      </c>
      <c r="J2141" s="158">
        <v>47.6609754367415</v>
      </c>
      <c r="K2141" s="157" t="s">
        <v>6301</v>
      </c>
      <c r="L2141" s="157" t="s">
        <v>648</v>
      </c>
      <c r="M2141" s="158">
        <v>2022.0</v>
      </c>
      <c r="N2141" s="157" t="s">
        <v>114</v>
      </c>
      <c r="O2141" s="157" t="s">
        <v>1221</v>
      </c>
      <c r="P2141" s="161" t="b">
        <v>1</v>
      </c>
      <c r="Q2141" s="158">
        <v>0.162</v>
      </c>
      <c r="R2141" s="158">
        <v>0.0</v>
      </c>
      <c r="S2141" s="158">
        <v>0.162</v>
      </c>
      <c r="T2141" s="157" t="s">
        <v>114</v>
      </c>
      <c r="U2141" s="46" t="s">
        <v>651</v>
      </c>
      <c r="V2141" s="46" t="b">
        <v>1</v>
      </c>
      <c r="W2141" s="46">
        <v>0.95</v>
      </c>
      <c r="X2141" s="46">
        <v>0.0</v>
      </c>
      <c r="Y2141" s="46">
        <v>37.6118955917074</v>
      </c>
      <c r="Z2141" s="46" t="b">
        <v>1</v>
      </c>
      <c r="AA2141" s="46" t="b">
        <v>1</v>
      </c>
    </row>
    <row r="2142">
      <c r="A2142" s="157" t="s">
        <v>557</v>
      </c>
      <c r="B2142" s="158">
        <v>3.0</v>
      </c>
      <c r="C2142" s="157" t="s">
        <v>1215</v>
      </c>
      <c r="D2142" s="157" t="s">
        <v>2348</v>
      </c>
      <c r="E2142" s="157" t="s">
        <v>2349</v>
      </c>
      <c r="F2142" s="162" t="s">
        <v>6302</v>
      </c>
      <c r="G2142" s="157" t="s">
        <v>6303</v>
      </c>
      <c r="H2142" s="157"/>
      <c r="I2142" s="158">
        <v>12.1387305698536</v>
      </c>
      <c r="J2142" s="158">
        <v>49.0299487490108</v>
      </c>
      <c r="K2142" s="157" t="s">
        <v>6304</v>
      </c>
      <c r="L2142" s="157" t="s">
        <v>648</v>
      </c>
      <c r="M2142" s="158">
        <v>2022.0</v>
      </c>
      <c r="N2142" s="157" t="s">
        <v>114</v>
      </c>
      <c r="O2142" s="157" t="s">
        <v>1221</v>
      </c>
      <c r="P2142" s="161" t="b">
        <v>1</v>
      </c>
      <c r="Q2142" s="158">
        <v>0.159</v>
      </c>
      <c r="R2142" s="158">
        <v>0.0</v>
      </c>
      <c r="S2142" s="158">
        <v>0.159</v>
      </c>
      <c r="T2142" s="157" t="s">
        <v>114</v>
      </c>
      <c r="U2142" s="46" t="s">
        <v>651</v>
      </c>
      <c r="V2142" s="46" t="b">
        <v>1</v>
      </c>
      <c r="W2142" s="46">
        <v>0.95</v>
      </c>
      <c r="X2142" s="46">
        <v>0.0</v>
      </c>
      <c r="Y2142" s="46">
        <v>4.40987890930472</v>
      </c>
      <c r="Z2142" s="46" t="b">
        <v>1</v>
      </c>
      <c r="AA2142" s="46" t="b">
        <v>1</v>
      </c>
    </row>
    <row r="2143">
      <c r="A2143" s="157" t="s">
        <v>557</v>
      </c>
      <c r="B2143" s="158">
        <v>3.0</v>
      </c>
      <c r="C2143" s="157" t="s">
        <v>1215</v>
      </c>
      <c r="D2143" s="157" t="s">
        <v>1216</v>
      </c>
      <c r="E2143" s="157" t="s">
        <v>1217</v>
      </c>
      <c r="F2143" s="162" t="s">
        <v>6305</v>
      </c>
      <c r="G2143" s="157" t="s">
        <v>6306</v>
      </c>
      <c r="H2143" s="157"/>
      <c r="I2143" s="158">
        <v>8.68583290073294</v>
      </c>
      <c r="J2143" s="158">
        <v>49.3576652299157</v>
      </c>
      <c r="K2143" s="157" t="s">
        <v>6307</v>
      </c>
      <c r="L2143" s="157" t="s">
        <v>648</v>
      </c>
      <c r="M2143" s="158">
        <v>2022.0</v>
      </c>
      <c r="N2143" s="157" t="s">
        <v>114</v>
      </c>
      <c r="O2143" s="157" t="s">
        <v>1221</v>
      </c>
      <c r="P2143" s="161" t="b">
        <v>1</v>
      </c>
      <c r="Q2143" s="158">
        <v>0.153</v>
      </c>
      <c r="R2143" s="158">
        <v>0.0</v>
      </c>
      <c r="S2143" s="158">
        <v>0.153</v>
      </c>
      <c r="T2143" s="157" t="s">
        <v>114</v>
      </c>
      <c r="U2143" s="46" t="s">
        <v>651</v>
      </c>
      <c r="V2143" s="46" t="b">
        <v>1</v>
      </c>
      <c r="W2143" s="46">
        <v>0.95</v>
      </c>
      <c r="X2143" s="46">
        <v>0.0</v>
      </c>
      <c r="Y2143" s="46">
        <v>15.9893217289443</v>
      </c>
      <c r="Z2143" s="46" t="b">
        <v>1</v>
      </c>
      <c r="AA2143" s="46" t="b">
        <v>1</v>
      </c>
    </row>
    <row r="2144">
      <c r="A2144" s="157" t="s">
        <v>557</v>
      </c>
      <c r="B2144" s="158">
        <v>3.0</v>
      </c>
      <c r="C2144" s="157" t="s">
        <v>1215</v>
      </c>
      <c r="D2144" s="157" t="s">
        <v>2348</v>
      </c>
      <c r="E2144" s="157" t="s">
        <v>2349</v>
      </c>
      <c r="F2144" s="162" t="s">
        <v>6308</v>
      </c>
      <c r="G2144" s="157" t="s">
        <v>6309</v>
      </c>
      <c r="H2144" s="157"/>
      <c r="I2144" s="158">
        <v>10.6996185632389</v>
      </c>
      <c r="J2144" s="158">
        <v>48.7737919202629</v>
      </c>
      <c r="K2144" s="157" t="s">
        <v>3700</v>
      </c>
      <c r="L2144" s="157" t="s">
        <v>648</v>
      </c>
      <c r="M2144" s="158">
        <v>2022.0</v>
      </c>
      <c r="N2144" s="157" t="s">
        <v>114</v>
      </c>
      <c r="O2144" s="157" t="s">
        <v>1221</v>
      </c>
      <c r="P2144" s="161" t="b">
        <v>1</v>
      </c>
      <c r="Q2144" s="158">
        <v>0.142</v>
      </c>
      <c r="R2144" s="158">
        <v>0.0</v>
      </c>
      <c r="S2144" s="158">
        <v>0.142</v>
      </c>
      <c r="T2144" s="157" t="s">
        <v>114</v>
      </c>
      <c r="U2144" s="46" t="s">
        <v>651</v>
      </c>
      <c r="V2144" s="46" t="b">
        <v>1</v>
      </c>
      <c r="W2144" s="46">
        <v>0.95</v>
      </c>
      <c r="X2144" s="46">
        <v>0.0</v>
      </c>
      <c r="Y2144" s="46">
        <v>56.7322264538903</v>
      </c>
      <c r="Z2144" s="46" t="b">
        <v>0</v>
      </c>
      <c r="AA2144" s="46" t="b">
        <v>1</v>
      </c>
    </row>
    <row r="2145">
      <c r="A2145" s="157" t="s">
        <v>557</v>
      </c>
      <c r="B2145" s="158">
        <v>3.0</v>
      </c>
      <c r="C2145" s="157" t="s">
        <v>1215</v>
      </c>
      <c r="D2145" s="157" t="s">
        <v>2348</v>
      </c>
      <c r="E2145" s="157" t="s">
        <v>2349</v>
      </c>
      <c r="F2145" s="162" t="s">
        <v>6310</v>
      </c>
      <c r="G2145" s="157" t="s">
        <v>6311</v>
      </c>
      <c r="H2145" s="157"/>
      <c r="I2145" s="158">
        <v>7.96905593015356</v>
      </c>
      <c r="J2145" s="158">
        <v>52.162740627713</v>
      </c>
      <c r="K2145" s="157" t="s">
        <v>6312</v>
      </c>
      <c r="L2145" s="157" t="s">
        <v>648</v>
      </c>
      <c r="M2145" s="158">
        <v>2022.0</v>
      </c>
      <c r="N2145" s="157" t="s">
        <v>114</v>
      </c>
      <c r="O2145" s="157" t="s">
        <v>1221</v>
      </c>
      <c r="P2145" s="161" t="b">
        <v>1</v>
      </c>
      <c r="Q2145" s="158">
        <v>0.135</v>
      </c>
      <c r="R2145" s="158">
        <v>0.0</v>
      </c>
      <c r="S2145" s="158">
        <v>0.135</v>
      </c>
      <c r="T2145" s="157" t="s">
        <v>114</v>
      </c>
      <c r="U2145" s="46" t="s">
        <v>651</v>
      </c>
      <c r="V2145" s="46" t="b">
        <v>1</v>
      </c>
      <c r="W2145" s="46">
        <v>0.95</v>
      </c>
      <c r="X2145" s="46">
        <v>0.0</v>
      </c>
      <c r="Y2145" s="46">
        <v>34.0472434991957</v>
      </c>
      <c r="Z2145" s="46" t="b">
        <v>1</v>
      </c>
      <c r="AA2145" s="46" t="b">
        <v>1</v>
      </c>
    </row>
    <row r="2146">
      <c r="A2146" s="157" t="s">
        <v>557</v>
      </c>
      <c r="B2146" s="158">
        <v>3.0</v>
      </c>
      <c r="C2146" s="157" t="s">
        <v>1215</v>
      </c>
      <c r="D2146" s="157" t="s">
        <v>1216</v>
      </c>
      <c r="E2146" s="157" t="s">
        <v>1217</v>
      </c>
      <c r="F2146" s="162" t="s">
        <v>6313</v>
      </c>
      <c r="G2146" s="157" t="s">
        <v>6309</v>
      </c>
      <c r="H2146" s="157"/>
      <c r="I2146" s="158">
        <v>9.90240737650807</v>
      </c>
      <c r="J2146" s="158">
        <v>48.4190996180209</v>
      </c>
      <c r="K2146" s="157" t="s">
        <v>6314</v>
      </c>
      <c r="L2146" s="157" t="s">
        <v>648</v>
      </c>
      <c r="M2146" s="158">
        <v>2022.0</v>
      </c>
      <c r="N2146" s="157" t="s">
        <v>114</v>
      </c>
      <c r="O2146" s="157" t="s">
        <v>1221</v>
      </c>
      <c r="P2146" s="161" t="b">
        <v>1</v>
      </c>
      <c r="Q2146" s="158">
        <v>0.134</v>
      </c>
      <c r="R2146" s="158">
        <v>0.0</v>
      </c>
      <c r="S2146" s="158">
        <v>0.134</v>
      </c>
      <c r="T2146" s="157" t="s">
        <v>114</v>
      </c>
      <c r="U2146" s="46" t="s">
        <v>651</v>
      </c>
      <c r="V2146" s="46" t="b">
        <v>1</v>
      </c>
      <c r="W2146" s="46">
        <v>0.95</v>
      </c>
      <c r="X2146" s="46">
        <v>0.0</v>
      </c>
      <c r="Y2146" s="46">
        <v>10.1184196994803</v>
      </c>
      <c r="Z2146" s="46" t="b">
        <v>1</v>
      </c>
      <c r="AA2146" s="46" t="b">
        <v>1</v>
      </c>
    </row>
    <row r="2147">
      <c r="A2147" s="157" t="s">
        <v>557</v>
      </c>
      <c r="B2147" s="158">
        <v>3.0</v>
      </c>
      <c r="C2147" s="157" t="s">
        <v>1215</v>
      </c>
      <c r="D2147" s="157" t="s">
        <v>2348</v>
      </c>
      <c r="E2147" s="157" t="s">
        <v>2349</v>
      </c>
      <c r="F2147" s="162" t="s">
        <v>6315</v>
      </c>
      <c r="G2147" s="157" t="s">
        <v>6316</v>
      </c>
      <c r="H2147" s="157"/>
      <c r="I2147" s="158">
        <v>8.37499154090088</v>
      </c>
      <c r="J2147" s="158">
        <v>51.4361004123644</v>
      </c>
      <c r="K2147" s="157" t="s">
        <v>6317</v>
      </c>
      <c r="L2147" s="157" t="s">
        <v>648</v>
      </c>
      <c r="M2147" s="158">
        <v>2022.0</v>
      </c>
      <c r="N2147" s="157" t="s">
        <v>114</v>
      </c>
      <c r="O2147" s="157" t="s">
        <v>1221</v>
      </c>
      <c r="P2147" s="161" t="b">
        <v>1</v>
      </c>
      <c r="Q2147" s="158">
        <v>0.126</v>
      </c>
      <c r="R2147" s="158">
        <v>0.0</v>
      </c>
      <c r="S2147" s="158">
        <v>0.126</v>
      </c>
      <c r="T2147" s="157" t="s">
        <v>114</v>
      </c>
      <c r="U2147" s="46" t="s">
        <v>651</v>
      </c>
      <c r="V2147" s="46" t="b">
        <v>1</v>
      </c>
      <c r="W2147" s="46">
        <v>0.95</v>
      </c>
      <c r="X2147" s="46">
        <v>0.0</v>
      </c>
      <c r="Y2147" s="46">
        <v>18.3578767612256</v>
      </c>
      <c r="Z2147" s="46" t="b">
        <v>1</v>
      </c>
      <c r="AA2147" s="46" t="b">
        <v>1</v>
      </c>
    </row>
    <row r="2148">
      <c r="A2148" s="157" t="s">
        <v>576</v>
      </c>
      <c r="B2148" s="158">
        <v>3.0</v>
      </c>
      <c r="C2148" s="157" t="s">
        <v>1215</v>
      </c>
      <c r="D2148" s="157" t="s">
        <v>2348</v>
      </c>
      <c r="E2148" s="157" t="s">
        <v>2349</v>
      </c>
      <c r="F2148" s="157" t="s">
        <v>6318</v>
      </c>
      <c r="G2148" s="157" t="s">
        <v>6319</v>
      </c>
      <c r="H2148" s="157"/>
      <c r="I2148" s="158">
        <v>25.1110277</v>
      </c>
      <c r="J2148" s="158">
        <v>45.2901138</v>
      </c>
      <c r="K2148" s="157" t="s">
        <v>4462</v>
      </c>
      <c r="L2148" s="157" t="s">
        <v>648</v>
      </c>
      <c r="M2148" s="158">
        <v>2022.0</v>
      </c>
      <c r="N2148" s="157" t="s">
        <v>114</v>
      </c>
      <c r="O2148" s="157" t="s">
        <v>1221</v>
      </c>
      <c r="P2148" s="161" t="b">
        <v>1</v>
      </c>
      <c r="Q2148" s="158">
        <v>0.957</v>
      </c>
      <c r="R2148" s="158">
        <v>0.0</v>
      </c>
      <c r="S2148" s="158">
        <v>0.957</v>
      </c>
      <c r="T2148" s="157" t="s">
        <v>114</v>
      </c>
      <c r="U2148" s="46" t="s">
        <v>651</v>
      </c>
      <c r="V2148" s="46" t="b">
        <v>1</v>
      </c>
      <c r="W2148" s="46">
        <v>0.95</v>
      </c>
      <c r="X2148" s="46">
        <v>0.0</v>
      </c>
      <c r="Y2148" s="46" t="s">
        <v>640</v>
      </c>
      <c r="Z2148" s="46" t="b">
        <v>0</v>
      </c>
      <c r="AA2148" s="46" t="b">
        <v>0</v>
      </c>
    </row>
    <row r="2149">
      <c r="A2149" s="157" t="s">
        <v>576</v>
      </c>
      <c r="B2149" s="158">
        <v>3.0</v>
      </c>
      <c r="C2149" s="157" t="s">
        <v>1215</v>
      </c>
      <c r="D2149" s="157" t="s">
        <v>2348</v>
      </c>
      <c r="E2149" s="157" t="s">
        <v>2349</v>
      </c>
      <c r="F2149" s="157" t="s">
        <v>6320</v>
      </c>
      <c r="G2149" s="157" t="s">
        <v>4461</v>
      </c>
      <c r="H2149" s="157"/>
      <c r="I2149" s="158">
        <v>25.41907778</v>
      </c>
      <c r="J2149" s="158">
        <v>45.124725</v>
      </c>
      <c r="K2149" s="157" t="s">
        <v>6321</v>
      </c>
      <c r="L2149" s="157" t="s">
        <v>648</v>
      </c>
      <c r="M2149" s="158">
        <v>2022.0</v>
      </c>
      <c r="N2149" s="157" t="s">
        <v>114</v>
      </c>
      <c r="O2149" s="157" t="s">
        <v>1221</v>
      </c>
      <c r="P2149" s="161" t="b">
        <v>1</v>
      </c>
      <c r="Q2149" s="158">
        <v>0.134</v>
      </c>
      <c r="R2149" s="158">
        <v>0.0</v>
      </c>
      <c r="S2149" s="158">
        <v>0.134</v>
      </c>
      <c r="T2149" s="157" t="s">
        <v>114</v>
      </c>
      <c r="U2149" s="46" t="s">
        <v>651</v>
      </c>
      <c r="V2149" s="46" t="b">
        <v>1</v>
      </c>
      <c r="W2149" s="46">
        <v>0.95</v>
      </c>
      <c r="X2149" s="46">
        <v>0.0</v>
      </c>
      <c r="Y2149" s="46" t="s">
        <v>640</v>
      </c>
      <c r="Z2149" s="46" t="b">
        <v>0</v>
      </c>
      <c r="AA2149" s="46" t="b">
        <v>0</v>
      </c>
    </row>
    <row r="2150">
      <c r="A2150" s="157" t="s">
        <v>554</v>
      </c>
      <c r="B2150" s="158">
        <v>3.0</v>
      </c>
      <c r="C2150" s="157" t="s">
        <v>1215</v>
      </c>
      <c r="D2150" s="157" t="s">
        <v>2348</v>
      </c>
      <c r="E2150" s="157" t="s">
        <v>2349</v>
      </c>
      <c r="F2150" s="157" t="s">
        <v>6322</v>
      </c>
      <c r="G2150" s="157" t="s">
        <v>6323</v>
      </c>
      <c r="H2150" s="157"/>
      <c r="I2150" s="158">
        <v>18.80276</v>
      </c>
      <c r="J2150" s="158">
        <v>57.84205</v>
      </c>
      <c r="K2150" s="157" t="s">
        <v>6324</v>
      </c>
      <c r="L2150" s="157" t="s">
        <v>648</v>
      </c>
      <c r="M2150" s="158">
        <v>2022.0</v>
      </c>
      <c r="N2150" s="157" t="s">
        <v>114</v>
      </c>
      <c r="O2150" s="157" t="s">
        <v>1221</v>
      </c>
      <c r="P2150" s="161" t="b">
        <v>1</v>
      </c>
      <c r="Q2150" s="158">
        <v>0.141</v>
      </c>
      <c r="R2150" s="158">
        <v>0.0</v>
      </c>
      <c r="S2150" s="158">
        <v>0.141</v>
      </c>
      <c r="T2150" s="157" t="s">
        <v>114</v>
      </c>
      <c r="U2150" s="46" t="s">
        <v>651</v>
      </c>
      <c r="V2150" s="46" t="b">
        <v>1</v>
      </c>
      <c r="W2150" s="46">
        <v>0.95</v>
      </c>
      <c r="X2150" s="46">
        <v>0.0</v>
      </c>
      <c r="Y2150" s="46" t="s">
        <v>640</v>
      </c>
      <c r="Z2150" s="46" t="b">
        <v>0</v>
      </c>
      <c r="AA2150" s="46" t="b">
        <v>0</v>
      </c>
    </row>
    <row r="2151">
      <c r="A2151" s="157" t="s">
        <v>563</v>
      </c>
      <c r="B2151" s="158">
        <v>3.0</v>
      </c>
      <c r="C2151" s="157" t="s">
        <v>1215</v>
      </c>
      <c r="D2151" s="157" t="s">
        <v>1216</v>
      </c>
      <c r="E2151" s="157" t="s">
        <v>1217</v>
      </c>
      <c r="F2151" s="157" t="s">
        <v>6325</v>
      </c>
      <c r="G2151" s="157" t="s">
        <v>6326</v>
      </c>
      <c r="H2151" s="157"/>
      <c r="I2151" s="158">
        <v>-1.2863181</v>
      </c>
      <c r="J2151" s="158">
        <v>52.377094</v>
      </c>
      <c r="K2151" s="157" t="s">
        <v>6327</v>
      </c>
      <c r="L2151" s="157" t="s">
        <v>648</v>
      </c>
      <c r="M2151" s="158">
        <v>2019.0</v>
      </c>
      <c r="N2151" s="157" t="s">
        <v>114</v>
      </c>
      <c r="O2151" s="157" t="s">
        <v>1221</v>
      </c>
      <c r="P2151" s="161" t="b">
        <v>1</v>
      </c>
      <c r="Q2151" s="158">
        <v>1.18</v>
      </c>
      <c r="R2151" s="158">
        <v>0.0</v>
      </c>
      <c r="S2151" s="158">
        <v>1.18</v>
      </c>
      <c r="T2151" s="157" t="s">
        <v>114</v>
      </c>
      <c r="U2151" s="46" t="s">
        <v>651</v>
      </c>
      <c r="V2151" s="46" t="b">
        <v>1</v>
      </c>
      <c r="W2151" s="46">
        <v>0.95</v>
      </c>
      <c r="X2151" s="46">
        <v>0.0</v>
      </c>
      <c r="Y2151" s="46">
        <v>132.578891309385</v>
      </c>
      <c r="Z2151" s="46" t="b">
        <v>0</v>
      </c>
      <c r="AA2151" s="46" t="b">
        <v>0</v>
      </c>
    </row>
    <row r="2152">
      <c r="A2152" s="157" t="s">
        <v>563</v>
      </c>
      <c r="B2152" s="158">
        <v>3.0</v>
      </c>
      <c r="C2152" s="157" t="s">
        <v>1215</v>
      </c>
      <c r="D2152" s="157" t="s">
        <v>1216</v>
      </c>
      <c r="E2152" s="157" t="s">
        <v>1217</v>
      </c>
      <c r="F2152" s="157" t="s">
        <v>6328</v>
      </c>
      <c r="G2152" s="157" t="s">
        <v>6329</v>
      </c>
      <c r="H2152" s="157"/>
      <c r="I2152" s="158">
        <v>-1.7538125</v>
      </c>
      <c r="J2152" s="158">
        <v>53.3387</v>
      </c>
      <c r="K2152" s="157" t="s">
        <v>6330</v>
      </c>
      <c r="L2152" s="157" t="s">
        <v>648</v>
      </c>
      <c r="M2152" s="158">
        <v>2019.0</v>
      </c>
      <c r="N2152" s="157" t="s">
        <v>114</v>
      </c>
      <c r="O2152" s="157" t="s">
        <v>1221</v>
      </c>
      <c r="P2152" s="161" t="b">
        <v>1</v>
      </c>
      <c r="Q2152" s="158">
        <v>1.08</v>
      </c>
      <c r="R2152" s="158">
        <v>0.0</v>
      </c>
      <c r="S2152" s="158">
        <v>1.08</v>
      </c>
      <c r="T2152" s="157" t="s">
        <v>114</v>
      </c>
      <c r="U2152" s="46" t="s">
        <v>651</v>
      </c>
      <c r="V2152" s="46" t="b">
        <v>1</v>
      </c>
      <c r="W2152" s="46">
        <v>0.95</v>
      </c>
      <c r="X2152" s="46">
        <v>0.0</v>
      </c>
      <c r="Y2152" s="46">
        <v>42.6768437020238</v>
      </c>
      <c r="Z2152" s="46" t="b">
        <v>1</v>
      </c>
      <c r="AA2152" s="46" t="b">
        <v>1</v>
      </c>
    </row>
    <row r="2153">
      <c r="A2153" s="157" t="s">
        <v>563</v>
      </c>
      <c r="B2153" s="158">
        <v>3.0</v>
      </c>
      <c r="C2153" s="157" t="s">
        <v>1215</v>
      </c>
      <c r="D2153" s="157" t="s">
        <v>1216</v>
      </c>
      <c r="E2153" s="157" t="s">
        <v>1217</v>
      </c>
      <c r="F2153" s="157" t="s">
        <v>6331</v>
      </c>
      <c r="G2153" s="157" t="s">
        <v>6332</v>
      </c>
      <c r="H2153" s="157"/>
      <c r="I2153" s="158">
        <v>-1.1986549</v>
      </c>
      <c r="J2153" s="158">
        <v>53.270735</v>
      </c>
      <c r="K2153" s="157" t="s">
        <v>6333</v>
      </c>
      <c r="L2153" s="157" t="s">
        <v>648</v>
      </c>
      <c r="M2153" s="158">
        <v>2019.0</v>
      </c>
      <c r="N2153" s="157" t="s">
        <v>114</v>
      </c>
      <c r="O2153" s="157" t="s">
        <v>1221</v>
      </c>
      <c r="P2153" s="161" t="b">
        <v>1</v>
      </c>
      <c r="Q2153" s="158">
        <v>0.394</v>
      </c>
      <c r="R2153" s="158">
        <v>0.0</v>
      </c>
      <c r="S2153" s="158">
        <v>0.394</v>
      </c>
      <c r="T2153" s="157" t="s">
        <v>114</v>
      </c>
      <c r="U2153" s="46" t="s">
        <v>651</v>
      </c>
      <c r="V2153" s="46" t="b">
        <v>1</v>
      </c>
      <c r="W2153" s="46">
        <v>0.95</v>
      </c>
      <c r="X2153" s="46">
        <v>0.0</v>
      </c>
      <c r="Y2153" s="46">
        <v>49.0814089062797</v>
      </c>
      <c r="Z2153" s="46" t="b">
        <v>1</v>
      </c>
      <c r="AA2153" s="46" t="b">
        <v>1</v>
      </c>
    </row>
    <row r="2154">
      <c r="A2154" s="157" t="s">
        <v>563</v>
      </c>
      <c r="B2154" s="158">
        <v>3.0</v>
      </c>
      <c r="C2154" s="157" t="s">
        <v>1215</v>
      </c>
      <c r="D2154" s="157" t="s">
        <v>1216</v>
      </c>
      <c r="E2154" s="157" t="s">
        <v>1217</v>
      </c>
      <c r="F2154" s="157" t="s">
        <v>6334</v>
      </c>
      <c r="G2154" s="157" t="s">
        <v>6335</v>
      </c>
      <c r="H2154" s="157"/>
      <c r="I2154" s="158">
        <v>-0.52852895</v>
      </c>
      <c r="J2154" s="158">
        <v>53.67552</v>
      </c>
      <c r="K2154" s="157" t="s">
        <v>6336</v>
      </c>
      <c r="L2154" s="157" t="s">
        <v>648</v>
      </c>
      <c r="M2154" s="158">
        <v>2019.0</v>
      </c>
      <c r="N2154" s="157" t="s">
        <v>114</v>
      </c>
      <c r="O2154" s="157" t="s">
        <v>1221</v>
      </c>
      <c r="P2154" s="161" t="b">
        <v>1</v>
      </c>
      <c r="Q2154" s="158">
        <v>0.342</v>
      </c>
      <c r="R2154" s="158">
        <v>0.0</v>
      </c>
      <c r="S2154" s="158">
        <v>0.342</v>
      </c>
      <c r="T2154" s="157" t="s">
        <v>114</v>
      </c>
      <c r="U2154" s="46" t="s">
        <v>651</v>
      </c>
      <c r="V2154" s="46" t="b">
        <v>1</v>
      </c>
      <c r="W2154" s="46">
        <v>0.95</v>
      </c>
      <c r="X2154" s="46">
        <v>0.0</v>
      </c>
      <c r="Y2154" s="46">
        <v>6.19497079388678</v>
      </c>
      <c r="Z2154" s="46" t="b">
        <v>1</v>
      </c>
      <c r="AA2154" s="46" t="b">
        <v>1</v>
      </c>
    </row>
    <row r="2155">
      <c r="A2155" s="157" t="s">
        <v>563</v>
      </c>
      <c r="B2155" s="158">
        <v>3.0</v>
      </c>
      <c r="C2155" s="157" t="s">
        <v>1215</v>
      </c>
      <c r="D2155" s="157" t="s">
        <v>1216</v>
      </c>
      <c r="E2155" s="157" t="s">
        <v>1217</v>
      </c>
      <c r="F2155" s="157" t="s">
        <v>6337</v>
      </c>
      <c r="G2155" s="157" t="s">
        <v>6338</v>
      </c>
      <c r="H2155" s="157"/>
      <c r="I2155" s="158">
        <v>-2.6649095</v>
      </c>
      <c r="J2155" s="158">
        <v>54.512993</v>
      </c>
      <c r="K2155" s="157" t="s">
        <v>6339</v>
      </c>
      <c r="L2155" s="157" t="s">
        <v>648</v>
      </c>
      <c r="M2155" s="158">
        <v>2019.0</v>
      </c>
      <c r="N2155" s="157" t="s">
        <v>114</v>
      </c>
      <c r="O2155" s="157" t="s">
        <v>1221</v>
      </c>
      <c r="P2155" s="161" t="b">
        <v>1</v>
      </c>
      <c r="Q2155" s="158">
        <v>0.195</v>
      </c>
      <c r="R2155" s="158">
        <v>0.0</v>
      </c>
      <c r="S2155" s="158">
        <v>0.195</v>
      </c>
      <c r="T2155" s="157" t="s">
        <v>114</v>
      </c>
      <c r="U2155" s="46" t="s">
        <v>651</v>
      </c>
      <c r="V2155" s="46" t="b">
        <v>1</v>
      </c>
      <c r="W2155" s="46">
        <v>0.95</v>
      </c>
      <c r="X2155" s="46">
        <v>0.0</v>
      </c>
      <c r="Y2155" s="46">
        <v>111.862718724088</v>
      </c>
      <c r="Z2155" s="46" t="b">
        <v>0</v>
      </c>
      <c r="AA2155" s="46" t="b">
        <v>0</v>
      </c>
    </row>
    <row r="2156">
      <c r="A2156" s="157" t="s">
        <v>563</v>
      </c>
      <c r="B2156" s="158">
        <v>3.0</v>
      </c>
      <c r="C2156" s="157" t="s">
        <v>1215</v>
      </c>
      <c r="D2156" s="157" t="s">
        <v>1216</v>
      </c>
      <c r="E2156" s="157" t="s">
        <v>1217</v>
      </c>
      <c r="F2156" s="157" t="s">
        <v>6340</v>
      </c>
      <c r="G2156" s="157" t="s">
        <v>6341</v>
      </c>
      <c r="H2156" s="157"/>
      <c r="I2156" s="158">
        <v>-1.8554665</v>
      </c>
      <c r="J2156" s="158">
        <v>53.210776</v>
      </c>
      <c r="K2156" s="157" t="s">
        <v>6342</v>
      </c>
      <c r="L2156" s="157" t="s">
        <v>648</v>
      </c>
      <c r="M2156" s="158">
        <v>2019.0</v>
      </c>
      <c r="N2156" s="157" t="s">
        <v>114</v>
      </c>
      <c r="O2156" s="157" t="s">
        <v>1221</v>
      </c>
      <c r="P2156" s="161" t="b">
        <v>1</v>
      </c>
      <c r="Q2156" s="158">
        <v>0.172</v>
      </c>
      <c r="R2156" s="158">
        <v>0.0</v>
      </c>
      <c r="S2156" s="158">
        <v>0.172</v>
      </c>
      <c r="T2156" s="157" t="s">
        <v>114</v>
      </c>
      <c r="U2156" s="46" t="s">
        <v>651</v>
      </c>
      <c r="V2156" s="46" t="b">
        <v>1</v>
      </c>
      <c r="W2156" s="46">
        <v>0.95</v>
      </c>
      <c r="X2156" s="46">
        <v>0.0</v>
      </c>
      <c r="Y2156" s="46">
        <v>39.8699672024089</v>
      </c>
      <c r="Z2156" s="46" t="b">
        <v>1</v>
      </c>
      <c r="AA2156" s="46" t="b">
        <v>1</v>
      </c>
    </row>
    <row r="2157">
      <c r="A2157" s="157" t="s">
        <v>563</v>
      </c>
      <c r="B2157" s="158">
        <v>3.0</v>
      </c>
      <c r="C2157" s="157" t="s">
        <v>1215</v>
      </c>
      <c r="D2157" s="157" t="s">
        <v>1216</v>
      </c>
      <c r="E2157" s="157" t="s">
        <v>1217</v>
      </c>
      <c r="F2157" s="157" t="s">
        <v>6343</v>
      </c>
      <c r="G2157" s="157" t="s">
        <v>6344</v>
      </c>
      <c r="H2157" s="157"/>
      <c r="I2157" s="158">
        <v>-1.8707148</v>
      </c>
      <c r="J2157" s="158">
        <v>53.218973</v>
      </c>
      <c r="K2157" s="157" t="s">
        <v>6345</v>
      </c>
      <c r="L2157" s="157" t="s">
        <v>648</v>
      </c>
      <c r="M2157" s="158">
        <v>2019.0</v>
      </c>
      <c r="N2157" s="157" t="s">
        <v>114</v>
      </c>
      <c r="O2157" s="157" t="s">
        <v>1221</v>
      </c>
      <c r="P2157" s="161" t="b">
        <v>1</v>
      </c>
      <c r="Q2157" s="158">
        <v>0.149</v>
      </c>
      <c r="R2157" s="158">
        <v>0.0</v>
      </c>
      <c r="S2157" s="158">
        <v>0.149</v>
      </c>
      <c r="T2157" s="157" t="s">
        <v>114</v>
      </c>
      <c r="U2157" s="46" t="s">
        <v>651</v>
      </c>
      <c r="V2157" s="46" t="b">
        <v>1</v>
      </c>
      <c r="W2157" s="46">
        <v>0.95</v>
      </c>
      <c r="X2157" s="46">
        <v>0.0</v>
      </c>
      <c r="Y2157" s="46">
        <v>38.5554952443237</v>
      </c>
      <c r="Z2157" s="46" t="b">
        <v>1</v>
      </c>
      <c r="AA2157" s="46" t="b">
        <v>1</v>
      </c>
    </row>
    <row r="2158">
      <c r="A2158" s="157" t="s">
        <v>568</v>
      </c>
      <c r="B2158" s="158">
        <v>5.0</v>
      </c>
      <c r="C2158" s="157" t="s">
        <v>652</v>
      </c>
      <c r="D2158" s="157" t="s">
        <v>653</v>
      </c>
      <c r="E2158" s="157" t="s">
        <v>654</v>
      </c>
      <c r="F2158" s="157" t="s">
        <v>6346</v>
      </c>
      <c r="G2158" s="157" t="s">
        <v>6347</v>
      </c>
      <c r="H2158" s="157"/>
      <c r="I2158" s="158">
        <v>12.6191829039756</v>
      </c>
      <c r="J2158" s="158">
        <v>55.68421443</v>
      </c>
      <c r="K2158" s="157" t="s">
        <v>5081</v>
      </c>
      <c r="L2158" s="157" t="s">
        <v>648</v>
      </c>
      <c r="M2158" s="158">
        <v>2022.0</v>
      </c>
      <c r="N2158" s="157" t="s">
        <v>116</v>
      </c>
      <c r="O2158" s="157" t="s">
        <v>658</v>
      </c>
      <c r="P2158" s="161" t="b">
        <v>1</v>
      </c>
      <c r="Q2158" s="158">
        <v>0.55525</v>
      </c>
      <c r="R2158" s="158">
        <v>0.0</v>
      </c>
      <c r="S2158" s="158">
        <v>0.55525</v>
      </c>
      <c r="T2158" s="157" t="s">
        <v>116</v>
      </c>
      <c r="U2158" s="46" t="s">
        <v>651</v>
      </c>
      <c r="V2158" s="46" t="b">
        <v>1</v>
      </c>
      <c r="W2158" s="46">
        <v>0.95</v>
      </c>
      <c r="X2158" s="46">
        <v>0.0</v>
      </c>
      <c r="Y2158" s="46">
        <v>3.71801826486217</v>
      </c>
      <c r="Z2158" s="46" t="b">
        <v>1</v>
      </c>
      <c r="AA2158" s="46" t="b">
        <v>1</v>
      </c>
    </row>
    <row r="2159">
      <c r="A2159" s="157" t="s">
        <v>568</v>
      </c>
      <c r="B2159" s="158">
        <v>5.0</v>
      </c>
      <c r="C2159" s="157" t="s">
        <v>652</v>
      </c>
      <c r="D2159" s="157" t="s">
        <v>653</v>
      </c>
      <c r="E2159" s="157" t="s">
        <v>654</v>
      </c>
      <c r="F2159" s="157" t="s">
        <v>6348</v>
      </c>
      <c r="G2159" s="157" t="s">
        <v>6349</v>
      </c>
      <c r="H2159" s="157"/>
      <c r="I2159" s="158">
        <v>8.50800852426289</v>
      </c>
      <c r="J2159" s="158">
        <v>55.4619001254645</v>
      </c>
      <c r="K2159" s="157" t="s">
        <v>5089</v>
      </c>
      <c r="L2159" s="157" t="s">
        <v>648</v>
      </c>
      <c r="M2159" s="158">
        <v>2022.0</v>
      </c>
      <c r="N2159" s="157" t="s">
        <v>116</v>
      </c>
      <c r="O2159" s="157" t="s">
        <v>658</v>
      </c>
      <c r="P2159" s="161" t="b">
        <v>1</v>
      </c>
      <c r="Q2159" s="158">
        <v>0.250888883</v>
      </c>
      <c r="R2159" s="158">
        <v>0.0</v>
      </c>
      <c r="S2159" s="158">
        <v>0.250888883</v>
      </c>
      <c r="T2159" s="157" t="s">
        <v>116</v>
      </c>
      <c r="U2159" s="46" t="s">
        <v>651</v>
      </c>
      <c r="V2159" s="46" t="b">
        <v>1</v>
      </c>
      <c r="W2159" s="46">
        <v>0.95</v>
      </c>
      <c r="X2159" s="46">
        <v>0.0</v>
      </c>
      <c r="Y2159" s="46">
        <v>49.5894162344912</v>
      </c>
      <c r="Z2159" s="46" t="b">
        <v>1</v>
      </c>
      <c r="AA2159" s="46" t="b">
        <v>1</v>
      </c>
    </row>
    <row r="2160">
      <c r="A2160" s="157" t="s">
        <v>568</v>
      </c>
      <c r="B2160" s="158">
        <v>5.0</v>
      </c>
      <c r="C2160" s="157" t="s">
        <v>652</v>
      </c>
      <c r="D2160" s="157" t="s">
        <v>653</v>
      </c>
      <c r="E2160" s="157" t="s">
        <v>654</v>
      </c>
      <c r="F2160" s="157" t="s">
        <v>6350</v>
      </c>
      <c r="G2160" s="157" t="s">
        <v>6351</v>
      </c>
      <c r="H2160" s="157"/>
      <c r="I2160" s="158">
        <v>10.0157051273962</v>
      </c>
      <c r="J2160" s="158">
        <v>57.0245136390954</v>
      </c>
      <c r="K2160" s="157" t="s">
        <v>3667</v>
      </c>
      <c r="L2160" s="157" t="s">
        <v>648</v>
      </c>
      <c r="M2160" s="158">
        <v>2022.0</v>
      </c>
      <c r="N2160" s="157" t="s">
        <v>116</v>
      </c>
      <c r="O2160" s="157" t="s">
        <v>658</v>
      </c>
      <c r="P2160" s="161" t="b">
        <v>1</v>
      </c>
      <c r="Q2160" s="158">
        <v>0.22013</v>
      </c>
      <c r="R2160" s="158">
        <v>0.0</v>
      </c>
      <c r="S2160" s="158">
        <v>0.22013</v>
      </c>
      <c r="T2160" s="157" t="s">
        <v>116</v>
      </c>
      <c r="U2160" s="46" t="s">
        <v>651</v>
      </c>
      <c r="V2160" s="46" t="b">
        <v>1</v>
      </c>
      <c r="W2160" s="46">
        <v>0.95</v>
      </c>
      <c r="X2160" s="46">
        <v>0.0</v>
      </c>
      <c r="Y2160" s="46">
        <v>2.5349998824917</v>
      </c>
      <c r="Z2160" s="46" t="b">
        <v>1</v>
      </c>
      <c r="AA2160" s="46" t="b">
        <v>1</v>
      </c>
    </row>
    <row r="2161">
      <c r="A2161" s="157" t="s">
        <v>568</v>
      </c>
      <c r="B2161" s="158">
        <v>5.0</v>
      </c>
      <c r="C2161" s="157" t="s">
        <v>652</v>
      </c>
      <c r="D2161" s="157" t="s">
        <v>653</v>
      </c>
      <c r="E2161" s="157" t="s">
        <v>654</v>
      </c>
      <c r="F2161" s="157" t="s">
        <v>6352</v>
      </c>
      <c r="G2161" s="157" t="s">
        <v>6353</v>
      </c>
      <c r="H2161" s="157"/>
      <c r="I2161" s="158">
        <v>9.446760903</v>
      </c>
      <c r="J2161" s="158">
        <v>55.5113041260684</v>
      </c>
      <c r="K2161" s="157" t="s">
        <v>6354</v>
      </c>
      <c r="L2161" s="157" t="s">
        <v>648</v>
      </c>
      <c r="M2161" s="158">
        <v>2022.0</v>
      </c>
      <c r="N2161" s="157" t="s">
        <v>116</v>
      </c>
      <c r="O2161" s="157" t="s">
        <v>658</v>
      </c>
      <c r="P2161" s="161" t="b">
        <v>1</v>
      </c>
      <c r="Q2161" s="158">
        <v>0.19108143</v>
      </c>
      <c r="R2161" s="158">
        <v>0.0</v>
      </c>
      <c r="S2161" s="158">
        <v>0.19108143</v>
      </c>
      <c r="T2161" s="157" t="s">
        <v>116</v>
      </c>
      <c r="U2161" s="46" t="s">
        <v>651</v>
      </c>
      <c r="V2161" s="46" t="b">
        <v>1</v>
      </c>
      <c r="W2161" s="46">
        <v>0.95</v>
      </c>
      <c r="X2161" s="46">
        <v>0.0</v>
      </c>
      <c r="Y2161" s="46">
        <v>8.26839217295224</v>
      </c>
      <c r="Z2161" s="46" t="b">
        <v>1</v>
      </c>
      <c r="AA2161" s="46" t="b">
        <v>1</v>
      </c>
    </row>
    <row r="2162">
      <c r="A2162" s="157" t="s">
        <v>568</v>
      </c>
      <c r="B2162" s="158">
        <v>5.0</v>
      </c>
      <c r="C2162" s="157" t="s">
        <v>652</v>
      </c>
      <c r="D2162" s="157" t="s">
        <v>653</v>
      </c>
      <c r="E2162" s="157" t="s">
        <v>654</v>
      </c>
      <c r="F2162" s="157" t="s">
        <v>6355</v>
      </c>
      <c r="G2162" s="157" t="s">
        <v>6356</v>
      </c>
      <c r="H2162" s="157"/>
      <c r="I2162" s="158">
        <v>12.4222021985845</v>
      </c>
      <c r="J2162" s="158">
        <v>55.7064799056756</v>
      </c>
      <c r="K2162" s="157" t="s">
        <v>6357</v>
      </c>
      <c r="L2162" s="157" t="s">
        <v>648</v>
      </c>
      <c r="M2162" s="158">
        <v>2022.0</v>
      </c>
      <c r="N2162" s="157" t="s">
        <v>116</v>
      </c>
      <c r="O2162" s="157" t="s">
        <v>658</v>
      </c>
      <c r="P2162" s="161" t="b">
        <v>1</v>
      </c>
      <c r="Q2162" s="158">
        <v>0.189511</v>
      </c>
      <c r="R2162" s="158">
        <v>0.0</v>
      </c>
      <c r="S2162" s="158">
        <v>0.189511</v>
      </c>
      <c r="T2162" s="157" t="s">
        <v>116</v>
      </c>
      <c r="U2162" s="46" t="s">
        <v>651</v>
      </c>
      <c r="V2162" s="46" t="b">
        <v>1</v>
      </c>
      <c r="W2162" s="46">
        <v>0.95</v>
      </c>
      <c r="X2162" s="46">
        <v>0.0</v>
      </c>
      <c r="Y2162" s="46">
        <v>3.62522454338611</v>
      </c>
      <c r="Z2162" s="46" t="b">
        <v>1</v>
      </c>
      <c r="AA2162" s="46" t="b">
        <v>1</v>
      </c>
    </row>
    <row r="2163">
      <c r="A2163" s="157" t="s">
        <v>568</v>
      </c>
      <c r="B2163" s="158">
        <v>5.0</v>
      </c>
      <c r="C2163" s="157" t="s">
        <v>652</v>
      </c>
      <c r="D2163" s="157" t="s">
        <v>653</v>
      </c>
      <c r="E2163" s="157" t="s">
        <v>654</v>
      </c>
      <c r="F2163" s="157" t="s">
        <v>6358</v>
      </c>
      <c r="G2163" s="157" t="s">
        <v>6359</v>
      </c>
      <c r="H2163" s="157"/>
      <c r="I2163" s="158">
        <v>10.4052116611815</v>
      </c>
      <c r="J2163" s="158">
        <v>55.4278210281727</v>
      </c>
      <c r="K2163" s="157" t="s">
        <v>4327</v>
      </c>
      <c r="L2163" s="157" t="s">
        <v>648</v>
      </c>
      <c r="M2163" s="158">
        <v>2022.0</v>
      </c>
      <c r="N2163" s="157" t="s">
        <v>116</v>
      </c>
      <c r="O2163" s="157" t="s">
        <v>658</v>
      </c>
      <c r="P2163" s="161" t="b">
        <v>1</v>
      </c>
      <c r="Q2163" s="158">
        <v>0.15285428</v>
      </c>
      <c r="R2163" s="158">
        <v>0.0</v>
      </c>
      <c r="S2163" s="158">
        <v>0.15285428</v>
      </c>
      <c r="T2163" s="157" t="s">
        <v>116</v>
      </c>
      <c r="U2163" s="46" t="s">
        <v>651</v>
      </c>
      <c r="V2163" s="46" t="b">
        <v>1</v>
      </c>
      <c r="W2163" s="46">
        <v>0.95</v>
      </c>
      <c r="X2163" s="46">
        <v>0.0</v>
      </c>
      <c r="Y2163" s="46">
        <v>7.31425316748166</v>
      </c>
      <c r="Z2163" s="46" t="b">
        <v>1</v>
      </c>
      <c r="AA2163" s="46" t="b">
        <v>1</v>
      </c>
    </row>
    <row r="2164">
      <c r="A2164" s="157" t="s">
        <v>568</v>
      </c>
      <c r="B2164" s="158">
        <v>5.0</v>
      </c>
      <c r="C2164" s="157" t="s">
        <v>652</v>
      </c>
      <c r="D2164" s="157" t="s">
        <v>653</v>
      </c>
      <c r="E2164" s="157" t="s">
        <v>654</v>
      </c>
      <c r="F2164" s="157" t="s">
        <v>6360</v>
      </c>
      <c r="G2164" s="157" t="s">
        <v>6361</v>
      </c>
      <c r="H2164" s="157"/>
      <c r="I2164" s="158">
        <v>10.0320378738672</v>
      </c>
      <c r="J2164" s="158">
        <v>57.45308057</v>
      </c>
      <c r="K2164" s="157" t="s">
        <v>6362</v>
      </c>
      <c r="L2164" s="157" t="s">
        <v>648</v>
      </c>
      <c r="M2164" s="158">
        <v>2022.0</v>
      </c>
      <c r="N2164" s="157" t="s">
        <v>116</v>
      </c>
      <c r="O2164" s="157" t="s">
        <v>658</v>
      </c>
      <c r="P2164" s="161" t="b">
        <v>1</v>
      </c>
      <c r="Q2164" s="158">
        <v>0.113663</v>
      </c>
      <c r="R2164" s="158">
        <v>0.0</v>
      </c>
      <c r="S2164" s="158">
        <v>0.113663</v>
      </c>
      <c r="T2164" s="157" t="s">
        <v>116</v>
      </c>
      <c r="U2164" s="46" t="s">
        <v>651</v>
      </c>
      <c r="V2164" s="46" t="b">
        <v>1</v>
      </c>
      <c r="W2164" s="46">
        <v>0.95</v>
      </c>
      <c r="X2164" s="46">
        <v>0.0</v>
      </c>
      <c r="Y2164" s="46">
        <v>42.3667142593201</v>
      </c>
      <c r="Z2164" s="46" t="b">
        <v>1</v>
      </c>
      <c r="AA2164" s="46" t="b">
        <v>1</v>
      </c>
    </row>
    <row r="2165">
      <c r="A2165" s="157" t="s">
        <v>568</v>
      </c>
      <c r="B2165" s="158">
        <v>5.0</v>
      </c>
      <c r="C2165" s="157" t="s">
        <v>652</v>
      </c>
      <c r="D2165" s="157" t="s">
        <v>653</v>
      </c>
      <c r="E2165" s="157" t="s">
        <v>654</v>
      </c>
      <c r="F2165" s="157" t="s">
        <v>6363</v>
      </c>
      <c r="G2165" s="157" t="s">
        <v>6364</v>
      </c>
      <c r="H2165" s="157"/>
      <c r="I2165" s="158">
        <v>9.78127169024753</v>
      </c>
      <c r="J2165" s="158">
        <v>54.9300051129523</v>
      </c>
      <c r="K2165" s="157" t="s">
        <v>6365</v>
      </c>
      <c r="L2165" s="157" t="s">
        <v>648</v>
      </c>
      <c r="M2165" s="158">
        <v>2022.0</v>
      </c>
      <c r="N2165" s="157" t="s">
        <v>116</v>
      </c>
      <c r="O2165" s="157" t="s">
        <v>658</v>
      </c>
      <c r="P2165" s="161" t="b">
        <v>1</v>
      </c>
      <c r="Q2165" s="158">
        <v>0.080924663</v>
      </c>
      <c r="R2165" s="158">
        <v>0.0</v>
      </c>
      <c r="S2165" s="158">
        <v>0.080924663</v>
      </c>
      <c r="T2165" s="157" t="s">
        <v>116</v>
      </c>
      <c r="U2165" s="46" t="s">
        <v>651</v>
      </c>
      <c r="V2165" s="46" t="b">
        <v>0</v>
      </c>
      <c r="W2165" s="46">
        <v>0.95</v>
      </c>
      <c r="X2165" s="46">
        <v>0.0</v>
      </c>
      <c r="Y2165" s="46">
        <v>29.9587444471068</v>
      </c>
      <c r="Z2165" s="46" t="b">
        <v>1</v>
      </c>
      <c r="AA2165" s="46" t="b">
        <v>1</v>
      </c>
    </row>
    <row r="2166">
      <c r="A2166" s="157" t="s">
        <v>568</v>
      </c>
      <c r="B2166" s="158">
        <v>5.0</v>
      </c>
      <c r="C2166" s="157" t="s">
        <v>652</v>
      </c>
      <c r="D2166" s="157" t="s">
        <v>653</v>
      </c>
      <c r="E2166" s="157" t="s">
        <v>654</v>
      </c>
      <c r="F2166" s="157" t="s">
        <v>6366</v>
      </c>
      <c r="G2166" s="157" t="s">
        <v>6367</v>
      </c>
      <c r="H2166" s="157"/>
      <c r="I2166" s="158">
        <v>10.5782417429169</v>
      </c>
      <c r="J2166" s="158">
        <v>55.0809118972396</v>
      </c>
      <c r="K2166" s="157" t="s">
        <v>6368</v>
      </c>
      <c r="L2166" s="157" t="s">
        <v>648</v>
      </c>
      <c r="M2166" s="158">
        <v>2022.0</v>
      </c>
      <c r="N2166" s="157" t="s">
        <v>116</v>
      </c>
      <c r="O2166" s="157" t="s">
        <v>658</v>
      </c>
      <c r="P2166" s="161" t="b">
        <v>1</v>
      </c>
      <c r="Q2166" s="158">
        <v>0.019385</v>
      </c>
      <c r="R2166" s="158">
        <v>0.0</v>
      </c>
      <c r="S2166" s="158">
        <v>0.019385</v>
      </c>
      <c r="T2166" s="157" t="s">
        <v>116</v>
      </c>
      <c r="U2166" s="46" t="s">
        <v>651</v>
      </c>
      <c r="V2166" s="46" t="b">
        <v>0</v>
      </c>
      <c r="W2166" s="46">
        <v>0.95</v>
      </c>
      <c r="X2166" s="46">
        <v>0.0</v>
      </c>
      <c r="Y2166" s="46">
        <v>32.6819214637057</v>
      </c>
      <c r="Z2166" s="46" t="b">
        <v>1</v>
      </c>
      <c r="AA2166" s="46" t="b">
        <v>1</v>
      </c>
    </row>
    <row r="2167">
      <c r="A2167" s="157" t="s">
        <v>568</v>
      </c>
      <c r="B2167" s="158">
        <v>5.0</v>
      </c>
      <c r="C2167" s="157" t="s">
        <v>652</v>
      </c>
      <c r="D2167" s="157" t="s">
        <v>653</v>
      </c>
      <c r="E2167" s="157" t="s">
        <v>654</v>
      </c>
      <c r="F2167" s="157" t="s">
        <v>6369</v>
      </c>
      <c r="G2167" s="157" t="s">
        <v>6370</v>
      </c>
      <c r="H2167" s="157"/>
      <c r="I2167" s="158">
        <v>12.6150728173451</v>
      </c>
      <c r="J2167" s="158">
        <v>55.6949824782093</v>
      </c>
      <c r="K2167" s="157" t="s">
        <v>6371</v>
      </c>
      <c r="L2167" s="157" t="s">
        <v>3646</v>
      </c>
      <c r="M2167" s="158">
        <v>2022.0</v>
      </c>
      <c r="N2167" s="157" t="s">
        <v>116</v>
      </c>
      <c r="O2167" s="157" t="s">
        <v>658</v>
      </c>
      <c r="P2167" s="161" t="b">
        <v>1</v>
      </c>
      <c r="Q2167" s="158">
        <v>0.010761</v>
      </c>
      <c r="R2167" s="158">
        <v>0.0</v>
      </c>
      <c r="S2167" s="158">
        <v>0.010761</v>
      </c>
      <c r="T2167" s="157" t="s">
        <v>116</v>
      </c>
      <c r="U2167" s="46" t="s">
        <v>651</v>
      </c>
      <c r="V2167" s="46" t="b">
        <v>0</v>
      </c>
      <c r="W2167" s="46">
        <v>0.95</v>
      </c>
      <c r="X2167" s="46">
        <v>0.0</v>
      </c>
      <c r="Y2167" s="46">
        <v>2.60145677757222</v>
      </c>
      <c r="Z2167" s="46" t="b">
        <v>1</v>
      </c>
      <c r="AA2167" s="46" t="b">
        <v>1</v>
      </c>
    </row>
    <row r="2168">
      <c r="A2168" s="157" t="s">
        <v>555</v>
      </c>
      <c r="B2168" s="158">
        <v>5.0</v>
      </c>
      <c r="C2168" s="157" t="s">
        <v>652</v>
      </c>
      <c r="D2168" s="157" t="s">
        <v>653</v>
      </c>
      <c r="E2168" s="157" t="s">
        <v>654</v>
      </c>
      <c r="F2168" s="162" t="s">
        <v>6372</v>
      </c>
      <c r="G2168" s="157" t="s">
        <v>6373</v>
      </c>
      <c r="H2168" s="157"/>
      <c r="I2168" s="158">
        <v>25.12936</v>
      </c>
      <c r="J2168" s="158">
        <v>60.26051</v>
      </c>
      <c r="K2168" s="157" t="s">
        <v>977</v>
      </c>
      <c r="L2168" s="157" t="s">
        <v>648</v>
      </c>
      <c r="M2168" s="158">
        <v>2022.0</v>
      </c>
      <c r="N2168" s="157" t="s">
        <v>116</v>
      </c>
      <c r="O2168" s="157" t="s">
        <v>658</v>
      </c>
      <c r="P2168" s="161" t="b">
        <v>1</v>
      </c>
      <c r="Q2168" s="158">
        <v>0.184</v>
      </c>
      <c r="R2168" s="158">
        <v>0.0</v>
      </c>
      <c r="S2168" s="158">
        <v>0.184</v>
      </c>
      <c r="T2168" s="157" t="s">
        <v>116</v>
      </c>
      <c r="U2168" s="46" t="s">
        <v>651</v>
      </c>
      <c r="V2168" s="46" t="b">
        <v>1</v>
      </c>
      <c r="W2168" s="46">
        <v>0.95</v>
      </c>
      <c r="X2168" s="46">
        <v>0.0</v>
      </c>
      <c r="Y2168" s="46" t="s">
        <v>640</v>
      </c>
      <c r="Z2168" s="46" t="b">
        <v>0</v>
      </c>
      <c r="AA2168" s="46" t="b">
        <v>0</v>
      </c>
    </row>
    <row r="2169">
      <c r="A2169" s="157" t="s">
        <v>557</v>
      </c>
      <c r="B2169" s="158">
        <v>5.0</v>
      </c>
      <c r="C2169" s="157" t="s">
        <v>652</v>
      </c>
      <c r="D2169" s="157" t="s">
        <v>653</v>
      </c>
      <c r="E2169" s="157" t="s">
        <v>654</v>
      </c>
      <c r="F2169" s="162" t="s">
        <v>6374</v>
      </c>
      <c r="G2169" s="157" t="s">
        <v>6375</v>
      </c>
      <c r="H2169" s="157"/>
      <c r="I2169" s="158">
        <v>6.83333984365514</v>
      </c>
      <c r="J2169" s="158">
        <v>51.4844423084825</v>
      </c>
      <c r="K2169" s="157" t="s">
        <v>4891</v>
      </c>
      <c r="L2169" s="157" t="s">
        <v>648</v>
      </c>
      <c r="M2169" s="158">
        <v>2022.0</v>
      </c>
      <c r="N2169" s="157" t="s">
        <v>116</v>
      </c>
      <c r="O2169" s="157" t="s">
        <v>658</v>
      </c>
      <c r="P2169" s="161" t="b">
        <v>1</v>
      </c>
      <c r="Q2169" s="158">
        <v>0.736</v>
      </c>
      <c r="R2169" s="158">
        <v>0.0</v>
      </c>
      <c r="S2169" s="158">
        <v>0.736</v>
      </c>
      <c r="T2169" s="157" t="s">
        <v>116</v>
      </c>
      <c r="U2169" s="46" t="s">
        <v>651</v>
      </c>
      <c r="V2169" s="46" t="b">
        <v>1</v>
      </c>
      <c r="W2169" s="46">
        <v>0.95</v>
      </c>
      <c r="X2169" s="46">
        <v>0.0</v>
      </c>
      <c r="Y2169" s="46">
        <v>7.20505520097133</v>
      </c>
      <c r="Z2169" s="46" t="b">
        <v>1</v>
      </c>
      <c r="AA2169" s="46" t="b">
        <v>1</v>
      </c>
    </row>
    <row r="2170">
      <c r="A2170" s="157" t="s">
        <v>557</v>
      </c>
      <c r="B2170" s="158">
        <v>5.0</v>
      </c>
      <c r="C2170" s="157" t="s">
        <v>652</v>
      </c>
      <c r="D2170" s="157" t="s">
        <v>653</v>
      </c>
      <c r="E2170" s="157" t="s">
        <v>654</v>
      </c>
      <c r="F2170" s="162" t="s">
        <v>6376</v>
      </c>
      <c r="G2170" s="157" t="s">
        <v>6377</v>
      </c>
      <c r="H2170" s="157"/>
      <c r="I2170" s="158">
        <v>7.16342556252107</v>
      </c>
      <c r="J2170" s="158">
        <v>51.5565161479205</v>
      </c>
      <c r="K2170" s="157" t="s">
        <v>6378</v>
      </c>
      <c r="L2170" s="157" t="s">
        <v>648</v>
      </c>
      <c r="M2170" s="158">
        <v>2022.0</v>
      </c>
      <c r="N2170" s="157" t="s">
        <v>116</v>
      </c>
      <c r="O2170" s="157" t="s">
        <v>658</v>
      </c>
      <c r="P2170" s="161" t="b">
        <v>1</v>
      </c>
      <c r="Q2170" s="158">
        <v>0.696</v>
      </c>
      <c r="R2170" s="158">
        <v>0.0</v>
      </c>
      <c r="S2170" s="158">
        <v>0.696</v>
      </c>
      <c r="T2170" s="157" t="s">
        <v>116</v>
      </c>
      <c r="U2170" s="46" t="s">
        <v>651</v>
      </c>
      <c r="V2170" s="46" t="b">
        <v>1</v>
      </c>
      <c r="W2170" s="46">
        <v>0.95</v>
      </c>
      <c r="X2170" s="46">
        <v>0.0</v>
      </c>
      <c r="Y2170" s="46">
        <v>16.352218492148</v>
      </c>
      <c r="Z2170" s="46" t="b">
        <v>1</v>
      </c>
      <c r="AA2170" s="46" t="b">
        <v>1</v>
      </c>
    </row>
    <row r="2171">
      <c r="A2171" s="157" t="s">
        <v>557</v>
      </c>
      <c r="B2171" s="158">
        <v>5.0</v>
      </c>
      <c r="C2171" s="157" t="s">
        <v>652</v>
      </c>
      <c r="D2171" s="157" t="s">
        <v>653</v>
      </c>
      <c r="E2171" s="157" t="s">
        <v>654</v>
      </c>
      <c r="F2171" s="162" t="s">
        <v>6379</v>
      </c>
      <c r="G2171" s="157" t="s">
        <v>6380</v>
      </c>
      <c r="H2171" s="157"/>
      <c r="I2171" s="158">
        <v>8.45245463748136</v>
      </c>
      <c r="J2171" s="158">
        <v>49.5213749156826</v>
      </c>
      <c r="K2171" s="157" t="s">
        <v>5391</v>
      </c>
      <c r="L2171" s="157" t="s">
        <v>648</v>
      </c>
      <c r="M2171" s="158">
        <v>2022.0</v>
      </c>
      <c r="N2171" s="157" t="s">
        <v>116</v>
      </c>
      <c r="O2171" s="157" t="s">
        <v>658</v>
      </c>
      <c r="P2171" s="161" t="b">
        <v>1</v>
      </c>
      <c r="Q2171" s="158">
        <v>0.631</v>
      </c>
      <c r="R2171" s="158">
        <v>0.0</v>
      </c>
      <c r="S2171" s="158">
        <v>0.631</v>
      </c>
      <c r="T2171" s="157" t="s">
        <v>116</v>
      </c>
      <c r="U2171" s="46" t="s">
        <v>651</v>
      </c>
      <c r="V2171" s="46" t="b">
        <v>1</v>
      </c>
      <c r="W2171" s="46">
        <v>0.95</v>
      </c>
      <c r="X2171" s="46">
        <v>0.0</v>
      </c>
      <c r="Y2171" s="46">
        <v>2.92315946340596</v>
      </c>
      <c r="Z2171" s="46" t="b">
        <v>1</v>
      </c>
      <c r="AA2171" s="46" t="b">
        <v>1</v>
      </c>
    </row>
    <row r="2172">
      <c r="A2172" s="157" t="s">
        <v>557</v>
      </c>
      <c r="B2172" s="158">
        <v>5.0</v>
      </c>
      <c r="C2172" s="157" t="s">
        <v>652</v>
      </c>
      <c r="D2172" s="157" t="s">
        <v>653</v>
      </c>
      <c r="E2172" s="157" t="s">
        <v>654</v>
      </c>
      <c r="F2172" s="162" t="s">
        <v>6381</v>
      </c>
      <c r="G2172" s="157" t="s">
        <v>6382</v>
      </c>
      <c r="H2172" s="157"/>
      <c r="I2172" s="158">
        <v>11.6803262226311</v>
      </c>
      <c r="J2172" s="158">
        <v>52.185201417987</v>
      </c>
      <c r="K2172" s="157" t="s">
        <v>6383</v>
      </c>
      <c r="L2172" s="157" t="s">
        <v>648</v>
      </c>
      <c r="M2172" s="158">
        <v>2022.0</v>
      </c>
      <c r="N2172" s="157" t="s">
        <v>116</v>
      </c>
      <c r="O2172" s="157" t="s">
        <v>658</v>
      </c>
      <c r="P2172" s="161" t="b">
        <v>1</v>
      </c>
      <c r="Q2172" s="158">
        <v>0.613</v>
      </c>
      <c r="R2172" s="158">
        <v>0.0</v>
      </c>
      <c r="S2172" s="158">
        <v>0.613</v>
      </c>
      <c r="T2172" s="157" t="s">
        <v>116</v>
      </c>
      <c r="U2172" s="46" t="s">
        <v>651</v>
      </c>
      <c r="V2172" s="46" t="b">
        <v>1</v>
      </c>
      <c r="W2172" s="46">
        <v>0.95</v>
      </c>
      <c r="X2172" s="46">
        <v>0.0</v>
      </c>
      <c r="Y2172" s="46">
        <v>12.0392034487728</v>
      </c>
      <c r="Z2172" s="46" t="b">
        <v>1</v>
      </c>
      <c r="AA2172" s="46" t="b">
        <v>1</v>
      </c>
    </row>
    <row r="2173">
      <c r="A2173" s="157" t="s">
        <v>557</v>
      </c>
      <c r="B2173" s="158">
        <v>5.0</v>
      </c>
      <c r="C2173" s="157" t="s">
        <v>652</v>
      </c>
      <c r="D2173" s="157" t="s">
        <v>653</v>
      </c>
      <c r="E2173" s="157" t="s">
        <v>654</v>
      </c>
      <c r="F2173" s="162" t="s">
        <v>6384</v>
      </c>
      <c r="G2173" s="157" t="s">
        <v>6385</v>
      </c>
      <c r="H2173" s="157"/>
      <c r="I2173" s="158">
        <v>12.0879080906819</v>
      </c>
      <c r="J2173" s="158">
        <v>49.3100376733859</v>
      </c>
      <c r="K2173" s="157" t="s">
        <v>6386</v>
      </c>
      <c r="L2173" s="157" t="s">
        <v>648</v>
      </c>
      <c r="M2173" s="158">
        <v>2022.0</v>
      </c>
      <c r="N2173" s="157" t="s">
        <v>116</v>
      </c>
      <c r="O2173" s="157" t="s">
        <v>658</v>
      </c>
      <c r="P2173" s="161" t="b">
        <v>1</v>
      </c>
      <c r="Q2173" s="158">
        <v>0.498</v>
      </c>
      <c r="R2173" s="158">
        <v>0.0</v>
      </c>
      <c r="S2173" s="158">
        <v>0.498</v>
      </c>
      <c r="T2173" s="157" t="s">
        <v>116</v>
      </c>
      <c r="U2173" s="46" t="s">
        <v>651</v>
      </c>
      <c r="V2173" s="46" t="b">
        <v>1</v>
      </c>
      <c r="W2173" s="46">
        <v>0.95</v>
      </c>
      <c r="X2173" s="46">
        <v>0.0</v>
      </c>
      <c r="Y2173" s="46">
        <v>1.36651203876626</v>
      </c>
      <c r="Z2173" s="46" t="b">
        <v>1</v>
      </c>
      <c r="AA2173" s="46" t="b">
        <v>1</v>
      </c>
    </row>
    <row r="2174">
      <c r="A2174" s="157" t="s">
        <v>557</v>
      </c>
      <c r="B2174" s="158">
        <v>5.0</v>
      </c>
      <c r="C2174" s="157" t="s">
        <v>652</v>
      </c>
      <c r="D2174" s="157" t="s">
        <v>653</v>
      </c>
      <c r="E2174" s="157" t="s">
        <v>654</v>
      </c>
      <c r="F2174" s="162" t="s">
        <v>6387</v>
      </c>
      <c r="G2174" s="157" t="s">
        <v>6388</v>
      </c>
      <c r="H2174" s="157"/>
      <c r="I2174" s="158">
        <v>13.2379154933709</v>
      </c>
      <c r="J2174" s="158">
        <v>52.5290382462858</v>
      </c>
      <c r="K2174" s="157" t="s">
        <v>5441</v>
      </c>
      <c r="L2174" s="157" t="s">
        <v>648</v>
      </c>
      <c r="M2174" s="158">
        <v>2022.0</v>
      </c>
      <c r="N2174" s="157" t="s">
        <v>116</v>
      </c>
      <c r="O2174" s="157" t="s">
        <v>658</v>
      </c>
      <c r="P2174" s="161" t="b">
        <v>1</v>
      </c>
      <c r="Q2174" s="158">
        <v>0.494</v>
      </c>
      <c r="R2174" s="158">
        <v>0.0</v>
      </c>
      <c r="S2174" s="158">
        <v>0.494</v>
      </c>
      <c r="T2174" s="157" t="s">
        <v>116</v>
      </c>
      <c r="U2174" s="46" t="s">
        <v>651</v>
      </c>
      <c r="V2174" s="46" t="b">
        <v>1</v>
      </c>
      <c r="W2174" s="46">
        <v>0.95</v>
      </c>
      <c r="X2174" s="46">
        <v>0.0</v>
      </c>
      <c r="Y2174" s="46">
        <v>14.7921229813878</v>
      </c>
      <c r="Z2174" s="46" t="b">
        <v>1</v>
      </c>
      <c r="AA2174" s="46" t="b">
        <v>1</v>
      </c>
    </row>
    <row r="2175">
      <c r="A2175" s="157" t="s">
        <v>557</v>
      </c>
      <c r="B2175" s="158">
        <v>5.0</v>
      </c>
      <c r="C2175" s="157" t="s">
        <v>652</v>
      </c>
      <c r="D2175" s="157" t="s">
        <v>653</v>
      </c>
      <c r="E2175" s="157" t="s">
        <v>654</v>
      </c>
      <c r="F2175" s="162" t="s">
        <v>6389</v>
      </c>
      <c r="G2175" s="157" t="s">
        <v>6390</v>
      </c>
      <c r="H2175" s="157"/>
      <c r="I2175" s="158">
        <v>11.9957640034843</v>
      </c>
      <c r="J2175" s="158">
        <v>51.3247410197754</v>
      </c>
      <c r="K2175" s="157" t="s">
        <v>4057</v>
      </c>
      <c r="L2175" s="157" t="s">
        <v>648</v>
      </c>
      <c r="M2175" s="158">
        <v>2022.0</v>
      </c>
      <c r="N2175" s="157" t="s">
        <v>116</v>
      </c>
      <c r="O2175" s="157" t="s">
        <v>658</v>
      </c>
      <c r="P2175" s="161" t="b">
        <v>1</v>
      </c>
      <c r="Q2175" s="158">
        <v>0.492</v>
      </c>
      <c r="R2175" s="158">
        <v>0.0</v>
      </c>
      <c r="S2175" s="158">
        <v>0.492</v>
      </c>
      <c r="T2175" s="157" t="s">
        <v>116</v>
      </c>
      <c r="U2175" s="46" t="s">
        <v>651</v>
      </c>
      <c r="V2175" s="46" t="b">
        <v>1</v>
      </c>
      <c r="W2175" s="46">
        <v>0.95</v>
      </c>
      <c r="X2175" s="46">
        <v>0.0</v>
      </c>
      <c r="Y2175" s="46">
        <v>4.38534707238417</v>
      </c>
      <c r="Z2175" s="46" t="b">
        <v>1</v>
      </c>
      <c r="AA2175" s="46" t="b">
        <v>1</v>
      </c>
    </row>
    <row r="2176">
      <c r="A2176" s="157" t="s">
        <v>557</v>
      </c>
      <c r="B2176" s="158">
        <v>5.0</v>
      </c>
      <c r="C2176" s="157" t="s">
        <v>652</v>
      </c>
      <c r="D2176" s="157" t="s">
        <v>653</v>
      </c>
      <c r="E2176" s="157" t="s">
        <v>654</v>
      </c>
      <c r="F2176" s="162" t="s">
        <v>6391</v>
      </c>
      <c r="G2176" s="157" t="s">
        <v>6392</v>
      </c>
      <c r="H2176" s="157"/>
      <c r="I2176" s="158">
        <v>8.53683083730255</v>
      </c>
      <c r="J2176" s="158">
        <v>50.0884160346366</v>
      </c>
      <c r="K2176" s="157" t="s">
        <v>1030</v>
      </c>
      <c r="L2176" s="157" t="s">
        <v>648</v>
      </c>
      <c r="M2176" s="158">
        <v>2022.0</v>
      </c>
      <c r="N2176" s="157" t="s">
        <v>116</v>
      </c>
      <c r="O2176" s="157" t="s">
        <v>658</v>
      </c>
      <c r="P2176" s="161" t="b">
        <v>1</v>
      </c>
      <c r="Q2176" s="158">
        <v>0.486</v>
      </c>
      <c r="R2176" s="158">
        <v>0.0</v>
      </c>
      <c r="S2176" s="158">
        <v>0.486</v>
      </c>
      <c r="T2176" s="157" t="s">
        <v>116</v>
      </c>
      <c r="U2176" s="46" t="s">
        <v>651</v>
      </c>
      <c r="V2176" s="46" t="b">
        <v>1</v>
      </c>
      <c r="W2176" s="46">
        <v>0.95</v>
      </c>
      <c r="X2176" s="46">
        <v>0.0</v>
      </c>
      <c r="Y2176" s="46">
        <v>6.00524008111833</v>
      </c>
      <c r="Z2176" s="46" t="b">
        <v>1</v>
      </c>
      <c r="AA2176" s="46" t="b">
        <v>1</v>
      </c>
    </row>
    <row r="2177">
      <c r="A2177" s="157" t="s">
        <v>557</v>
      </c>
      <c r="B2177" s="158">
        <v>5.0</v>
      </c>
      <c r="C2177" s="157" t="s">
        <v>652</v>
      </c>
      <c r="D2177" s="157" t="s">
        <v>653</v>
      </c>
      <c r="E2177" s="157" t="s">
        <v>654</v>
      </c>
      <c r="F2177" s="162" t="s">
        <v>6393</v>
      </c>
      <c r="G2177" s="157" t="s">
        <v>6394</v>
      </c>
      <c r="H2177" s="157"/>
      <c r="I2177" s="158">
        <v>10.9777511752995</v>
      </c>
      <c r="J2177" s="158">
        <v>52.1700500859293</v>
      </c>
      <c r="K2177" s="157" t="s">
        <v>6395</v>
      </c>
      <c r="L2177" s="157" t="s">
        <v>648</v>
      </c>
      <c r="M2177" s="158">
        <v>2022.0</v>
      </c>
      <c r="N2177" s="157" t="s">
        <v>116</v>
      </c>
      <c r="O2177" s="157" t="s">
        <v>658</v>
      </c>
      <c r="P2177" s="161" t="b">
        <v>1</v>
      </c>
      <c r="Q2177" s="158">
        <v>0.453</v>
      </c>
      <c r="R2177" s="158">
        <v>0.0</v>
      </c>
      <c r="S2177" s="158">
        <v>0.453</v>
      </c>
      <c r="T2177" s="157" t="s">
        <v>116</v>
      </c>
      <c r="U2177" s="46" t="s">
        <v>651</v>
      </c>
      <c r="V2177" s="46" t="b">
        <v>1</v>
      </c>
      <c r="W2177" s="46">
        <v>0.95</v>
      </c>
      <c r="X2177" s="46">
        <v>0.0</v>
      </c>
      <c r="Y2177" s="46">
        <v>15.35632857366</v>
      </c>
      <c r="Z2177" s="46" t="b">
        <v>1</v>
      </c>
      <c r="AA2177" s="46" t="b">
        <v>1</v>
      </c>
    </row>
    <row r="2178">
      <c r="A2178" s="157" t="s">
        <v>557</v>
      </c>
      <c r="B2178" s="158">
        <v>5.0</v>
      </c>
      <c r="C2178" s="157" t="s">
        <v>652</v>
      </c>
      <c r="D2178" s="157" t="s">
        <v>653</v>
      </c>
      <c r="E2178" s="157" t="s">
        <v>654</v>
      </c>
      <c r="F2178" s="162" t="s">
        <v>6396</v>
      </c>
      <c r="G2178" s="157" t="s">
        <v>6397</v>
      </c>
      <c r="H2178" s="157"/>
      <c r="I2178" s="158">
        <v>9.21983392948371</v>
      </c>
      <c r="J2178" s="158">
        <v>48.8143209927481</v>
      </c>
      <c r="K2178" s="157" t="s">
        <v>6398</v>
      </c>
      <c r="L2178" s="157" t="s">
        <v>648</v>
      </c>
      <c r="M2178" s="158">
        <v>2022.0</v>
      </c>
      <c r="N2178" s="157" t="s">
        <v>116</v>
      </c>
      <c r="O2178" s="157" t="s">
        <v>658</v>
      </c>
      <c r="P2178" s="161" t="b">
        <v>1</v>
      </c>
      <c r="Q2178" s="158">
        <v>0.439</v>
      </c>
      <c r="R2178" s="158">
        <v>0.0</v>
      </c>
      <c r="S2178" s="158">
        <v>0.439</v>
      </c>
      <c r="T2178" s="157" t="s">
        <v>116</v>
      </c>
      <c r="U2178" s="46" t="s">
        <v>651</v>
      </c>
      <c r="V2178" s="46" t="b">
        <v>1</v>
      </c>
      <c r="W2178" s="46">
        <v>0.95</v>
      </c>
      <c r="X2178" s="46">
        <v>0.0</v>
      </c>
      <c r="Y2178" s="46">
        <v>1.70920924450447</v>
      </c>
      <c r="Z2178" s="46" t="b">
        <v>1</v>
      </c>
      <c r="AA2178" s="46" t="b">
        <v>1</v>
      </c>
    </row>
    <row r="2179">
      <c r="A2179" s="157" t="s">
        <v>557</v>
      </c>
      <c r="B2179" s="158">
        <v>5.0</v>
      </c>
      <c r="C2179" s="157" t="s">
        <v>652</v>
      </c>
      <c r="D2179" s="157" t="s">
        <v>653</v>
      </c>
      <c r="E2179" s="157" t="s">
        <v>654</v>
      </c>
      <c r="F2179" s="162" t="s">
        <v>6399</v>
      </c>
      <c r="G2179" s="157" t="s">
        <v>6400</v>
      </c>
      <c r="H2179" s="157"/>
      <c r="I2179" s="158">
        <v>6.74319308239618</v>
      </c>
      <c r="J2179" s="158">
        <v>52.6435911576466</v>
      </c>
      <c r="K2179" s="157" t="s">
        <v>6401</v>
      </c>
      <c r="L2179" s="157" t="s">
        <v>648</v>
      </c>
      <c r="M2179" s="158">
        <v>2022.0</v>
      </c>
      <c r="N2179" s="157" t="s">
        <v>116</v>
      </c>
      <c r="O2179" s="157" t="s">
        <v>658</v>
      </c>
      <c r="P2179" s="161" t="b">
        <v>1</v>
      </c>
      <c r="Q2179" s="158">
        <v>0.42</v>
      </c>
      <c r="R2179" s="158">
        <v>0.0</v>
      </c>
      <c r="S2179" s="158">
        <v>0.42</v>
      </c>
      <c r="T2179" s="157" t="s">
        <v>116</v>
      </c>
      <c r="U2179" s="46" t="s">
        <v>651</v>
      </c>
      <c r="V2179" s="46" t="b">
        <v>1</v>
      </c>
      <c r="W2179" s="46">
        <v>0.95</v>
      </c>
      <c r="X2179" s="46">
        <v>0.0</v>
      </c>
      <c r="Y2179" s="46">
        <v>44.8739379076489</v>
      </c>
      <c r="Z2179" s="46" t="b">
        <v>1</v>
      </c>
      <c r="AA2179" s="46" t="b">
        <v>1</v>
      </c>
    </row>
    <row r="2180">
      <c r="A2180" s="157" t="s">
        <v>557</v>
      </c>
      <c r="B2180" s="158">
        <v>5.0</v>
      </c>
      <c r="C2180" s="157" t="s">
        <v>652</v>
      </c>
      <c r="D2180" s="157" t="s">
        <v>653</v>
      </c>
      <c r="E2180" s="157" t="s">
        <v>654</v>
      </c>
      <c r="F2180" s="162" t="s">
        <v>6402</v>
      </c>
      <c r="G2180" s="157" t="s">
        <v>6403</v>
      </c>
      <c r="H2180" s="157"/>
      <c r="I2180" s="158">
        <v>9.99102497589075</v>
      </c>
      <c r="J2180" s="158">
        <v>54.0829600845935</v>
      </c>
      <c r="K2180" s="157" t="s">
        <v>6404</v>
      </c>
      <c r="L2180" s="157" t="s">
        <v>648</v>
      </c>
      <c r="M2180" s="158">
        <v>2022.0</v>
      </c>
      <c r="N2180" s="157" t="s">
        <v>116</v>
      </c>
      <c r="O2180" s="157" t="s">
        <v>658</v>
      </c>
      <c r="P2180" s="161" t="b">
        <v>1</v>
      </c>
      <c r="Q2180" s="158">
        <v>0.417</v>
      </c>
      <c r="R2180" s="158">
        <v>0.0</v>
      </c>
      <c r="S2180" s="158">
        <v>0.417</v>
      </c>
      <c r="T2180" s="157" t="s">
        <v>116</v>
      </c>
      <c r="U2180" s="46" t="s">
        <v>651</v>
      </c>
      <c r="V2180" s="46" t="b">
        <v>1</v>
      </c>
      <c r="W2180" s="46">
        <v>0.95</v>
      </c>
      <c r="X2180" s="46">
        <v>0.0</v>
      </c>
      <c r="Y2180" s="46">
        <v>27.0990684735747</v>
      </c>
      <c r="Z2180" s="46" t="b">
        <v>1</v>
      </c>
      <c r="AA2180" s="46" t="b">
        <v>1</v>
      </c>
    </row>
    <row r="2181">
      <c r="A2181" s="157" t="s">
        <v>557</v>
      </c>
      <c r="B2181" s="158">
        <v>5.0</v>
      </c>
      <c r="C2181" s="157" t="s">
        <v>652</v>
      </c>
      <c r="D2181" s="157" t="s">
        <v>653</v>
      </c>
      <c r="E2181" s="157" t="s">
        <v>654</v>
      </c>
      <c r="F2181" s="162" t="s">
        <v>6405</v>
      </c>
      <c r="G2181" s="157" t="s">
        <v>5479</v>
      </c>
      <c r="H2181" s="157"/>
      <c r="I2181" s="158">
        <v>6.82300187851178</v>
      </c>
      <c r="J2181" s="158">
        <v>51.2256732427171</v>
      </c>
      <c r="K2181" s="157" t="s">
        <v>5480</v>
      </c>
      <c r="L2181" s="157" t="s">
        <v>648</v>
      </c>
      <c r="M2181" s="158">
        <v>2022.0</v>
      </c>
      <c r="N2181" s="157" t="s">
        <v>116</v>
      </c>
      <c r="O2181" s="157" t="s">
        <v>658</v>
      </c>
      <c r="P2181" s="161" t="b">
        <v>1</v>
      </c>
      <c r="Q2181" s="158">
        <v>0.415</v>
      </c>
      <c r="R2181" s="158">
        <v>0.0</v>
      </c>
      <c r="S2181" s="158">
        <v>0.415</v>
      </c>
      <c r="T2181" s="157" t="s">
        <v>116</v>
      </c>
      <c r="U2181" s="46" t="s">
        <v>651</v>
      </c>
      <c r="V2181" s="46" t="b">
        <v>1</v>
      </c>
      <c r="W2181" s="46">
        <v>0.95</v>
      </c>
      <c r="X2181" s="46">
        <v>0.0</v>
      </c>
      <c r="Y2181" s="46">
        <v>4.13734506358107</v>
      </c>
      <c r="Z2181" s="46" t="b">
        <v>1</v>
      </c>
      <c r="AA2181" s="46" t="b">
        <v>1</v>
      </c>
    </row>
    <row r="2182">
      <c r="A2182" s="157" t="s">
        <v>557</v>
      </c>
      <c r="B2182" s="158">
        <v>5.0</v>
      </c>
      <c r="C2182" s="157" t="s">
        <v>652</v>
      </c>
      <c r="D2182" s="157" t="s">
        <v>653</v>
      </c>
      <c r="E2182" s="157" t="s">
        <v>654</v>
      </c>
      <c r="F2182" s="162" t="s">
        <v>6406</v>
      </c>
      <c r="G2182" s="157" t="s">
        <v>6407</v>
      </c>
      <c r="H2182" s="157"/>
      <c r="I2182" s="158">
        <v>9.84919743169047</v>
      </c>
      <c r="J2182" s="158">
        <v>51.3180987716012</v>
      </c>
      <c r="K2182" s="157" t="s">
        <v>6408</v>
      </c>
      <c r="L2182" s="157" t="s">
        <v>648</v>
      </c>
      <c r="M2182" s="158">
        <v>2022.0</v>
      </c>
      <c r="N2182" s="157" t="s">
        <v>116</v>
      </c>
      <c r="O2182" s="157" t="s">
        <v>658</v>
      </c>
      <c r="P2182" s="161" t="b">
        <v>1</v>
      </c>
      <c r="Q2182" s="158">
        <v>0.388</v>
      </c>
      <c r="R2182" s="158">
        <v>0.0</v>
      </c>
      <c r="S2182" s="158">
        <v>0.388</v>
      </c>
      <c r="T2182" s="157" t="s">
        <v>116</v>
      </c>
      <c r="U2182" s="46" t="s">
        <v>651</v>
      </c>
      <c r="V2182" s="46" t="b">
        <v>1</v>
      </c>
      <c r="W2182" s="46">
        <v>0.95</v>
      </c>
      <c r="X2182" s="46">
        <v>0.0</v>
      </c>
      <c r="Y2182" s="46">
        <v>78.9053705599255</v>
      </c>
      <c r="Z2182" s="46" t="b">
        <v>0</v>
      </c>
      <c r="AA2182" s="46" t="b">
        <v>1</v>
      </c>
    </row>
    <row r="2183">
      <c r="A2183" s="157" t="s">
        <v>557</v>
      </c>
      <c r="B2183" s="158">
        <v>5.0</v>
      </c>
      <c r="C2183" s="157" t="s">
        <v>652</v>
      </c>
      <c r="D2183" s="157" t="s">
        <v>653</v>
      </c>
      <c r="E2183" s="157" t="s">
        <v>654</v>
      </c>
      <c r="F2183" s="162" t="s">
        <v>6409</v>
      </c>
      <c r="G2183" s="157" t="s">
        <v>6410</v>
      </c>
      <c r="H2183" s="157"/>
      <c r="I2183" s="158">
        <v>14.6405265190962</v>
      </c>
      <c r="J2183" s="158">
        <v>52.17257779</v>
      </c>
      <c r="K2183" s="157" t="s">
        <v>5134</v>
      </c>
      <c r="L2183" s="157" t="s">
        <v>648</v>
      </c>
      <c r="M2183" s="158">
        <v>2022.0</v>
      </c>
      <c r="N2183" s="157" t="s">
        <v>116</v>
      </c>
      <c r="O2183" s="157" t="s">
        <v>658</v>
      </c>
      <c r="P2183" s="161" t="b">
        <v>1</v>
      </c>
      <c r="Q2183" s="158">
        <v>0.364</v>
      </c>
      <c r="R2183" s="158">
        <v>0.0</v>
      </c>
      <c r="S2183" s="158">
        <v>0.364</v>
      </c>
      <c r="T2183" s="157" t="s">
        <v>116</v>
      </c>
      <c r="U2183" s="46" t="s">
        <v>651</v>
      </c>
      <c r="V2183" s="46" t="b">
        <v>1</v>
      </c>
      <c r="W2183" s="46">
        <v>0.95</v>
      </c>
      <c r="X2183" s="46">
        <v>0.0</v>
      </c>
      <c r="Y2183" s="46">
        <v>21.713460421547</v>
      </c>
      <c r="Z2183" s="46" t="b">
        <v>1</v>
      </c>
      <c r="AA2183" s="46" t="b">
        <v>1</v>
      </c>
    </row>
    <row r="2184">
      <c r="A2184" s="157" t="s">
        <v>557</v>
      </c>
      <c r="B2184" s="158">
        <v>5.0</v>
      </c>
      <c r="C2184" s="157" t="s">
        <v>652</v>
      </c>
      <c r="D2184" s="157" t="s">
        <v>653</v>
      </c>
      <c r="E2184" s="157" t="s">
        <v>654</v>
      </c>
      <c r="F2184" s="162" t="s">
        <v>6411</v>
      </c>
      <c r="G2184" s="157" t="s">
        <v>6412</v>
      </c>
      <c r="H2184" s="157"/>
      <c r="I2184" s="158">
        <v>6.94884604115381</v>
      </c>
      <c r="J2184" s="158">
        <v>51.00687721</v>
      </c>
      <c r="K2184" s="157" t="s">
        <v>4090</v>
      </c>
      <c r="L2184" s="157" t="s">
        <v>648</v>
      </c>
      <c r="M2184" s="158">
        <v>2022.0</v>
      </c>
      <c r="N2184" s="157" t="s">
        <v>116</v>
      </c>
      <c r="O2184" s="157" t="s">
        <v>658</v>
      </c>
      <c r="P2184" s="161" t="b">
        <v>1</v>
      </c>
      <c r="Q2184" s="158">
        <v>0.358</v>
      </c>
      <c r="R2184" s="158">
        <v>0.0</v>
      </c>
      <c r="S2184" s="158">
        <v>0.358</v>
      </c>
      <c r="T2184" s="157" t="s">
        <v>116</v>
      </c>
      <c r="U2184" s="46" t="s">
        <v>651</v>
      </c>
      <c r="V2184" s="46" t="b">
        <v>1</v>
      </c>
      <c r="W2184" s="46">
        <v>0.95</v>
      </c>
      <c r="X2184" s="46">
        <v>0.0</v>
      </c>
      <c r="Y2184" s="46">
        <v>11.2999898611811</v>
      </c>
      <c r="Z2184" s="46" t="b">
        <v>1</v>
      </c>
      <c r="AA2184" s="46" t="b">
        <v>1</v>
      </c>
    </row>
    <row r="2185">
      <c r="A2185" s="157" t="s">
        <v>557</v>
      </c>
      <c r="B2185" s="158">
        <v>5.0</v>
      </c>
      <c r="C2185" s="157" t="s">
        <v>652</v>
      </c>
      <c r="D2185" s="157" t="s">
        <v>653</v>
      </c>
      <c r="E2185" s="157" t="s">
        <v>654</v>
      </c>
      <c r="F2185" s="162" t="s">
        <v>6413</v>
      </c>
      <c r="G2185" s="157" t="s">
        <v>6414</v>
      </c>
      <c r="H2185" s="157"/>
      <c r="I2185" s="158">
        <v>14.3649474517534</v>
      </c>
      <c r="J2185" s="158">
        <v>51.52853689647</v>
      </c>
      <c r="K2185" s="157" t="s">
        <v>5388</v>
      </c>
      <c r="L2185" s="157" t="s">
        <v>648</v>
      </c>
      <c r="M2185" s="158">
        <v>2022.0</v>
      </c>
      <c r="N2185" s="157" t="s">
        <v>116</v>
      </c>
      <c r="O2185" s="157" t="s">
        <v>658</v>
      </c>
      <c r="P2185" s="161" t="b">
        <v>1</v>
      </c>
      <c r="Q2185" s="158">
        <v>0.324</v>
      </c>
      <c r="R2185" s="158">
        <v>0.0</v>
      </c>
      <c r="S2185" s="158">
        <v>0.324</v>
      </c>
      <c r="T2185" s="157" t="s">
        <v>116</v>
      </c>
      <c r="U2185" s="46" t="s">
        <v>651</v>
      </c>
      <c r="V2185" s="46" t="b">
        <v>1</v>
      </c>
      <c r="W2185" s="46">
        <v>0.95</v>
      </c>
      <c r="X2185" s="46">
        <v>0.0</v>
      </c>
      <c r="Y2185" s="46">
        <v>1.10520755042281</v>
      </c>
      <c r="Z2185" s="46" t="b">
        <v>1</v>
      </c>
      <c r="AA2185" s="46" t="b">
        <v>1</v>
      </c>
    </row>
    <row r="2186">
      <c r="A2186" s="157" t="s">
        <v>557</v>
      </c>
      <c r="B2186" s="158">
        <v>5.0</v>
      </c>
      <c r="C2186" s="157" t="s">
        <v>652</v>
      </c>
      <c r="D2186" s="157" t="s">
        <v>653</v>
      </c>
      <c r="E2186" s="157" t="s">
        <v>654</v>
      </c>
      <c r="F2186" s="162" t="s">
        <v>6415</v>
      </c>
      <c r="G2186" s="157" t="s">
        <v>6416</v>
      </c>
      <c r="H2186" s="157"/>
      <c r="I2186" s="158">
        <v>9.9347254971451</v>
      </c>
      <c r="J2186" s="158">
        <v>53.5211662263952</v>
      </c>
      <c r="K2186" s="157" t="s">
        <v>903</v>
      </c>
      <c r="L2186" s="157" t="s">
        <v>648</v>
      </c>
      <c r="M2186" s="158">
        <v>2022.0</v>
      </c>
      <c r="N2186" s="157" t="s">
        <v>116</v>
      </c>
      <c r="O2186" s="157" t="s">
        <v>658</v>
      </c>
      <c r="P2186" s="161" t="b">
        <v>1</v>
      </c>
      <c r="Q2186" s="158">
        <v>0.32</v>
      </c>
      <c r="R2186" s="158">
        <v>0.0</v>
      </c>
      <c r="S2186" s="158">
        <v>0.32</v>
      </c>
      <c r="T2186" s="157" t="s">
        <v>116</v>
      </c>
      <c r="U2186" s="46" t="s">
        <v>651</v>
      </c>
      <c r="V2186" s="46" t="b">
        <v>1</v>
      </c>
      <c r="W2186" s="46">
        <v>0.95</v>
      </c>
      <c r="X2186" s="46">
        <v>0.0</v>
      </c>
      <c r="Y2186" s="46">
        <v>6.08522845063964</v>
      </c>
      <c r="Z2186" s="46" t="b">
        <v>1</v>
      </c>
      <c r="AA2186" s="46" t="b">
        <v>1</v>
      </c>
    </row>
    <row r="2187">
      <c r="A2187" s="157" t="s">
        <v>557</v>
      </c>
      <c r="B2187" s="158">
        <v>5.0</v>
      </c>
      <c r="C2187" s="157" t="s">
        <v>652</v>
      </c>
      <c r="D2187" s="157" t="s">
        <v>653</v>
      </c>
      <c r="E2187" s="157" t="s">
        <v>654</v>
      </c>
      <c r="F2187" s="162" t="s">
        <v>6417</v>
      </c>
      <c r="G2187" s="157" t="s">
        <v>6418</v>
      </c>
      <c r="H2187" s="157"/>
      <c r="I2187" s="158">
        <v>10.2245426306666</v>
      </c>
      <c r="J2187" s="158">
        <v>53.6192816698957</v>
      </c>
      <c r="K2187" s="157" t="s">
        <v>6419</v>
      </c>
      <c r="L2187" s="157" t="s">
        <v>648</v>
      </c>
      <c r="M2187" s="158">
        <v>2022.0</v>
      </c>
      <c r="N2187" s="157" t="s">
        <v>116</v>
      </c>
      <c r="O2187" s="157" t="s">
        <v>658</v>
      </c>
      <c r="P2187" s="161" t="b">
        <v>1</v>
      </c>
      <c r="Q2187" s="158">
        <v>0.299</v>
      </c>
      <c r="R2187" s="158">
        <v>0.0</v>
      </c>
      <c r="S2187" s="158">
        <v>0.299</v>
      </c>
      <c r="T2187" s="157" t="s">
        <v>116</v>
      </c>
      <c r="U2187" s="46" t="s">
        <v>651</v>
      </c>
      <c r="V2187" s="46" t="b">
        <v>1</v>
      </c>
      <c r="W2187" s="46">
        <v>0.95</v>
      </c>
      <c r="X2187" s="46">
        <v>0.0</v>
      </c>
      <c r="Y2187" s="46">
        <v>6.96184631930908</v>
      </c>
      <c r="Z2187" s="46" t="b">
        <v>1</v>
      </c>
      <c r="AA2187" s="46" t="b">
        <v>1</v>
      </c>
    </row>
    <row r="2188">
      <c r="A2188" s="157" t="s">
        <v>557</v>
      </c>
      <c r="B2188" s="158">
        <v>5.0</v>
      </c>
      <c r="C2188" s="157" t="s">
        <v>652</v>
      </c>
      <c r="D2188" s="157" t="s">
        <v>653</v>
      </c>
      <c r="E2188" s="157" t="s">
        <v>654</v>
      </c>
      <c r="F2188" s="162" t="s">
        <v>6420</v>
      </c>
      <c r="G2188" s="157" t="s">
        <v>6421</v>
      </c>
      <c r="H2188" s="157"/>
      <c r="I2188" s="158">
        <v>13.8307896044107</v>
      </c>
      <c r="J2188" s="158">
        <v>52.4906540453051</v>
      </c>
      <c r="K2188" s="157" t="s">
        <v>3675</v>
      </c>
      <c r="L2188" s="157" t="s">
        <v>648</v>
      </c>
      <c r="M2188" s="158">
        <v>2022.0</v>
      </c>
      <c r="N2188" s="157" t="s">
        <v>116</v>
      </c>
      <c r="O2188" s="157" t="s">
        <v>658</v>
      </c>
      <c r="P2188" s="161" t="b">
        <v>1</v>
      </c>
      <c r="Q2188" s="158">
        <v>0.283</v>
      </c>
      <c r="R2188" s="158">
        <v>0.0</v>
      </c>
      <c r="S2188" s="158">
        <v>0.283</v>
      </c>
      <c r="T2188" s="157" t="s">
        <v>116</v>
      </c>
      <c r="U2188" s="46" t="s">
        <v>651</v>
      </c>
      <c r="V2188" s="46" t="b">
        <v>1</v>
      </c>
      <c r="W2188" s="46">
        <v>0.95</v>
      </c>
      <c r="X2188" s="46">
        <v>0.0</v>
      </c>
      <c r="Y2188" s="46">
        <v>10.0417202291795</v>
      </c>
      <c r="Z2188" s="46" t="b">
        <v>1</v>
      </c>
      <c r="AA2188" s="46" t="b">
        <v>1</v>
      </c>
    </row>
    <row r="2189">
      <c r="A2189" s="157" t="s">
        <v>557</v>
      </c>
      <c r="B2189" s="158">
        <v>5.0</v>
      </c>
      <c r="C2189" s="157" t="s">
        <v>652</v>
      </c>
      <c r="D2189" s="157" t="s">
        <v>653</v>
      </c>
      <c r="E2189" s="157" t="s">
        <v>654</v>
      </c>
      <c r="F2189" s="162" t="s">
        <v>6422</v>
      </c>
      <c r="G2189" s="157" t="s">
        <v>6423</v>
      </c>
      <c r="H2189" s="157"/>
      <c r="I2189" s="158">
        <v>9.998113272</v>
      </c>
      <c r="J2189" s="158">
        <v>50.8932997521558</v>
      </c>
      <c r="K2189" s="157" t="s">
        <v>6157</v>
      </c>
      <c r="L2189" s="157" t="s">
        <v>648</v>
      </c>
      <c r="M2189" s="158">
        <v>2022.0</v>
      </c>
      <c r="N2189" s="157" t="s">
        <v>116</v>
      </c>
      <c r="O2189" s="157" t="s">
        <v>658</v>
      </c>
      <c r="P2189" s="161" t="b">
        <v>1</v>
      </c>
      <c r="Q2189" s="158">
        <v>0.281</v>
      </c>
      <c r="R2189" s="158">
        <v>0.0</v>
      </c>
      <c r="S2189" s="158">
        <v>0.281</v>
      </c>
      <c r="T2189" s="157" t="s">
        <v>116</v>
      </c>
      <c r="U2189" s="46" t="s">
        <v>651</v>
      </c>
      <c r="V2189" s="46" t="b">
        <v>1</v>
      </c>
      <c r="W2189" s="46">
        <v>0.95</v>
      </c>
      <c r="X2189" s="46">
        <v>0.0</v>
      </c>
      <c r="Y2189" s="46">
        <v>107.743141185472</v>
      </c>
      <c r="Z2189" s="46" t="b">
        <v>0</v>
      </c>
      <c r="AA2189" s="46" t="b">
        <v>0</v>
      </c>
    </row>
    <row r="2190">
      <c r="A2190" s="157" t="s">
        <v>557</v>
      </c>
      <c r="B2190" s="158">
        <v>5.0</v>
      </c>
      <c r="C2190" s="157" t="s">
        <v>652</v>
      </c>
      <c r="D2190" s="157" t="s">
        <v>653</v>
      </c>
      <c r="E2190" s="157" t="s">
        <v>654</v>
      </c>
      <c r="F2190" s="162" t="s">
        <v>6424</v>
      </c>
      <c r="G2190" s="157" t="s">
        <v>6425</v>
      </c>
      <c r="H2190" s="157"/>
      <c r="I2190" s="158">
        <v>7.07750000287546</v>
      </c>
      <c r="J2190" s="158">
        <v>50.7336148391428</v>
      </c>
      <c r="K2190" s="157" t="s">
        <v>5634</v>
      </c>
      <c r="L2190" s="157" t="s">
        <v>648</v>
      </c>
      <c r="M2190" s="158">
        <v>2022.0</v>
      </c>
      <c r="N2190" s="157" t="s">
        <v>116</v>
      </c>
      <c r="O2190" s="157" t="s">
        <v>658</v>
      </c>
      <c r="P2190" s="161" t="b">
        <v>1</v>
      </c>
      <c r="Q2190" s="158">
        <v>0.279</v>
      </c>
      <c r="R2190" s="158">
        <v>0.0</v>
      </c>
      <c r="S2190" s="158">
        <v>0.279</v>
      </c>
      <c r="T2190" s="157" t="s">
        <v>116</v>
      </c>
      <c r="U2190" s="46" t="s">
        <v>651</v>
      </c>
      <c r="V2190" s="46" t="b">
        <v>1</v>
      </c>
      <c r="W2190" s="46">
        <v>0.95</v>
      </c>
      <c r="X2190" s="46">
        <v>0.0</v>
      </c>
      <c r="Y2190" s="46">
        <v>6.77890787602945</v>
      </c>
      <c r="Z2190" s="46" t="b">
        <v>1</v>
      </c>
      <c r="AA2190" s="46" t="b">
        <v>1</v>
      </c>
    </row>
    <row r="2191">
      <c r="A2191" s="157" t="s">
        <v>557</v>
      </c>
      <c r="B2191" s="158">
        <v>5.0</v>
      </c>
      <c r="C2191" s="157" t="s">
        <v>652</v>
      </c>
      <c r="D2191" s="157" t="s">
        <v>653</v>
      </c>
      <c r="E2191" s="157" t="s">
        <v>654</v>
      </c>
      <c r="F2191" s="162" t="s">
        <v>6426</v>
      </c>
      <c r="G2191" s="157" t="s">
        <v>6427</v>
      </c>
      <c r="H2191" s="157"/>
      <c r="I2191" s="158">
        <v>9.85302739712608</v>
      </c>
      <c r="J2191" s="158">
        <v>52.4120907885903</v>
      </c>
      <c r="K2191" s="157" t="s">
        <v>3709</v>
      </c>
      <c r="L2191" s="157" t="s">
        <v>648</v>
      </c>
      <c r="M2191" s="158">
        <v>2022.0</v>
      </c>
      <c r="N2191" s="157" t="s">
        <v>116</v>
      </c>
      <c r="O2191" s="157" t="s">
        <v>658</v>
      </c>
      <c r="P2191" s="161" t="b">
        <v>1</v>
      </c>
      <c r="Q2191" s="158">
        <v>0.267</v>
      </c>
      <c r="R2191" s="158">
        <v>0.0</v>
      </c>
      <c r="S2191" s="158">
        <v>0.267</v>
      </c>
      <c r="T2191" s="157" t="s">
        <v>116</v>
      </c>
      <c r="U2191" s="46" t="s">
        <v>651</v>
      </c>
      <c r="V2191" s="46" t="b">
        <v>1</v>
      </c>
      <c r="W2191" s="46">
        <v>0.95</v>
      </c>
      <c r="X2191" s="46">
        <v>0.0</v>
      </c>
      <c r="Y2191" s="46">
        <v>6.27166396437258</v>
      </c>
      <c r="Z2191" s="46" t="b">
        <v>1</v>
      </c>
      <c r="AA2191" s="46" t="b">
        <v>1</v>
      </c>
    </row>
    <row r="2192">
      <c r="A2192" s="157" t="s">
        <v>557</v>
      </c>
      <c r="B2192" s="158">
        <v>5.0</v>
      </c>
      <c r="C2192" s="157" t="s">
        <v>652</v>
      </c>
      <c r="D2192" s="157" t="s">
        <v>653</v>
      </c>
      <c r="E2192" s="157" t="s">
        <v>654</v>
      </c>
      <c r="F2192" s="162" t="s">
        <v>6428</v>
      </c>
      <c r="G2192" s="157" t="s">
        <v>6429</v>
      </c>
      <c r="H2192" s="157"/>
      <c r="I2192" s="158">
        <v>7.74479304914708</v>
      </c>
      <c r="J2192" s="158">
        <v>51.6800564497571</v>
      </c>
      <c r="K2192" s="157" t="s">
        <v>5508</v>
      </c>
      <c r="L2192" s="157" t="s">
        <v>648</v>
      </c>
      <c r="M2192" s="158">
        <v>2022.0</v>
      </c>
      <c r="N2192" s="157" t="s">
        <v>116</v>
      </c>
      <c r="O2192" s="157" t="s">
        <v>658</v>
      </c>
      <c r="P2192" s="161" t="b">
        <v>1</v>
      </c>
      <c r="Q2192" s="158">
        <v>0.25</v>
      </c>
      <c r="R2192" s="158">
        <v>0.0</v>
      </c>
      <c r="S2192" s="158">
        <v>0.25</v>
      </c>
      <c r="T2192" s="157" t="s">
        <v>116</v>
      </c>
      <c r="U2192" s="46" t="s">
        <v>651</v>
      </c>
      <c r="V2192" s="46" t="b">
        <v>1</v>
      </c>
      <c r="W2192" s="46">
        <v>0.95</v>
      </c>
      <c r="X2192" s="46">
        <v>0.0</v>
      </c>
      <c r="Y2192" s="164">
        <v>2.54476094711747E-7</v>
      </c>
      <c r="Z2192" s="46" t="b">
        <v>1</v>
      </c>
      <c r="AA2192" s="46" t="b">
        <v>1</v>
      </c>
    </row>
    <row r="2193">
      <c r="A2193" s="157" t="s">
        <v>557</v>
      </c>
      <c r="B2193" s="158">
        <v>5.0</v>
      </c>
      <c r="C2193" s="157" t="s">
        <v>652</v>
      </c>
      <c r="D2193" s="157" t="s">
        <v>653</v>
      </c>
      <c r="E2193" s="157" t="s">
        <v>654</v>
      </c>
      <c r="F2193" s="162" t="s">
        <v>6430</v>
      </c>
      <c r="G2193" s="157" t="s">
        <v>6431</v>
      </c>
      <c r="H2193" s="157"/>
      <c r="I2193" s="158">
        <v>10.9332461415157</v>
      </c>
      <c r="J2193" s="158">
        <v>48.4021264514526</v>
      </c>
      <c r="K2193" s="157" t="s">
        <v>6432</v>
      </c>
      <c r="L2193" s="157" t="s">
        <v>648</v>
      </c>
      <c r="M2193" s="158">
        <v>2022.0</v>
      </c>
      <c r="N2193" s="157" t="s">
        <v>116</v>
      </c>
      <c r="O2193" s="157" t="s">
        <v>658</v>
      </c>
      <c r="P2193" s="161" t="b">
        <v>1</v>
      </c>
      <c r="Q2193" s="158">
        <v>0.244</v>
      </c>
      <c r="R2193" s="158">
        <v>0.0</v>
      </c>
      <c r="S2193" s="158">
        <v>0.244</v>
      </c>
      <c r="T2193" s="157" t="s">
        <v>116</v>
      </c>
      <c r="U2193" s="46" t="s">
        <v>651</v>
      </c>
      <c r="V2193" s="46" t="b">
        <v>1</v>
      </c>
      <c r="W2193" s="46">
        <v>0.95</v>
      </c>
      <c r="X2193" s="46">
        <v>0.0</v>
      </c>
      <c r="Y2193" s="46">
        <v>56.7408246332294</v>
      </c>
      <c r="Z2193" s="46" t="b">
        <v>0</v>
      </c>
      <c r="AA2193" s="46" t="b">
        <v>1</v>
      </c>
    </row>
    <row r="2194">
      <c r="A2194" s="157" t="s">
        <v>557</v>
      </c>
      <c r="B2194" s="158">
        <v>5.0</v>
      </c>
      <c r="C2194" s="157" t="s">
        <v>652</v>
      </c>
      <c r="D2194" s="157" t="s">
        <v>653</v>
      </c>
      <c r="E2194" s="157" t="s">
        <v>654</v>
      </c>
      <c r="F2194" s="162" t="s">
        <v>6433</v>
      </c>
      <c r="G2194" s="157" t="s">
        <v>6434</v>
      </c>
      <c r="H2194" s="157"/>
      <c r="I2194" s="158">
        <v>12.7346892480832</v>
      </c>
      <c r="J2194" s="158">
        <v>48.1851584569565</v>
      </c>
      <c r="K2194" s="157" t="s">
        <v>5593</v>
      </c>
      <c r="L2194" s="157" t="s">
        <v>648</v>
      </c>
      <c r="M2194" s="158">
        <v>2022.0</v>
      </c>
      <c r="N2194" s="157" t="s">
        <v>116</v>
      </c>
      <c r="O2194" s="157" t="s">
        <v>658</v>
      </c>
      <c r="P2194" s="161" t="b">
        <v>1</v>
      </c>
      <c r="Q2194" s="158">
        <v>0.238</v>
      </c>
      <c r="R2194" s="158">
        <v>0.0</v>
      </c>
      <c r="S2194" s="158">
        <v>0.238</v>
      </c>
      <c r="T2194" s="157" t="s">
        <v>116</v>
      </c>
      <c r="U2194" s="46" t="s">
        <v>651</v>
      </c>
      <c r="V2194" s="46" t="b">
        <v>1</v>
      </c>
      <c r="W2194" s="46">
        <v>0.95</v>
      </c>
      <c r="X2194" s="46">
        <v>0.0</v>
      </c>
      <c r="Y2194" s="46">
        <v>6.56497897829758</v>
      </c>
      <c r="Z2194" s="46" t="b">
        <v>1</v>
      </c>
      <c r="AA2194" s="46" t="b">
        <v>1</v>
      </c>
    </row>
    <row r="2195">
      <c r="A2195" s="157" t="s">
        <v>557</v>
      </c>
      <c r="B2195" s="158">
        <v>5.0</v>
      </c>
      <c r="C2195" s="157" t="s">
        <v>652</v>
      </c>
      <c r="D2195" s="157" t="s">
        <v>653</v>
      </c>
      <c r="E2195" s="157" t="s">
        <v>654</v>
      </c>
      <c r="F2195" s="162" t="s">
        <v>6435</v>
      </c>
      <c r="G2195" s="157" t="s">
        <v>6436</v>
      </c>
      <c r="H2195" s="157"/>
      <c r="I2195" s="158">
        <v>11.4929794497033</v>
      </c>
      <c r="J2195" s="158">
        <v>48.7643392746809</v>
      </c>
      <c r="K2195" s="157" t="s">
        <v>6437</v>
      </c>
      <c r="L2195" s="157" t="s">
        <v>648</v>
      </c>
      <c r="M2195" s="158">
        <v>2022.0</v>
      </c>
      <c r="N2195" s="157" t="s">
        <v>116</v>
      </c>
      <c r="O2195" s="157" t="s">
        <v>658</v>
      </c>
      <c r="P2195" s="161" t="b">
        <v>1</v>
      </c>
      <c r="Q2195" s="158">
        <v>0.234</v>
      </c>
      <c r="R2195" s="158">
        <v>0.0</v>
      </c>
      <c r="S2195" s="158">
        <v>0.234</v>
      </c>
      <c r="T2195" s="157" t="s">
        <v>116</v>
      </c>
      <c r="U2195" s="46" t="s">
        <v>651</v>
      </c>
      <c r="V2195" s="46" t="b">
        <v>1</v>
      </c>
      <c r="W2195" s="46">
        <v>0.95</v>
      </c>
      <c r="X2195" s="46">
        <v>0.0</v>
      </c>
      <c r="Y2195" s="46">
        <v>20.5177988659817</v>
      </c>
      <c r="Z2195" s="46" t="b">
        <v>1</v>
      </c>
      <c r="AA2195" s="46" t="b">
        <v>1</v>
      </c>
    </row>
    <row r="2196">
      <c r="A2196" s="157" t="s">
        <v>557</v>
      </c>
      <c r="B2196" s="158">
        <v>5.0</v>
      </c>
      <c r="C2196" s="157" t="s">
        <v>652</v>
      </c>
      <c r="D2196" s="157" t="s">
        <v>653</v>
      </c>
      <c r="E2196" s="157" t="s">
        <v>654</v>
      </c>
      <c r="F2196" s="162" t="s">
        <v>6438</v>
      </c>
      <c r="G2196" s="157" t="s">
        <v>6439</v>
      </c>
      <c r="H2196" s="157"/>
      <c r="I2196" s="158">
        <v>13.977446475568</v>
      </c>
      <c r="J2196" s="158">
        <v>51.5819631701437</v>
      </c>
      <c r="K2196" s="157" t="s">
        <v>6440</v>
      </c>
      <c r="L2196" s="157" t="s">
        <v>648</v>
      </c>
      <c r="M2196" s="158">
        <v>2022.0</v>
      </c>
      <c r="N2196" s="157" t="s">
        <v>116</v>
      </c>
      <c r="O2196" s="157" t="s">
        <v>658</v>
      </c>
      <c r="P2196" s="161" t="b">
        <v>1</v>
      </c>
      <c r="Q2196" s="158">
        <v>0.229</v>
      </c>
      <c r="R2196" s="158">
        <v>0.0</v>
      </c>
      <c r="S2196" s="158">
        <v>0.229</v>
      </c>
      <c r="T2196" s="157" t="s">
        <v>116</v>
      </c>
      <c r="U2196" s="46" t="s">
        <v>651</v>
      </c>
      <c r="V2196" s="46" t="b">
        <v>1</v>
      </c>
      <c r="W2196" s="46">
        <v>0.95</v>
      </c>
      <c r="X2196" s="46">
        <v>0.0</v>
      </c>
      <c r="Y2196" s="46">
        <v>1.69443626685848</v>
      </c>
      <c r="Z2196" s="46" t="b">
        <v>1</v>
      </c>
      <c r="AA2196" s="46" t="b">
        <v>1</v>
      </c>
    </row>
    <row r="2197">
      <c r="A2197" s="157" t="s">
        <v>557</v>
      </c>
      <c r="B2197" s="158">
        <v>5.0</v>
      </c>
      <c r="C2197" s="157" t="s">
        <v>652</v>
      </c>
      <c r="D2197" s="157" t="s">
        <v>653</v>
      </c>
      <c r="E2197" s="157" t="s">
        <v>654</v>
      </c>
      <c r="F2197" s="162" t="s">
        <v>6441</v>
      </c>
      <c r="G2197" s="157" t="s">
        <v>6442</v>
      </c>
      <c r="H2197" s="157"/>
      <c r="I2197" s="158">
        <v>11.0554954330519</v>
      </c>
      <c r="J2197" s="158">
        <v>49.4355252064273</v>
      </c>
      <c r="K2197" s="157" t="s">
        <v>5524</v>
      </c>
      <c r="L2197" s="157" t="s">
        <v>648</v>
      </c>
      <c r="M2197" s="158">
        <v>2022.0</v>
      </c>
      <c r="N2197" s="157" t="s">
        <v>116</v>
      </c>
      <c r="O2197" s="157" t="s">
        <v>658</v>
      </c>
      <c r="P2197" s="161" t="b">
        <v>1</v>
      </c>
      <c r="Q2197" s="158">
        <v>0.218</v>
      </c>
      <c r="R2197" s="158">
        <v>0.0</v>
      </c>
      <c r="S2197" s="158">
        <v>0.218</v>
      </c>
      <c r="T2197" s="157" t="s">
        <v>116</v>
      </c>
      <c r="U2197" s="46" t="s">
        <v>651</v>
      </c>
      <c r="V2197" s="46" t="b">
        <v>1</v>
      </c>
      <c r="W2197" s="46">
        <v>0.95</v>
      </c>
      <c r="X2197" s="46">
        <v>0.0</v>
      </c>
      <c r="Y2197" s="46">
        <v>21.0161061957609</v>
      </c>
      <c r="Z2197" s="46" t="b">
        <v>1</v>
      </c>
      <c r="AA2197" s="46" t="b">
        <v>1</v>
      </c>
    </row>
    <row r="2198">
      <c r="A2198" s="157" t="s">
        <v>557</v>
      </c>
      <c r="B2198" s="158">
        <v>5.0</v>
      </c>
      <c r="C2198" s="157" t="s">
        <v>652</v>
      </c>
      <c r="D2198" s="157" t="s">
        <v>653</v>
      </c>
      <c r="E2198" s="157" t="s">
        <v>654</v>
      </c>
      <c r="F2198" s="162" t="s">
        <v>6443</v>
      </c>
      <c r="G2198" s="157" t="s">
        <v>6444</v>
      </c>
      <c r="H2198" s="157"/>
      <c r="I2198" s="158">
        <v>8.76892725388482</v>
      </c>
      <c r="J2198" s="158">
        <v>50.0648892703817</v>
      </c>
      <c r="K2198" s="157" t="s">
        <v>5577</v>
      </c>
      <c r="L2198" s="157" t="s">
        <v>648</v>
      </c>
      <c r="M2198" s="158">
        <v>2022.0</v>
      </c>
      <c r="N2198" s="157" t="s">
        <v>116</v>
      </c>
      <c r="O2198" s="157" t="s">
        <v>658</v>
      </c>
      <c r="P2198" s="161" t="b">
        <v>1</v>
      </c>
      <c r="Q2198" s="158">
        <v>0.205</v>
      </c>
      <c r="R2198" s="158">
        <v>0.0</v>
      </c>
      <c r="S2198" s="158">
        <v>0.205</v>
      </c>
      <c r="T2198" s="157" t="s">
        <v>116</v>
      </c>
      <c r="U2198" s="46" t="s">
        <v>651</v>
      </c>
      <c r="V2198" s="46" t="b">
        <v>1</v>
      </c>
      <c r="W2198" s="46">
        <v>0.95</v>
      </c>
      <c r="X2198" s="46">
        <v>0.0</v>
      </c>
      <c r="Y2198" s="46">
        <v>3.38358634686891</v>
      </c>
      <c r="Z2198" s="46" t="b">
        <v>1</v>
      </c>
      <c r="AA2198" s="46" t="b">
        <v>1</v>
      </c>
    </row>
    <row r="2199">
      <c r="A2199" s="157" t="s">
        <v>557</v>
      </c>
      <c r="B2199" s="158">
        <v>5.0</v>
      </c>
      <c r="C2199" s="157" t="s">
        <v>652</v>
      </c>
      <c r="D2199" s="157" t="s">
        <v>653</v>
      </c>
      <c r="E2199" s="157" t="s">
        <v>654</v>
      </c>
      <c r="F2199" s="162" t="s">
        <v>6445</v>
      </c>
      <c r="G2199" s="157" t="s">
        <v>6446</v>
      </c>
      <c r="H2199" s="157"/>
      <c r="I2199" s="158">
        <v>7.356391449</v>
      </c>
      <c r="J2199" s="158">
        <v>53.1806501616293</v>
      </c>
      <c r="K2199" s="157" t="s">
        <v>6447</v>
      </c>
      <c r="L2199" s="157" t="s">
        <v>648</v>
      </c>
      <c r="M2199" s="158">
        <v>2022.0</v>
      </c>
      <c r="N2199" s="157" t="s">
        <v>116</v>
      </c>
      <c r="O2199" s="157" t="s">
        <v>658</v>
      </c>
      <c r="P2199" s="161" t="b">
        <v>1</v>
      </c>
      <c r="Q2199" s="158">
        <v>0.203</v>
      </c>
      <c r="R2199" s="158">
        <v>0.0</v>
      </c>
      <c r="S2199" s="158">
        <v>0.203</v>
      </c>
      <c r="T2199" s="157" t="s">
        <v>116</v>
      </c>
      <c r="U2199" s="46" t="s">
        <v>651</v>
      </c>
      <c r="V2199" s="46" t="b">
        <v>1</v>
      </c>
      <c r="W2199" s="46">
        <v>0.95</v>
      </c>
      <c r="X2199" s="46">
        <v>0.0</v>
      </c>
      <c r="Y2199" s="46">
        <v>1.18418661057815</v>
      </c>
      <c r="Z2199" s="46" t="b">
        <v>1</v>
      </c>
      <c r="AA2199" s="46" t="b">
        <v>1</v>
      </c>
    </row>
    <row r="2200">
      <c r="A2200" s="157" t="s">
        <v>557</v>
      </c>
      <c r="B2200" s="158">
        <v>5.0</v>
      </c>
      <c r="C2200" s="157" t="s">
        <v>652</v>
      </c>
      <c r="D2200" s="157" t="s">
        <v>653</v>
      </c>
      <c r="E2200" s="157" t="s">
        <v>654</v>
      </c>
      <c r="F2200" s="162" t="s">
        <v>6448</v>
      </c>
      <c r="G2200" s="157" t="s">
        <v>6449</v>
      </c>
      <c r="H2200" s="157"/>
      <c r="I2200" s="158">
        <v>8.42635642156391</v>
      </c>
      <c r="J2200" s="158">
        <v>49.4846822000204</v>
      </c>
      <c r="K2200" s="157" t="s">
        <v>4792</v>
      </c>
      <c r="L2200" s="157" t="s">
        <v>648</v>
      </c>
      <c r="M2200" s="158">
        <v>2022.0</v>
      </c>
      <c r="N2200" s="157" t="s">
        <v>116</v>
      </c>
      <c r="O2200" s="157" t="s">
        <v>658</v>
      </c>
      <c r="P2200" s="161" t="b">
        <v>1</v>
      </c>
      <c r="Q2200" s="158">
        <v>0.201</v>
      </c>
      <c r="R2200" s="158">
        <v>0.0</v>
      </c>
      <c r="S2200" s="158">
        <v>0.201</v>
      </c>
      <c r="T2200" s="157" t="s">
        <v>116</v>
      </c>
      <c r="U2200" s="46" t="s">
        <v>651</v>
      </c>
      <c r="V2200" s="46" t="b">
        <v>1</v>
      </c>
      <c r="W2200" s="46">
        <v>0.95</v>
      </c>
      <c r="X2200" s="46">
        <v>0.0</v>
      </c>
      <c r="Y2200" s="46">
        <v>4.79443857299754</v>
      </c>
      <c r="Z2200" s="46" t="b">
        <v>1</v>
      </c>
      <c r="AA2200" s="46" t="b">
        <v>1</v>
      </c>
    </row>
    <row r="2201">
      <c r="A2201" s="157" t="s">
        <v>557</v>
      </c>
      <c r="B2201" s="158">
        <v>5.0</v>
      </c>
      <c r="C2201" s="157" t="s">
        <v>652</v>
      </c>
      <c r="D2201" s="157" t="s">
        <v>653</v>
      </c>
      <c r="E2201" s="157" t="s">
        <v>654</v>
      </c>
      <c r="F2201" s="162" t="s">
        <v>6450</v>
      </c>
      <c r="G2201" s="157" t="s">
        <v>6451</v>
      </c>
      <c r="H2201" s="157"/>
      <c r="I2201" s="158">
        <v>7.00420222599992</v>
      </c>
      <c r="J2201" s="158">
        <v>51.0423176878849</v>
      </c>
      <c r="K2201" s="157" t="s">
        <v>4894</v>
      </c>
      <c r="L2201" s="157" t="s">
        <v>648</v>
      </c>
      <c r="M2201" s="158">
        <v>2022.0</v>
      </c>
      <c r="N2201" s="157" t="s">
        <v>116</v>
      </c>
      <c r="O2201" s="157" t="s">
        <v>658</v>
      </c>
      <c r="P2201" s="161" t="b">
        <v>1</v>
      </c>
      <c r="Q2201" s="158">
        <v>0.193</v>
      </c>
      <c r="R2201" s="158">
        <v>0.0</v>
      </c>
      <c r="S2201" s="158">
        <v>0.193</v>
      </c>
      <c r="T2201" s="157" t="s">
        <v>116</v>
      </c>
      <c r="U2201" s="46" t="s">
        <v>651</v>
      </c>
      <c r="V2201" s="46" t="b">
        <v>1</v>
      </c>
      <c r="W2201" s="46">
        <v>0.95</v>
      </c>
      <c r="X2201" s="46">
        <v>0.0</v>
      </c>
      <c r="Y2201" s="46">
        <v>15.4336019825226</v>
      </c>
      <c r="Z2201" s="46" t="b">
        <v>1</v>
      </c>
      <c r="AA2201" s="46" t="b">
        <v>1</v>
      </c>
    </row>
    <row r="2202">
      <c r="A2202" s="157" t="s">
        <v>557</v>
      </c>
      <c r="B2202" s="158">
        <v>5.0</v>
      </c>
      <c r="C2202" s="157" t="s">
        <v>652</v>
      </c>
      <c r="D2202" s="157" t="s">
        <v>653</v>
      </c>
      <c r="E2202" s="157" t="s">
        <v>654</v>
      </c>
      <c r="F2202" s="162" t="s">
        <v>6452</v>
      </c>
      <c r="G2202" s="157" t="s">
        <v>6453</v>
      </c>
      <c r="H2202" s="157"/>
      <c r="I2202" s="158">
        <v>9.99459263769752</v>
      </c>
      <c r="J2202" s="158">
        <v>49.7926812312301</v>
      </c>
      <c r="K2202" s="157" t="s">
        <v>5616</v>
      </c>
      <c r="L2202" s="157" t="s">
        <v>648</v>
      </c>
      <c r="M2202" s="158">
        <v>2022.0</v>
      </c>
      <c r="N2202" s="157" t="s">
        <v>116</v>
      </c>
      <c r="O2202" s="157" t="s">
        <v>658</v>
      </c>
      <c r="P2202" s="161" t="b">
        <v>1</v>
      </c>
      <c r="Q2202" s="158">
        <v>0.187</v>
      </c>
      <c r="R2202" s="158">
        <v>0.0</v>
      </c>
      <c r="S2202" s="158">
        <v>0.187</v>
      </c>
      <c r="T2202" s="157" t="s">
        <v>116</v>
      </c>
      <c r="U2202" s="46" t="s">
        <v>651</v>
      </c>
      <c r="V2202" s="46" t="b">
        <v>1</v>
      </c>
      <c r="W2202" s="46">
        <v>0.95</v>
      </c>
      <c r="X2202" s="46">
        <v>0.0</v>
      </c>
      <c r="Y2202" s="46">
        <v>13.2295579458373</v>
      </c>
      <c r="Z2202" s="46" t="b">
        <v>1</v>
      </c>
      <c r="AA2202" s="46" t="b">
        <v>1</v>
      </c>
    </row>
    <row r="2203">
      <c r="A2203" s="157" t="s">
        <v>557</v>
      </c>
      <c r="B2203" s="158">
        <v>5.0</v>
      </c>
      <c r="C2203" s="157" t="s">
        <v>652</v>
      </c>
      <c r="D2203" s="157" t="s">
        <v>653</v>
      </c>
      <c r="E2203" s="157" t="s">
        <v>654</v>
      </c>
      <c r="F2203" s="162" t="s">
        <v>6454</v>
      </c>
      <c r="G2203" s="157" t="s">
        <v>6455</v>
      </c>
      <c r="H2203" s="157"/>
      <c r="I2203" s="158">
        <v>8.64630678452404</v>
      </c>
      <c r="J2203" s="158">
        <v>49.8841313310629</v>
      </c>
      <c r="K2203" s="157" t="s">
        <v>6456</v>
      </c>
      <c r="L2203" s="157" t="s">
        <v>648</v>
      </c>
      <c r="M2203" s="158">
        <v>2022.0</v>
      </c>
      <c r="N2203" s="157" t="s">
        <v>116</v>
      </c>
      <c r="O2203" s="157" t="s">
        <v>658</v>
      </c>
      <c r="P2203" s="161" t="b">
        <v>1</v>
      </c>
      <c r="Q2203" s="158">
        <v>0.171</v>
      </c>
      <c r="R2203" s="158">
        <v>0.0</v>
      </c>
      <c r="S2203" s="158">
        <v>0.171</v>
      </c>
      <c r="T2203" s="157" t="s">
        <v>116</v>
      </c>
      <c r="U2203" s="46" t="s">
        <v>651</v>
      </c>
      <c r="V2203" s="46" t="b">
        <v>1</v>
      </c>
      <c r="W2203" s="46">
        <v>0.95</v>
      </c>
      <c r="X2203" s="46">
        <v>0.0</v>
      </c>
      <c r="Y2203" s="46">
        <v>6.7088575775635</v>
      </c>
      <c r="Z2203" s="46" t="b">
        <v>1</v>
      </c>
      <c r="AA2203" s="46" t="b">
        <v>1</v>
      </c>
    </row>
    <row r="2204">
      <c r="A2204" s="157" t="s">
        <v>557</v>
      </c>
      <c r="B2204" s="158">
        <v>5.0</v>
      </c>
      <c r="C2204" s="157" t="s">
        <v>652</v>
      </c>
      <c r="D2204" s="157" t="s">
        <v>653</v>
      </c>
      <c r="E2204" s="157" t="s">
        <v>654</v>
      </c>
      <c r="F2204" s="162" t="s">
        <v>6457</v>
      </c>
      <c r="G2204" s="157" t="s">
        <v>6458</v>
      </c>
      <c r="H2204" s="157"/>
      <c r="I2204" s="158">
        <v>9.942925565</v>
      </c>
      <c r="J2204" s="158">
        <v>53.5345044139052</v>
      </c>
      <c r="K2204" s="157" t="s">
        <v>903</v>
      </c>
      <c r="L2204" s="157" t="s">
        <v>648</v>
      </c>
      <c r="M2204" s="158">
        <v>2022.0</v>
      </c>
      <c r="N2204" s="157" t="s">
        <v>116</v>
      </c>
      <c r="O2204" s="157" t="s">
        <v>658</v>
      </c>
      <c r="P2204" s="161" t="b">
        <v>1</v>
      </c>
      <c r="Q2204" s="158">
        <v>0.169</v>
      </c>
      <c r="R2204" s="158">
        <v>0.0</v>
      </c>
      <c r="S2204" s="158">
        <v>0.169</v>
      </c>
      <c r="T2204" s="157" t="s">
        <v>116</v>
      </c>
      <c r="U2204" s="46" t="s">
        <v>651</v>
      </c>
      <c r="V2204" s="46" t="b">
        <v>1</v>
      </c>
      <c r="W2204" s="46">
        <v>0.95</v>
      </c>
      <c r="X2204" s="46">
        <v>0.0</v>
      </c>
      <c r="Y2204" s="46">
        <v>7.49235780364013</v>
      </c>
      <c r="Z2204" s="46" t="b">
        <v>1</v>
      </c>
      <c r="AA2204" s="46" t="b">
        <v>1</v>
      </c>
    </row>
    <row r="2205">
      <c r="A2205" s="157" t="s">
        <v>557</v>
      </c>
      <c r="B2205" s="158">
        <v>5.0</v>
      </c>
      <c r="C2205" s="157" t="s">
        <v>652</v>
      </c>
      <c r="D2205" s="157" t="s">
        <v>653</v>
      </c>
      <c r="E2205" s="157" t="s">
        <v>654</v>
      </c>
      <c r="F2205" s="162" t="s">
        <v>6459</v>
      </c>
      <c r="G2205" s="157" t="s">
        <v>6460</v>
      </c>
      <c r="H2205" s="157"/>
      <c r="I2205" s="158">
        <v>7.59582012813437</v>
      </c>
      <c r="J2205" s="158">
        <v>49.228073945882</v>
      </c>
      <c r="K2205" s="157" t="s">
        <v>6461</v>
      </c>
      <c r="L2205" s="157" t="s">
        <v>648</v>
      </c>
      <c r="M2205" s="158">
        <v>2022.0</v>
      </c>
      <c r="N2205" s="157" t="s">
        <v>116</v>
      </c>
      <c r="O2205" s="157" t="s">
        <v>658</v>
      </c>
      <c r="P2205" s="161" t="b">
        <v>1</v>
      </c>
      <c r="Q2205" s="158">
        <v>0.168</v>
      </c>
      <c r="R2205" s="158">
        <v>0.0</v>
      </c>
      <c r="S2205" s="158">
        <v>0.168</v>
      </c>
      <c r="T2205" s="157" t="s">
        <v>116</v>
      </c>
      <c r="U2205" s="46" t="s">
        <v>651</v>
      </c>
      <c r="V2205" s="46" t="b">
        <v>1</v>
      </c>
      <c r="W2205" s="46">
        <v>0.95</v>
      </c>
      <c r="X2205" s="46">
        <v>0.0</v>
      </c>
      <c r="Y2205" s="46">
        <v>25.8367788068894</v>
      </c>
      <c r="Z2205" s="46" t="b">
        <v>1</v>
      </c>
      <c r="AA2205" s="46" t="b">
        <v>1</v>
      </c>
    </row>
    <row r="2206">
      <c r="A2206" s="157" t="s">
        <v>557</v>
      </c>
      <c r="B2206" s="158">
        <v>5.0</v>
      </c>
      <c r="C2206" s="157" t="s">
        <v>652</v>
      </c>
      <c r="D2206" s="157" t="s">
        <v>653</v>
      </c>
      <c r="E2206" s="157" t="s">
        <v>654</v>
      </c>
      <c r="F2206" s="162" t="s">
        <v>6462</v>
      </c>
      <c r="G2206" s="157" t="s">
        <v>6463</v>
      </c>
      <c r="H2206" s="157"/>
      <c r="I2206" s="158">
        <v>9.67148048770375</v>
      </c>
      <c r="J2206" s="158">
        <v>48.6821454543083</v>
      </c>
      <c r="K2206" s="157" t="s">
        <v>6464</v>
      </c>
      <c r="L2206" s="157" t="s">
        <v>648</v>
      </c>
      <c r="M2206" s="158">
        <v>2022.0</v>
      </c>
      <c r="N2206" s="157" t="s">
        <v>116</v>
      </c>
      <c r="O2206" s="157" t="s">
        <v>658</v>
      </c>
      <c r="P2206" s="161" t="b">
        <v>1</v>
      </c>
      <c r="Q2206" s="158">
        <v>0.16</v>
      </c>
      <c r="R2206" s="158">
        <v>0.0</v>
      </c>
      <c r="S2206" s="158">
        <v>0.16</v>
      </c>
      <c r="T2206" s="157" t="s">
        <v>116</v>
      </c>
      <c r="U2206" s="46" t="s">
        <v>651</v>
      </c>
      <c r="V2206" s="46" t="b">
        <v>1</v>
      </c>
      <c r="W2206" s="46">
        <v>0.95</v>
      </c>
      <c r="X2206" s="46">
        <v>0.0</v>
      </c>
      <c r="Y2206" s="46">
        <v>3.95135646838493</v>
      </c>
      <c r="Z2206" s="46" t="b">
        <v>1</v>
      </c>
      <c r="AA2206" s="46" t="b">
        <v>1</v>
      </c>
    </row>
    <row r="2207">
      <c r="A2207" s="157" t="s">
        <v>557</v>
      </c>
      <c r="B2207" s="158">
        <v>5.0</v>
      </c>
      <c r="C2207" s="157" t="s">
        <v>652</v>
      </c>
      <c r="D2207" s="157" t="s">
        <v>653</v>
      </c>
      <c r="E2207" s="157" t="s">
        <v>654</v>
      </c>
      <c r="F2207" s="162" t="s">
        <v>6465</v>
      </c>
      <c r="G2207" s="157" t="s">
        <v>6466</v>
      </c>
      <c r="H2207" s="157"/>
      <c r="I2207" s="158">
        <v>12.3599413318923</v>
      </c>
      <c r="J2207" s="158">
        <v>52.5275048175393</v>
      </c>
      <c r="K2207" s="157" t="s">
        <v>6467</v>
      </c>
      <c r="L2207" s="157" t="s">
        <v>648</v>
      </c>
      <c r="M2207" s="158">
        <v>2022.0</v>
      </c>
      <c r="N2207" s="157" t="s">
        <v>116</v>
      </c>
      <c r="O2207" s="157" t="s">
        <v>658</v>
      </c>
      <c r="P2207" s="161" t="b">
        <v>1</v>
      </c>
      <c r="Q2207" s="158">
        <v>0.14</v>
      </c>
      <c r="R2207" s="158">
        <v>0.0</v>
      </c>
      <c r="S2207" s="158">
        <v>0.14</v>
      </c>
      <c r="T2207" s="157" t="s">
        <v>116</v>
      </c>
      <c r="U2207" s="46" t="s">
        <v>651</v>
      </c>
      <c r="V2207" s="46" t="b">
        <v>1</v>
      </c>
      <c r="W2207" s="46">
        <v>0.95</v>
      </c>
      <c r="X2207" s="46">
        <v>0.0</v>
      </c>
      <c r="Y2207" s="46">
        <v>68.6535726323359</v>
      </c>
      <c r="Z2207" s="46" t="b">
        <v>0</v>
      </c>
      <c r="AA2207" s="46" t="b">
        <v>1</v>
      </c>
    </row>
    <row r="2208">
      <c r="A2208" s="157" t="s">
        <v>557</v>
      </c>
      <c r="B2208" s="158">
        <v>5.0</v>
      </c>
      <c r="C2208" s="157" t="s">
        <v>652</v>
      </c>
      <c r="D2208" s="157" t="s">
        <v>653</v>
      </c>
      <c r="E2208" s="157" t="s">
        <v>654</v>
      </c>
      <c r="F2208" s="162" t="s">
        <v>6468</v>
      </c>
      <c r="G2208" s="157" t="s">
        <v>6469</v>
      </c>
      <c r="H2208" s="157"/>
      <c r="I2208" s="158">
        <v>12.7823306915411</v>
      </c>
      <c r="J2208" s="158">
        <v>53.7418929511967</v>
      </c>
      <c r="K2208" s="157" t="s">
        <v>6470</v>
      </c>
      <c r="L2208" s="157" t="s">
        <v>648</v>
      </c>
      <c r="M2208" s="158">
        <v>2022.0</v>
      </c>
      <c r="N2208" s="157" t="s">
        <v>116</v>
      </c>
      <c r="O2208" s="157" t="s">
        <v>658</v>
      </c>
      <c r="P2208" s="161" t="b">
        <v>1</v>
      </c>
      <c r="Q2208" s="158">
        <v>0.138</v>
      </c>
      <c r="R2208" s="158">
        <v>0.0</v>
      </c>
      <c r="S2208" s="158">
        <v>0.138</v>
      </c>
      <c r="T2208" s="157" t="s">
        <v>116</v>
      </c>
      <c r="U2208" s="46" t="s">
        <v>651</v>
      </c>
      <c r="V2208" s="46" t="b">
        <v>1</v>
      </c>
      <c r="W2208" s="46">
        <v>0.95</v>
      </c>
      <c r="X2208" s="46">
        <v>0.0</v>
      </c>
      <c r="Y2208" s="46">
        <v>132.652168587287</v>
      </c>
      <c r="Z2208" s="46" t="b">
        <v>0</v>
      </c>
      <c r="AA2208" s="46" t="b">
        <v>0</v>
      </c>
    </row>
    <row r="2209">
      <c r="A2209" s="157" t="s">
        <v>557</v>
      </c>
      <c r="B2209" s="158">
        <v>5.0</v>
      </c>
      <c r="C2209" s="157" t="s">
        <v>652</v>
      </c>
      <c r="D2209" s="157" t="s">
        <v>653</v>
      </c>
      <c r="E2209" s="157" t="s">
        <v>654</v>
      </c>
      <c r="F2209" s="162" t="s">
        <v>6471</v>
      </c>
      <c r="G2209" s="157" t="s">
        <v>6472</v>
      </c>
      <c r="H2209" s="157"/>
      <c r="I2209" s="158">
        <v>10.8591671917864</v>
      </c>
      <c r="J2209" s="158">
        <v>47.797507614853</v>
      </c>
      <c r="K2209" s="157" t="s">
        <v>6473</v>
      </c>
      <c r="L2209" s="157" t="s">
        <v>648</v>
      </c>
      <c r="M2209" s="158">
        <v>2022.0</v>
      </c>
      <c r="N2209" s="157" t="s">
        <v>116</v>
      </c>
      <c r="O2209" s="157" t="s">
        <v>658</v>
      </c>
      <c r="P2209" s="161" t="b">
        <v>1</v>
      </c>
      <c r="Q2209" s="158">
        <v>0.134</v>
      </c>
      <c r="R2209" s="158">
        <v>0.0</v>
      </c>
      <c r="S2209" s="158">
        <v>0.134</v>
      </c>
      <c r="T2209" s="157" t="s">
        <v>116</v>
      </c>
      <c r="U2209" s="46" t="s">
        <v>651</v>
      </c>
      <c r="V2209" s="46" t="b">
        <v>1</v>
      </c>
      <c r="W2209" s="46">
        <v>0.95</v>
      </c>
      <c r="X2209" s="46">
        <v>0.0</v>
      </c>
      <c r="Y2209" s="46">
        <v>85.0306678680888</v>
      </c>
      <c r="Z2209" s="46" t="b">
        <v>0</v>
      </c>
      <c r="AA2209" s="46" t="b">
        <v>1</v>
      </c>
    </row>
    <row r="2210">
      <c r="A2210" s="157" t="s">
        <v>557</v>
      </c>
      <c r="B2210" s="158">
        <v>5.0</v>
      </c>
      <c r="C2210" s="157" t="s">
        <v>652</v>
      </c>
      <c r="D2210" s="157" t="s">
        <v>653</v>
      </c>
      <c r="E2210" s="157" t="s">
        <v>654</v>
      </c>
      <c r="F2210" s="162" t="s">
        <v>6474</v>
      </c>
      <c r="G2210" s="157" t="s">
        <v>6475</v>
      </c>
      <c r="H2210" s="157"/>
      <c r="I2210" s="158">
        <v>10.8538141643245</v>
      </c>
      <c r="J2210" s="158">
        <v>49.9119451807108</v>
      </c>
      <c r="K2210" s="157" t="s">
        <v>6476</v>
      </c>
      <c r="L2210" s="157" t="s">
        <v>648</v>
      </c>
      <c r="M2210" s="158">
        <v>2022.0</v>
      </c>
      <c r="N2210" s="157" t="s">
        <v>116</v>
      </c>
      <c r="O2210" s="157" t="s">
        <v>658</v>
      </c>
      <c r="P2210" s="161" t="b">
        <v>1</v>
      </c>
      <c r="Q2210" s="158">
        <v>0.127</v>
      </c>
      <c r="R2210" s="158">
        <v>0.0</v>
      </c>
      <c r="S2210" s="158">
        <v>0.127</v>
      </c>
      <c r="T2210" s="157" t="s">
        <v>116</v>
      </c>
      <c r="U2210" s="46" t="s">
        <v>651</v>
      </c>
      <c r="V2210" s="46" t="b">
        <v>1</v>
      </c>
      <c r="W2210" s="46">
        <v>0.95</v>
      </c>
      <c r="X2210" s="46">
        <v>0.0</v>
      </c>
      <c r="Y2210" s="46">
        <v>22.3362724811163</v>
      </c>
      <c r="Z2210" s="46" t="b">
        <v>1</v>
      </c>
      <c r="AA2210" s="46" t="b">
        <v>1</v>
      </c>
    </row>
    <row r="2211">
      <c r="A2211" s="157" t="s">
        <v>557</v>
      </c>
      <c r="B2211" s="158">
        <v>5.0</v>
      </c>
      <c r="C2211" s="157" t="s">
        <v>652</v>
      </c>
      <c r="D2211" s="157" t="s">
        <v>653</v>
      </c>
      <c r="E2211" s="157" t="s">
        <v>654</v>
      </c>
      <c r="F2211" s="162" t="s">
        <v>6477</v>
      </c>
      <c r="G2211" s="157" t="s">
        <v>6478</v>
      </c>
      <c r="H2211" s="157"/>
      <c r="I2211" s="158">
        <v>7.69613860100278</v>
      </c>
      <c r="J2211" s="158">
        <v>51.39787295</v>
      </c>
      <c r="K2211" s="157" t="s">
        <v>6479</v>
      </c>
      <c r="L2211" s="157" t="s">
        <v>648</v>
      </c>
      <c r="M2211" s="158">
        <v>2022.0</v>
      </c>
      <c r="N2211" s="157" t="s">
        <v>116</v>
      </c>
      <c r="O2211" s="157" t="s">
        <v>658</v>
      </c>
      <c r="P2211" s="161" t="b">
        <v>1</v>
      </c>
      <c r="Q2211" s="158">
        <v>0.119</v>
      </c>
      <c r="R2211" s="158">
        <v>0.0</v>
      </c>
      <c r="S2211" s="158">
        <v>0.119</v>
      </c>
      <c r="T2211" s="157" t="s">
        <v>116</v>
      </c>
      <c r="U2211" s="46" t="s">
        <v>651</v>
      </c>
      <c r="V2211" s="46" t="b">
        <v>1</v>
      </c>
      <c r="W2211" s="46">
        <v>0.95</v>
      </c>
      <c r="X2211" s="46">
        <v>0.0</v>
      </c>
      <c r="Y2211" s="46">
        <v>15.0991505065608</v>
      </c>
      <c r="Z2211" s="46" t="b">
        <v>1</v>
      </c>
      <c r="AA2211" s="46" t="b">
        <v>1</v>
      </c>
    </row>
    <row r="2212">
      <c r="A2212" s="157" t="s">
        <v>583</v>
      </c>
      <c r="B2212" s="158">
        <v>5.0</v>
      </c>
      <c r="C2212" s="157" t="s">
        <v>652</v>
      </c>
      <c r="D2212" s="157" t="s">
        <v>653</v>
      </c>
      <c r="E2212" s="157" t="s">
        <v>654</v>
      </c>
      <c r="F2212" s="157" t="s">
        <v>6480</v>
      </c>
      <c r="G2212" s="157" t="s">
        <v>6481</v>
      </c>
      <c r="H2212" s="157"/>
      <c r="I2212" s="158">
        <v>-6.200382</v>
      </c>
      <c r="J2212" s="158">
        <v>53.338968</v>
      </c>
      <c r="K2212" s="157" t="s">
        <v>5690</v>
      </c>
      <c r="L2212" s="157" t="s">
        <v>648</v>
      </c>
      <c r="M2212" s="158">
        <v>2022.0</v>
      </c>
      <c r="N2212" s="157" t="s">
        <v>116</v>
      </c>
      <c r="O2212" s="157" t="s">
        <v>658</v>
      </c>
      <c r="P2212" s="161" t="b">
        <v>1</v>
      </c>
      <c r="Q2212" s="158">
        <v>0.919853438</v>
      </c>
      <c r="R2212" s="158">
        <v>0.0</v>
      </c>
      <c r="S2212" s="158">
        <v>0.919853438</v>
      </c>
      <c r="T2212" s="157" t="s">
        <v>116</v>
      </c>
      <c r="U2212" s="46" t="s">
        <v>651</v>
      </c>
      <c r="V2212" s="46" t="b">
        <v>1</v>
      </c>
      <c r="W2212" s="46">
        <v>0.95</v>
      </c>
      <c r="X2212" s="46">
        <v>0.0</v>
      </c>
      <c r="Y2212" s="46" t="s">
        <v>640</v>
      </c>
      <c r="Z2212" s="46" t="b">
        <v>0</v>
      </c>
      <c r="AA2212" s="46" t="b">
        <v>0</v>
      </c>
    </row>
    <row r="2213">
      <c r="A2213" s="157" t="s">
        <v>583</v>
      </c>
      <c r="B2213" s="158">
        <v>5.0</v>
      </c>
      <c r="C2213" s="157" t="s">
        <v>652</v>
      </c>
      <c r="D2213" s="157" t="s">
        <v>653</v>
      </c>
      <c r="E2213" s="157" t="s">
        <v>654</v>
      </c>
      <c r="F2213" s="157" t="s">
        <v>6482</v>
      </c>
      <c r="G2213" s="157" t="s">
        <v>6483</v>
      </c>
      <c r="H2213" s="157"/>
      <c r="I2213" s="158">
        <v>-6.391748</v>
      </c>
      <c r="J2213" s="158">
        <v>53.676916</v>
      </c>
      <c r="K2213" s="157" t="s">
        <v>3728</v>
      </c>
      <c r="L2213" s="157" t="s">
        <v>648</v>
      </c>
      <c r="M2213" s="158">
        <v>2022.0</v>
      </c>
      <c r="N2213" s="157" t="s">
        <v>116</v>
      </c>
      <c r="O2213" s="157" t="s">
        <v>658</v>
      </c>
      <c r="P2213" s="161" t="b">
        <v>1</v>
      </c>
      <c r="Q2213" s="158">
        <v>0.319734576</v>
      </c>
      <c r="R2213" s="158">
        <v>0.0</v>
      </c>
      <c r="S2213" s="158">
        <v>0.319734576</v>
      </c>
      <c r="T2213" s="157" t="s">
        <v>116</v>
      </c>
      <c r="U2213" s="46" t="s">
        <v>651</v>
      </c>
      <c r="V2213" s="46" t="b">
        <v>1</v>
      </c>
      <c r="W2213" s="46">
        <v>0.95</v>
      </c>
      <c r="X2213" s="46">
        <v>0.0</v>
      </c>
      <c r="Y2213" s="46" t="s">
        <v>640</v>
      </c>
      <c r="Z2213" s="46" t="b">
        <v>0</v>
      </c>
      <c r="AA2213" s="46" t="b">
        <v>0</v>
      </c>
    </row>
    <row r="2214">
      <c r="A2214" s="157" t="s">
        <v>570</v>
      </c>
      <c r="B2214" s="158">
        <v>5.0</v>
      </c>
      <c r="C2214" s="157" t="s">
        <v>652</v>
      </c>
      <c r="D2214" s="157" t="s">
        <v>653</v>
      </c>
      <c r="E2214" s="157" t="s">
        <v>654</v>
      </c>
      <c r="F2214" s="157" t="s">
        <v>6484</v>
      </c>
      <c r="G2214" s="157" t="s">
        <v>6485</v>
      </c>
      <c r="H2214" s="157"/>
      <c r="I2214" s="158">
        <v>4.27639</v>
      </c>
      <c r="J2214" s="158">
        <v>51.89704</v>
      </c>
      <c r="K2214" s="157" t="s">
        <v>4113</v>
      </c>
      <c r="L2214" s="157" t="s">
        <v>648</v>
      </c>
      <c r="M2214" s="158">
        <v>2022.0</v>
      </c>
      <c r="N2214" s="157" t="s">
        <v>116</v>
      </c>
      <c r="O2214" s="157" t="s">
        <v>658</v>
      </c>
      <c r="P2214" s="161" t="b">
        <v>1</v>
      </c>
      <c r="Q2214" s="158">
        <v>1.61</v>
      </c>
      <c r="R2214" s="158">
        <v>0.0</v>
      </c>
      <c r="S2214" s="158">
        <v>1.61</v>
      </c>
      <c r="T2214" s="157" t="s">
        <v>116</v>
      </c>
      <c r="U2214" s="46" t="s">
        <v>651</v>
      </c>
      <c r="V2214" s="46" t="b">
        <v>1</v>
      </c>
      <c r="W2214" s="46">
        <v>0.95</v>
      </c>
      <c r="X2214" s="46">
        <v>0.0</v>
      </c>
      <c r="Y2214" s="46">
        <v>2.6273985146412</v>
      </c>
      <c r="Z2214" s="46" t="b">
        <v>1</v>
      </c>
      <c r="AA2214" s="46" t="b">
        <v>1</v>
      </c>
    </row>
    <row r="2215">
      <c r="A2215" s="157" t="s">
        <v>570</v>
      </c>
      <c r="B2215" s="158">
        <v>5.0</v>
      </c>
      <c r="C2215" s="157" t="s">
        <v>652</v>
      </c>
      <c r="D2215" s="157" t="s">
        <v>653</v>
      </c>
      <c r="E2215" s="157" t="s">
        <v>654</v>
      </c>
      <c r="F2215" s="157" t="s">
        <v>6486</v>
      </c>
      <c r="G2215" s="157" t="s">
        <v>356</v>
      </c>
      <c r="H2215" s="157"/>
      <c r="I2215" s="158">
        <v>4.79289</v>
      </c>
      <c r="J2215" s="158">
        <v>52.39975</v>
      </c>
      <c r="K2215" s="157" t="s">
        <v>5754</v>
      </c>
      <c r="L2215" s="157" t="s">
        <v>648</v>
      </c>
      <c r="M2215" s="158">
        <v>2022.0</v>
      </c>
      <c r="N2215" s="157" t="s">
        <v>116</v>
      </c>
      <c r="O2215" s="157" t="s">
        <v>658</v>
      </c>
      <c r="P2215" s="161" t="b">
        <v>1</v>
      </c>
      <c r="Q2215" s="158">
        <v>1.24</v>
      </c>
      <c r="R2215" s="158">
        <v>0.0</v>
      </c>
      <c r="S2215" s="158">
        <v>1.24</v>
      </c>
      <c r="T2215" s="157" t="s">
        <v>116</v>
      </c>
      <c r="U2215" s="46" t="s">
        <v>651</v>
      </c>
      <c r="V2215" s="46" t="b">
        <v>1</v>
      </c>
      <c r="W2215" s="46">
        <v>0.95</v>
      </c>
      <c r="X2215" s="46">
        <v>0.0</v>
      </c>
      <c r="Y2215" s="46">
        <v>44.7108749143874</v>
      </c>
      <c r="Z2215" s="46" t="b">
        <v>1</v>
      </c>
      <c r="AA2215" s="46" t="b">
        <v>1</v>
      </c>
    </row>
    <row r="2216">
      <c r="A2216" s="157" t="s">
        <v>570</v>
      </c>
      <c r="B2216" s="158">
        <v>5.0</v>
      </c>
      <c r="C2216" s="157" t="s">
        <v>652</v>
      </c>
      <c r="D2216" s="157" t="s">
        <v>653</v>
      </c>
      <c r="E2216" s="157" t="s">
        <v>654</v>
      </c>
      <c r="F2216" s="157" t="s">
        <v>6487</v>
      </c>
      <c r="G2216" s="157" t="s">
        <v>6488</v>
      </c>
      <c r="H2216" s="157"/>
      <c r="I2216" s="158">
        <v>4.76268</v>
      </c>
      <c r="J2216" s="158">
        <v>52.60979</v>
      </c>
      <c r="K2216" s="157" t="s">
        <v>6489</v>
      </c>
      <c r="L2216" s="157" t="s">
        <v>648</v>
      </c>
      <c r="M2216" s="158">
        <v>2022.0</v>
      </c>
      <c r="N2216" s="157" t="s">
        <v>116</v>
      </c>
      <c r="O2216" s="157" t="s">
        <v>658</v>
      </c>
      <c r="P2216" s="161" t="b">
        <v>1</v>
      </c>
      <c r="Q2216" s="158">
        <v>1.02</v>
      </c>
      <c r="R2216" s="158">
        <v>0.0</v>
      </c>
      <c r="S2216" s="158">
        <v>1.02</v>
      </c>
      <c r="T2216" s="157" t="s">
        <v>116</v>
      </c>
      <c r="U2216" s="46" t="s">
        <v>651</v>
      </c>
      <c r="V2216" s="46" t="b">
        <v>1</v>
      </c>
      <c r="W2216" s="46">
        <v>0.95</v>
      </c>
      <c r="X2216" s="46">
        <v>0.0</v>
      </c>
      <c r="Y2216" s="46">
        <v>42.6719397043479</v>
      </c>
      <c r="Z2216" s="46" t="b">
        <v>1</v>
      </c>
      <c r="AA2216" s="46" t="b">
        <v>1</v>
      </c>
    </row>
    <row r="2217">
      <c r="A2217" s="157" t="s">
        <v>570</v>
      </c>
      <c r="B2217" s="158">
        <v>5.0</v>
      </c>
      <c r="C2217" s="157" t="s">
        <v>652</v>
      </c>
      <c r="D2217" s="157" t="s">
        <v>653</v>
      </c>
      <c r="E2217" s="157" t="s">
        <v>654</v>
      </c>
      <c r="F2217" s="157" t="s">
        <v>6490</v>
      </c>
      <c r="G2217" s="157" t="s">
        <v>6491</v>
      </c>
      <c r="H2217" s="157"/>
      <c r="I2217" s="158">
        <v>4.58162</v>
      </c>
      <c r="J2217" s="158">
        <v>51.68326</v>
      </c>
      <c r="K2217" s="157" t="s">
        <v>4025</v>
      </c>
      <c r="L2217" s="157" t="s">
        <v>648</v>
      </c>
      <c r="M2217" s="158">
        <v>2022.0</v>
      </c>
      <c r="N2217" s="157" t="s">
        <v>116</v>
      </c>
      <c r="O2217" s="157" t="s">
        <v>658</v>
      </c>
      <c r="P2217" s="161" t="b">
        <v>1</v>
      </c>
      <c r="Q2217" s="158">
        <v>0.958</v>
      </c>
      <c r="R2217" s="158">
        <v>0.0</v>
      </c>
      <c r="S2217" s="158">
        <v>0.958</v>
      </c>
      <c r="T2217" s="157" t="s">
        <v>116</v>
      </c>
      <c r="U2217" s="46" t="s">
        <v>651</v>
      </c>
      <c r="V2217" s="46" t="b">
        <v>1</v>
      </c>
      <c r="W2217" s="46">
        <v>0.95</v>
      </c>
      <c r="X2217" s="46">
        <v>0.0</v>
      </c>
      <c r="Y2217" s="46">
        <v>2.01416679118176</v>
      </c>
      <c r="Z2217" s="46" t="b">
        <v>1</v>
      </c>
      <c r="AA2217" s="46" t="b">
        <v>1</v>
      </c>
    </row>
    <row r="2218">
      <c r="A2218" s="157" t="s">
        <v>570</v>
      </c>
      <c r="B2218" s="158">
        <v>5.0</v>
      </c>
      <c r="C2218" s="157" t="s">
        <v>652</v>
      </c>
      <c r="D2218" s="157" t="s">
        <v>653</v>
      </c>
      <c r="E2218" s="157" t="s">
        <v>654</v>
      </c>
      <c r="F2218" s="157" t="s">
        <v>6492</v>
      </c>
      <c r="G2218" s="157" t="s">
        <v>6493</v>
      </c>
      <c r="H2218" s="157"/>
      <c r="I2218" s="158">
        <v>6.51498</v>
      </c>
      <c r="J2218" s="158">
        <v>52.79127</v>
      </c>
      <c r="K2218" s="157" t="s">
        <v>6494</v>
      </c>
      <c r="L2218" s="157" t="s">
        <v>648</v>
      </c>
      <c r="M2218" s="158">
        <v>2022.0</v>
      </c>
      <c r="N2218" s="157" t="s">
        <v>116</v>
      </c>
      <c r="O2218" s="157" t="s">
        <v>658</v>
      </c>
      <c r="P2218" s="161" t="b">
        <v>1</v>
      </c>
      <c r="Q2218" s="158">
        <v>0.595</v>
      </c>
      <c r="R2218" s="158">
        <v>0.0</v>
      </c>
      <c r="S2218" s="158">
        <v>0.595</v>
      </c>
      <c r="T2218" s="157" t="s">
        <v>116</v>
      </c>
      <c r="U2218" s="46" t="s">
        <v>651</v>
      </c>
      <c r="V2218" s="46" t="b">
        <v>1</v>
      </c>
      <c r="W2218" s="46">
        <v>0.95</v>
      </c>
      <c r="X2218" s="46">
        <v>0.0</v>
      </c>
      <c r="Y2218" s="46">
        <v>59.4995296224802</v>
      </c>
      <c r="Z2218" s="46" t="b">
        <v>0</v>
      </c>
      <c r="AA2218" s="46" t="b">
        <v>1</v>
      </c>
    </row>
    <row r="2219">
      <c r="A2219" s="157" t="s">
        <v>570</v>
      </c>
      <c r="B2219" s="158">
        <v>5.0</v>
      </c>
      <c r="C2219" s="157" t="s">
        <v>652</v>
      </c>
      <c r="D2219" s="157" t="s">
        <v>653</v>
      </c>
      <c r="E2219" s="157" t="s">
        <v>654</v>
      </c>
      <c r="F2219" s="157" t="s">
        <v>6495</v>
      </c>
      <c r="G2219" s="157" t="s">
        <v>6496</v>
      </c>
      <c r="H2219" s="157"/>
      <c r="I2219" s="158">
        <v>4.44383</v>
      </c>
      <c r="J2219" s="158">
        <v>51.54854</v>
      </c>
      <c r="K2219" s="157" t="s">
        <v>6497</v>
      </c>
      <c r="L2219" s="157" t="s">
        <v>648</v>
      </c>
      <c r="M2219" s="158">
        <v>2022.0</v>
      </c>
      <c r="N2219" s="157" t="s">
        <v>116</v>
      </c>
      <c r="O2219" s="157" t="s">
        <v>658</v>
      </c>
      <c r="P2219" s="161" t="b">
        <v>1</v>
      </c>
      <c r="Q2219" s="158">
        <v>0.366</v>
      </c>
      <c r="R2219" s="158">
        <v>0.0</v>
      </c>
      <c r="S2219" s="158">
        <v>0.366</v>
      </c>
      <c r="T2219" s="157" t="s">
        <v>116</v>
      </c>
      <c r="U2219" s="46" t="s">
        <v>651</v>
      </c>
      <c r="V2219" s="46" t="b">
        <v>1</v>
      </c>
      <c r="W2219" s="46">
        <v>0.95</v>
      </c>
      <c r="X2219" s="46">
        <v>0.0</v>
      </c>
      <c r="Y2219" s="46">
        <v>14.4960122577945</v>
      </c>
      <c r="Z2219" s="46" t="b">
        <v>1</v>
      </c>
      <c r="AA2219" s="46" t="b">
        <v>1</v>
      </c>
    </row>
    <row r="2220">
      <c r="A2220" s="157" t="s">
        <v>570</v>
      </c>
      <c r="B2220" s="158">
        <v>5.0</v>
      </c>
      <c r="C2220" s="157" t="s">
        <v>652</v>
      </c>
      <c r="D2220" s="157" t="s">
        <v>653</v>
      </c>
      <c r="E2220" s="157" t="s">
        <v>654</v>
      </c>
      <c r="F2220" s="157" t="s">
        <v>6498</v>
      </c>
      <c r="G2220" s="157" t="s">
        <v>6499</v>
      </c>
      <c r="H2220" s="157"/>
      <c r="I2220" s="158">
        <v>4.73767</v>
      </c>
      <c r="J2220" s="158">
        <v>51.81542</v>
      </c>
      <c r="K2220" s="157" t="s">
        <v>6500</v>
      </c>
      <c r="L2220" s="157" t="s">
        <v>648</v>
      </c>
      <c r="M2220" s="158">
        <v>2022.0</v>
      </c>
      <c r="N2220" s="157" t="s">
        <v>116</v>
      </c>
      <c r="O2220" s="157" t="s">
        <v>658</v>
      </c>
      <c r="P2220" s="161" t="b">
        <v>1</v>
      </c>
      <c r="Q2220" s="158">
        <v>0.327</v>
      </c>
      <c r="R2220" s="158">
        <v>0.0</v>
      </c>
      <c r="S2220" s="158">
        <v>0.327</v>
      </c>
      <c r="T2220" s="157" t="s">
        <v>116</v>
      </c>
      <c r="U2220" s="46" t="s">
        <v>651</v>
      </c>
      <c r="V2220" s="46" t="b">
        <v>1</v>
      </c>
      <c r="W2220" s="46">
        <v>0.95</v>
      </c>
      <c r="X2220" s="46">
        <v>0.0</v>
      </c>
      <c r="Y2220" s="46">
        <v>18.4929416214093</v>
      </c>
      <c r="Z2220" s="46" t="b">
        <v>1</v>
      </c>
      <c r="AA2220" s="46" t="b">
        <v>1</v>
      </c>
    </row>
    <row r="2221">
      <c r="A2221" s="157" t="s">
        <v>570</v>
      </c>
      <c r="B2221" s="158">
        <v>5.0</v>
      </c>
      <c r="C2221" s="157" t="s">
        <v>652</v>
      </c>
      <c r="D2221" s="157" t="s">
        <v>653</v>
      </c>
      <c r="E2221" s="157" t="s">
        <v>654</v>
      </c>
      <c r="F2221" s="157" t="s">
        <v>6501</v>
      </c>
      <c r="G2221" s="157" t="s">
        <v>6502</v>
      </c>
      <c r="H2221" s="157"/>
      <c r="I2221" s="158">
        <v>5.4291</v>
      </c>
      <c r="J2221" s="158">
        <v>53.19045</v>
      </c>
      <c r="K2221" s="157" t="s">
        <v>6503</v>
      </c>
      <c r="L2221" s="157" t="s">
        <v>648</v>
      </c>
      <c r="M2221" s="158">
        <v>2022.0</v>
      </c>
      <c r="N2221" s="157" t="s">
        <v>116</v>
      </c>
      <c r="O2221" s="157" t="s">
        <v>658</v>
      </c>
      <c r="P2221" s="161" t="b">
        <v>1</v>
      </c>
      <c r="Q2221" s="158">
        <v>0.318</v>
      </c>
      <c r="R2221" s="158">
        <v>0.0</v>
      </c>
      <c r="S2221" s="158">
        <v>0.318</v>
      </c>
      <c r="T2221" s="157" t="s">
        <v>116</v>
      </c>
      <c r="U2221" s="46" t="s">
        <v>651</v>
      </c>
      <c r="V2221" s="46" t="b">
        <v>1</v>
      </c>
      <c r="W2221" s="46">
        <v>0.95</v>
      </c>
      <c r="X2221" s="46">
        <v>0.0</v>
      </c>
      <c r="Y2221" s="46">
        <v>94.9840471263248</v>
      </c>
      <c r="Z2221" s="46" t="b">
        <v>0</v>
      </c>
      <c r="AA2221" s="46" t="b">
        <v>1</v>
      </c>
    </row>
    <row r="2222">
      <c r="A2222" s="157" t="s">
        <v>570</v>
      </c>
      <c r="B2222" s="158">
        <v>5.0</v>
      </c>
      <c r="C2222" s="157" t="s">
        <v>652</v>
      </c>
      <c r="D2222" s="157" t="s">
        <v>653</v>
      </c>
      <c r="E2222" s="157" t="s">
        <v>654</v>
      </c>
      <c r="F2222" s="157" t="s">
        <v>6504</v>
      </c>
      <c r="G2222" s="157" t="s">
        <v>6505</v>
      </c>
      <c r="H2222" s="157"/>
      <c r="I2222" s="158">
        <v>4.74067</v>
      </c>
      <c r="J2222" s="158">
        <v>51.81651</v>
      </c>
      <c r="K2222" s="157" t="s">
        <v>6500</v>
      </c>
      <c r="L2222" s="157" t="s">
        <v>648</v>
      </c>
      <c r="M2222" s="158">
        <v>2022.0</v>
      </c>
      <c r="N2222" s="157" t="s">
        <v>116</v>
      </c>
      <c r="O2222" s="157" t="s">
        <v>658</v>
      </c>
      <c r="P2222" s="161" t="b">
        <v>1</v>
      </c>
      <c r="Q2222" s="158">
        <v>0.138</v>
      </c>
      <c r="R2222" s="158">
        <v>0.0</v>
      </c>
      <c r="S2222" s="158">
        <v>0.138</v>
      </c>
      <c r="T2222" s="157" t="s">
        <v>116</v>
      </c>
      <c r="U2222" s="46" t="s">
        <v>651</v>
      </c>
      <c r="V2222" s="46" t="b">
        <v>1</v>
      </c>
      <c r="W2222" s="46">
        <v>0.95</v>
      </c>
      <c r="X2222" s="46">
        <v>0.0</v>
      </c>
      <c r="Y2222" s="46">
        <v>18.6514466000197</v>
      </c>
      <c r="Z2222" s="46" t="b">
        <v>1</v>
      </c>
      <c r="AA2222" s="46" t="b">
        <v>1</v>
      </c>
    </row>
    <row r="2223">
      <c r="A2223" s="157" t="s">
        <v>563</v>
      </c>
      <c r="B2223" s="158">
        <v>5.0</v>
      </c>
      <c r="C2223" s="157" t="s">
        <v>652</v>
      </c>
      <c r="D2223" s="157" t="s">
        <v>653</v>
      </c>
      <c r="E2223" s="157" t="s">
        <v>654</v>
      </c>
      <c r="F2223" s="157" t="s">
        <v>6506</v>
      </c>
      <c r="G2223" s="157" t="s">
        <v>6507</v>
      </c>
      <c r="H2223" s="157"/>
      <c r="I2223" s="158">
        <v>-1.3742767</v>
      </c>
      <c r="J2223" s="158">
        <v>53.422347</v>
      </c>
      <c r="K2223" s="157" t="s">
        <v>6508</v>
      </c>
      <c r="L2223" s="157" t="s">
        <v>648</v>
      </c>
      <c r="M2223" s="158">
        <v>2019.0</v>
      </c>
      <c r="N2223" s="157" t="s">
        <v>116</v>
      </c>
      <c r="O2223" s="157" t="s">
        <v>658</v>
      </c>
      <c r="P2223" s="161" t="b">
        <v>1</v>
      </c>
      <c r="Q2223" s="158">
        <v>0.148</v>
      </c>
      <c r="R2223" s="158">
        <v>0.0</v>
      </c>
      <c r="S2223" s="158">
        <v>0.148</v>
      </c>
      <c r="T2223" s="157" t="s">
        <v>116</v>
      </c>
      <c r="U2223" s="46" t="s">
        <v>651</v>
      </c>
      <c r="V2223" s="46" t="b">
        <v>1</v>
      </c>
      <c r="W2223" s="46">
        <v>0.95</v>
      </c>
      <c r="X2223" s="46">
        <v>0.0</v>
      </c>
      <c r="Y2223" s="46">
        <v>47.1058293422232</v>
      </c>
      <c r="Z2223" s="46" t="b">
        <v>1</v>
      </c>
      <c r="AA2223" s="46" t="b">
        <v>1</v>
      </c>
    </row>
    <row r="2224">
      <c r="A2224" s="157" t="s">
        <v>563</v>
      </c>
      <c r="B2224" s="158">
        <v>5.0</v>
      </c>
      <c r="C2224" s="157" t="s">
        <v>652</v>
      </c>
      <c r="D2224" s="157" t="s">
        <v>653</v>
      </c>
      <c r="E2224" s="157" t="s">
        <v>654</v>
      </c>
      <c r="F2224" s="157" t="s">
        <v>6509</v>
      </c>
      <c r="G2224" s="157" t="s">
        <v>6510</v>
      </c>
      <c r="H2224" s="157"/>
      <c r="I2224" s="158">
        <v>-1.2817283</v>
      </c>
      <c r="J2224" s="158">
        <v>53.71674</v>
      </c>
      <c r="K2224" s="157" t="s">
        <v>6511</v>
      </c>
      <c r="L2224" s="157" t="s">
        <v>648</v>
      </c>
      <c r="M2224" s="158">
        <v>2019.0</v>
      </c>
      <c r="N2224" s="157" t="s">
        <v>116</v>
      </c>
      <c r="O2224" s="157" t="s">
        <v>658</v>
      </c>
      <c r="P2224" s="161" t="b">
        <v>1</v>
      </c>
      <c r="Q2224" s="158">
        <v>1.0</v>
      </c>
      <c r="R2224" s="158">
        <v>0.0</v>
      </c>
      <c r="S2224" s="158">
        <v>1.0</v>
      </c>
      <c r="T2224" s="157" t="s">
        <v>116</v>
      </c>
      <c r="U2224" s="46" t="s">
        <v>651</v>
      </c>
      <c r="V2224" s="46" t="b">
        <v>1</v>
      </c>
      <c r="W2224" s="46">
        <v>0.95</v>
      </c>
      <c r="X2224" s="46">
        <v>0.0</v>
      </c>
      <c r="Y2224" s="46">
        <v>29.950854434078</v>
      </c>
      <c r="Z2224" s="46" t="b">
        <v>1</v>
      </c>
      <c r="AA2224" s="46" t="b">
        <v>1</v>
      </c>
    </row>
    <row r="2225">
      <c r="A2225" s="157" t="s">
        <v>563</v>
      </c>
      <c r="B2225" s="158">
        <v>5.0</v>
      </c>
      <c r="C2225" s="157" t="s">
        <v>652</v>
      </c>
      <c r="D2225" s="157" t="s">
        <v>653</v>
      </c>
      <c r="E2225" s="157" t="s">
        <v>654</v>
      </c>
      <c r="F2225" s="157" t="s">
        <v>6512</v>
      </c>
      <c r="G2225" s="157" t="s">
        <v>6513</v>
      </c>
      <c r="H2225" s="157"/>
      <c r="I2225" s="158">
        <v>0.15542173</v>
      </c>
      <c r="J2225" s="158">
        <v>51.505144</v>
      </c>
      <c r="K2225" s="157" t="s">
        <v>6514</v>
      </c>
      <c r="L2225" s="157" t="s">
        <v>648</v>
      </c>
      <c r="M2225" s="158">
        <v>2019.0</v>
      </c>
      <c r="N2225" s="157" t="s">
        <v>116</v>
      </c>
      <c r="O2225" s="157" t="s">
        <v>658</v>
      </c>
      <c r="P2225" s="161" t="b">
        <v>1</v>
      </c>
      <c r="Q2225" s="158">
        <v>0.747</v>
      </c>
      <c r="R2225" s="158">
        <v>0.0</v>
      </c>
      <c r="S2225" s="158">
        <v>0.747</v>
      </c>
      <c r="T2225" s="157" t="s">
        <v>116</v>
      </c>
      <c r="U2225" s="46" t="s">
        <v>651</v>
      </c>
      <c r="V2225" s="46" t="b">
        <v>1</v>
      </c>
      <c r="W2225" s="46">
        <v>0.95</v>
      </c>
      <c r="X2225" s="46">
        <v>0.0</v>
      </c>
      <c r="Y2225" s="46">
        <v>128.92732762753</v>
      </c>
      <c r="Z2225" s="46" t="b">
        <v>0</v>
      </c>
      <c r="AA2225" s="46" t="b">
        <v>0</v>
      </c>
    </row>
    <row r="2226">
      <c r="A2226" s="157" t="s">
        <v>563</v>
      </c>
      <c r="B2226" s="158">
        <v>5.0</v>
      </c>
      <c r="C2226" s="157" t="s">
        <v>652</v>
      </c>
      <c r="D2226" s="157" t="s">
        <v>653</v>
      </c>
      <c r="E2226" s="157" t="s">
        <v>654</v>
      </c>
      <c r="F2226" s="157" t="s">
        <v>6515</v>
      </c>
      <c r="G2226" s="157" t="s">
        <v>6516</v>
      </c>
      <c r="H2226" s="157"/>
      <c r="I2226" s="158">
        <v>-2.404795</v>
      </c>
      <c r="J2226" s="158">
        <v>53.567006</v>
      </c>
      <c r="K2226" s="157" t="s">
        <v>6517</v>
      </c>
      <c r="L2226" s="157" t="s">
        <v>648</v>
      </c>
      <c r="M2226" s="158">
        <v>2019.0</v>
      </c>
      <c r="N2226" s="157" t="s">
        <v>116</v>
      </c>
      <c r="O2226" s="157" t="s">
        <v>658</v>
      </c>
      <c r="P2226" s="161" t="b">
        <v>1</v>
      </c>
      <c r="Q2226" s="158">
        <v>0.654</v>
      </c>
      <c r="R2226" s="158">
        <v>0.0</v>
      </c>
      <c r="S2226" s="158">
        <v>0.654</v>
      </c>
      <c r="T2226" s="157" t="s">
        <v>116</v>
      </c>
      <c r="U2226" s="46" t="s">
        <v>651</v>
      </c>
      <c r="V2226" s="46" t="b">
        <v>1</v>
      </c>
      <c r="W2226" s="46">
        <v>0.95</v>
      </c>
      <c r="X2226" s="46">
        <v>0.0</v>
      </c>
      <c r="Y2226" s="46">
        <v>22.179606591854</v>
      </c>
      <c r="Z2226" s="46" t="b">
        <v>1</v>
      </c>
      <c r="AA2226" s="46" t="b">
        <v>1</v>
      </c>
    </row>
    <row r="2227">
      <c r="A2227" s="157" t="s">
        <v>563</v>
      </c>
      <c r="B2227" s="158">
        <v>5.0</v>
      </c>
      <c r="C2227" s="157" t="s">
        <v>652</v>
      </c>
      <c r="D2227" s="157" t="s">
        <v>653</v>
      </c>
      <c r="E2227" s="157" t="s">
        <v>654</v>
      </c>
      <c r="F2227" s="157" t="s">
        <v>6518</v>
      </c>
      <c r="G2227" s="157" t="s">
        <v>6519</v>
      </c>
      <c r="H2227" s="157"/>
      <c r="I2227" s="158">
        <v>-3.16208</v>
      </c>
      <c r="J2227" s="158">
        <v>56.20153</v>
      </c>
      <c r="K2227" s="157" t="s">
        <v>6520</v>
      </c>
      <c r="L2227" s="157" t="s">
        <v>648</v>
      </c>
      <c r="M2227" s="158">
        <v>2019.0</v>
      </c>
      <c r="N2227" s="157" t="s">
        <v>116</v>
      </c>
      <c r="O2227" s="157" t="s">
        <v>658</v>
      </c>
      <c r="P2227" s="161" t="b">
        <v>1</v>
      </c>
      <c r="Q2227" s="158">
        <v>0.487</v>
      </c>
      <c r="R2227" s="158">
        <v>0.0</v>
      </c>
      <c r="S2227" s="158">
        <v>0.487</v>
      </c>
      <c r="T2227" s="157" t="s">
        <v>116</v>
      </c>
      <c r="U2227" s="46" t="s">
        <v>651</v>
      </c>
      <c r="V2227" s="46" t="b">
        <v>1</v>
      </c>
      <c r="W2227" s="46">
        <v>0.95</v>
      </c>
      <c r="X2227" s="46">
        <v>0.0</v>
      </c>
      <c r="Y2227" s="46">
        <v>22.8341372198466</v>
      </c>
      <c r="Z2227" s="46" t="b">
        <v>1</v>
      </c>
      <c r="AA2227" s="46" t="b">
        <v>1</v>
      </c>
    </row>
    <row r="2228">
      <c r="A2228" s="157" t="s">
        <v>563</v>
      </c>
      <c r="B2228" s="158">
        <v>5.0</v>
      </c>
      <c r="C2228" s="157" t="s">
        <v>652</v>
      </c>
      <c r="D2228" s="157" t="s">
        <v>653</v>
      </c>
      <c r="E2228" s="157" t="s">
        <v>654</v>
      </c>
      <c r="F2228" s="157" t="s">
        <v>6521</v>
      </c>
      <c r="G2228" s="157" t="s">
        <v>6522</v>
      </c>
      <c r="H2228" s="157"/>
      <c r="I2228" s="158">
        <v>-3.38077</v>
      </c>
      <c r="J2228" s="158">
        <v>55.15282</v>
      </c>
      <c r="K2228" s="157" t="s">
        <v>6523</v>
      </c>
      <c r="L2228" s="157" t="s">
        <v>648</v>
      </c>
      <c r="M2228" s="158">
        <v>2019.0</v>
      </c>
      <c r="N2228" s="157" t="s">
        <v>116</v>
      </c>
      <c r="O2228" s="157" t="s">
        <v>658</v>
      </c>
      <c r="P2228" s="161" t="b">
        <v>1</v>
      </c>
      <c r="Q2228" s="158">
        <v>0.371</v>
      </c>
      <c r="R2228" s="158">
        <v>0.0</v>
      </c>
      <c r="S2228" s="158">
        <v>0.371</v>
      </c>
      <c r="T2228" s="157" t="s">
        <v>116</v>
      </c>
      <c r="U2228" s="46" t="s">
        <v>651</v>
      </c>
      <c r="V2228" s="46" t="b">
        <v>1</v>
      </c>
      <c r="W2228" s="46">
        <v>0.95</v>
      </c>
      <c r="X2228" s="46">
        <v>0.0</v>
      </c>
      <c r="Y2228" s="46">
        <v>95.9925019481927</v>
      </c>
      <c r="Z2228" s="46" t="b">
        <v>0</v>
      </c>
      <c r="AA2228" s="46" t="b">
        <v>1</v>
      </c>
    </row>
    <row r="2229">
      <c r="A2229" s="157" t="s">
        <v>563</v>
      </c>
      <c r="B2229" s="158">
        <v>5.0</v>
      </c>
      <c r="C2229" s="157" t="s">
        <v>652</v>
      </c>
      <c r="D2229" s="157" t="s">
        <v>653</v>
      </c>
      <c r="E2229" s="157" t="s">
        <v>654</v>
      </c>
      <c r="F2229" s="157" t="s">
        <v>6524</v>
      </c>
      <c r="G2229" s="157" t="s">
        <v>6525</v>
      </c>
      <c r="H2229" s="157"/>
      <c r="I2229" s="158">
        <v>-2.6534001</v>
      </c>
      <c r="J2229" s="158">
        <v>51.528968</v>
      </c>
      <c r="K2229" s="157" t="s">
        <v>5929</v>
      </c>
      <c r="L2229" s="157" t="s">
        <v>648</v>
      </c>
      <c r="M2229" s="158">
        <v>2019.0</v>
      </c>
      <c r="N2229" s="157" t="s">
        <v>116</v>
      </c>
      <c r="O2229" s="157" t="s">
        <v>658</v>
      </c>
      <c r="P2229" s="161" t="b">
        <v>1</v>
      </c>
      <c r="Q2229" s="158">
        <v>0.33</v>
      </c>
      <c r="R2229" s="158">
        <v>0.0</v>
      </c>
      <c r="S2229" s="158">
        <v>0.33</v>
      </c>
      <c r="T2229" s="157" t="s">
        <v>116</v>
      </c>
      <c r="U2229" s="46" t="s">
        <v>651</v>
      </c>
      <c r="V2229" s="46" t="b">
        <v>1</v>
      </c>
      <c r="W2229" s="46">
        <v>0.95</v>
      </c>
      <c r="X2229" s="46">
        <v>0.0</v>
      </c>
      <c r="Y2229" s="46" t="s">
        <v>640</v>
      </c>
      <c r="Z2229" s="46" t="b">
        <v>0</v>
      </c>
      <c r="AA2229" s="46" t="b">
        <v>0</v>
      </c>
    </row>
    <row r="2230">
      <c r="A2230" s="157" t="s">
        <v>563</v>
      </c>
      <c r="B2230" s="158">
        <v>5.0</v>
      </c>
      <c r="C2230" s="157" t="s">
        <v>652</v>
      </c>
      <c r="D2230" s="157" t="s">
        <v>653</v>
      </c>
      <c r="E2230" s="157" t="s">
        <v>654</v>
      </c>
      <c r="F2230" s="157" t="s">
        <v>6526</v>
      </c>
      <c r="G2230" s="157" t="s">
        <v>6527</v>
      </c>
      <c r="H2230" s="157"/>
      <c r="I2230" s="158">
        <v>1.0985239</v>
      </c>
      <c r="J2230" s="158">
        <v>52.103972</v>
      </c>
      <c r="K2230" s="157" t="s">
        <v>6528</v>
      </c>
      <c r="L2230" s="157" t="s">
        <v>648</v>
      </c>
      <c r="M2230" s="158">
        <v>2019.0</v>
      </c>
      <c r="N2230" s="157" t="s">
        <v>116</v>
      </c>
      <c r="O2230" s="157" t="s">
        <v>658</v>
      </c>
      <c r="P2230" s="161" t="b">
        <v>1</v>
      </c>
      <c r="Q2230" s="158">
        <v>0.323</v>
      </c>
      <c r="R2230" s="158">
        <v>0.0</v>
      </c>
      <c r="S2230" s="158">
        <v>0.323</v>
      </c>
      <c r="T2230" s="157" t="s">
        <v>116</v>
      </c>
      <c r="U2230" s="46" t="s">
        <v>651</v>
      </c>
      <c r="V2230" s="46" t="b">
        <v>1</v>
      </c>
      <c r="W2230" s="46">
        <v>0.95</v>
      </c>
      <c r="X2230" s="46">
        <v>0.0</v>
      </c>
      <c r="Y2230" s="46">
        <v>118.229629655866</v>
      </c>
      <c r="Z2230" s="46" t="b">
        <v>0</v>
      </c>
      <c r="AA2230" s="46" t="b">
        <v>0</v>
      </c>
    </row>
    <row r="2231">
      <c r="A2231" s="157" t="s">
        <v>563</v>
      </c>
      <c r="B2231" s="158">
        <v>5.0</v>
      </c>
      <c r="C2231" s="157" t="s">
        <v>652</v>
      </c>
      <c r="D2231" s="157" t="s">
        <v>653</v>
      </c>
      <c r="E2231" s="157" t="s">
        <v>654</v>
      </c>
      <c r="F2231" s="157" t="s">
        <v>6529</v>
      </c>
      <c r="G2231" s="157" t="s">
        <v>6530</v>
      </c>
      <c r="H2231" s="157"/>
      <c r="I2231" s="158">
        <v>-0.50648114</v>
      </c>
      <c r="J2231" s="158">
        <v>51.485136</v>
      </c>
      <c r="K2231" s="157" t="s">
        <v>6531</v>
      </c>
      <c r="L2231" s="157" t="s">
        <v>648</v>
      </c>
      <c r="M2231" s="158">
        <v>2019.0</v>
      </c>
      <c r="N2231" s="157" t="s">
        <v>116</v>
      </c>
      <c r="O2231" s="157" t="s">
        <v>658</v>
      </c>
      <c r="P2231" s="161" t="b">
        <v>1</v>
      </c>
      <c r="Q2231" s="158">
        <v>0.322</v>
      </c>
      <c r="R2231" s="158">
        <v>0.0</v>
      </c>
      <c r="S2231" s="158">
        <v>0.322</v>
      </c>
      <c r="T2231" s="157" t="s">
        <v>116</v>
      </c>
      <c r="U2231" s="46" t="s">
        <v>651</v>
      </c>
      <c r="V2231" s="46" t="b">
        <v>1</v>
      </c>
      <c r="W2231" s="46">
        <v>0.95</v>
      </c>
      <c r="X2231" s="46">
        <v>0.0</v>
      </c>
      <c r="Y2231" s="46">
        <v>215.308689742876</v>
      </c>
      <c r="Z2231" s="46" t="b">
        <v>0</v>
      </c>
      <c r="AA2231" s="46" t="b">
        <v>0</v>
      </c>
    </row>
    <row r="2232">
      <c r="A2232" s="157" t="s">
        <v>563</v>
      </c>
      <c r="B2232" s="158">
        <v>5.0</v>
      </c>
      <c r="C2232" s="157" t="s">
        <v>652</v>
      </c>
      <c r="D2232" s="157" t="s">
        <v>653</v>
      </c>
      <c r="E2232" s="157" t="s">
        <v>654</v>
      </c>
      <c r="F2232" s="157" t="s">
        <v>6532</v>
      </c>
      <c r="G2232" s="157" t="s">
        <v>6533</v>
      </c>
      <c r="H2232" s="157"/>
      <c r="I2232" s="158">
        <v>-2.46306</v>
      </c>
      <c r="J2232" s="158">
        <v>55.97522</v>
      </c>
      <c r="K2232" s="157" t="s">
        <v>6534</v>
      </c>
      <c r="L2232" s="157" t="s">
        <v>648</v>
      </c>
      <c r="M2232" s="158">
        <v>2019.0</v>
      </c>
      <c r="N2232" s="157" t="s">
        <v>116</v>
      </c>
      <c r="O2232" s="157" t="s">
        <v>658</v>
      </c>
      <c r="P2232" s="161" t="b">
        <v>1</v>
      </c>
      <c r="Q2232" s="158">
        <v>0.274</v>
      </c>
      <c r="R2232" s="158">
        <v>0.0</v>
      </c>
      <c r="S2232" s="158">
        <v>0.274</v>
      </c>
      <c r="T2232" s="157" t="s">
        <v>116</v>
      </c>
      <c r="U2232" s="46" t="s">
        <v>651</v>
      </c>
      <c r="V2232" s="46" t="b">
        <v>1</v>
      </c>
      <c r="W2232" s="46">
        <v>0.95</v>
      </c>
      <c r="X2232" s="46">
        <v>0.0</v>
      </c>
      <c r="Y2232" s="46">
        <v>55.2053016952677</v>
      </c>
      <c r="Z2232" s="46" t="b">
        <v>0</v>
      </c>
      <c r="AA2232" s="46" t="b">
        <v>1</v>
      </c>
    </row>
    <row r="2233">
      <c r="A2233" s="157" t="s">
        <v>563</v>
      </c>
      <c r="B2233" s="158">
        <v>5.0</v>
      </c>
      <c r="C2233" s="157" t="s">
        <v>652</v>
      </c>
      <c r="D2233" s="157" t="s">
        <v>653</v>
      </c>
      <c r="E2233" s="157" t="s">
        <v>654</v>
      </c>
      <c r="F2233" s="157" t="s">
        <v>6535</v>
      </c>
      <c r="G2233" s="157" t="s">
        <v>6536</v>
      </c>
      <c r="H2233" s="157"/>
      <c r="I2233" s="158">
        <v>-1.4914687</v>
      </c>
      <c r="J2233" s="158">
        <v>52.395955</v>
      </c>
      <c r="K2233" s="157" t="s">
        <v>6537</v>
      </c>
      <c r="L2233" s="157" t="s">
        <v>648</v>
      </c>
      <c r="M2233" s="158">
        <v>2019.0</v>
      </c>
      <c r="N2233" s="157" t="s">
        <v>116</v>
      </c>
      <c r="O2233" s="157" t="s">
        <v>658</v>
      </c>
      <c r="P2233" s="161" t="b">
        <v>1</v>
      </c>
      <c r="Q2233" s="158">
        <v>0.249</v>
      </c>
      <c r="R2233" s="158">
        <v>0.0</v>
      </c>
      <c r="S2233" s="158">
        <v>0.249</v>
      </c>
      <c r="T2233" s="157" t="s">
        <v>116</v>
      </c>
      <c r="U2233" s="46" t="s">
        <v>651</v>
      </c>
      <c r="V2233" s="46" t="b">
        <v>1</v>
      </c>
      <c r="W2233" s="46">
        <v>0.95</v>
      </c>
      <c r="X2233" s="46">
        <v>0.0</v>
      </c>
      <c r="Y2233" s="46">
        <v>122.259787187215</v>
      </c>
      <c r="Z2233" s="46" t="b">
        <v>0</v>
      </c>
      <c r="AA2233" s="46" t="b">
        <v>0</v>
      </c>
    </row>
    <row r="2234">
      <c r="A2234" s="157" t="s">
        <v>563</v>
      </c>
      <c r="B2234" s="158">
        <v>5.0</v>
      </c>
      <c r="C2234" s="157" t="s">
        <v>652</v>
      </c>
      <c r="D2234" s="157" t="s">
        <v>653</v>
      </c>
      <c r="E2234" s="157" t="s">
        <v>654</v>
      </c>
      <c r="F2234" s="157" t="s">
        <v>6538</v>
      </c>
      <c r="G2234" s="157" t="s">
        <v>6539</v>
      </c>
      <c r="H2234" s="157"/>
      <c r="I2234" s="158">
        <v>-0.97976911</v>
      </c>
      <c r="J2234" s="158">
        <v>51.895724</v>
      </c>
      <c r="K2234" s="157" t="s">
        <v>6540</v>
      </c>
      <c r="L2234" s="157" t="s">
        <v>648</v>
      </c>
      <c r="M2234" s="158">
        <v>2019.0</v>
      </c>
      <c r="N2234" s="157" t="s">
        <v>116</v>
      </c>
      <c r="O2234" s="157" t="s">
        <v>658</v>
      </c>
      <c r="P2234" s="161" t="b">
        <v>1</v>
      </c>
      <c r="Q2234" s="158">
        <v>0.229</v>
      </c>
      <c r="R2234" s="158">
        <v>0.0</v>
      </c>
      <c r="S2234" s="158">
        <v>0.229</v>
      </c>
      <c r="T2234" s="157" t="s">
        <v>116</v>
      </c>
      <c r="U2234" s="46" t="s">
        <v>651</v>
      </c>
      <c r="V2234" s="46" t="b">
        <v>1</v>
      </c>
      <c r="W2234" s="46">
        <v>0.95</v>
      </c>
      <c r="X2234" s="46">
        <v>0.0</v>
      </c>
      <c r="Y2234" s="46" t="s">
        <v>640</v>
      </c>
      <c r="Z2234" s="46" t="b">
        <v>0</v>
      </c>
      <c r="AA2234" s="46" t="b">
        <v>0</v>
      </c>
    </row>
    <row r="2235">
      <c r="A2235" s="157" t="s">
        <v>563</v>
      </c>
      <c r="B2235" s="158">
        <v>5.0</v>
      </c>
      <c r="C2235" s="157" t="s">
        <v>652</v>
      </c>
      <c r="D2235" s="157" t="s">
        <v>653</v>
      </c>
      <c r="E2235" s="157" t="s">
        <v>654</v>
      </c>
      <c r="F2235" s="157" t="s">
        <v>6541</v>
      </c>
      <c r="G2235" s="157" t="s">
        <v>6542</v>
      </c>
      <c r="H2235" s="157"/>
      <c r="I2235" s="158">
        <v>-4.8912823</v>
      </c>
      <c r="J2235" s="158">
        <v>50.376648</v>
      </c>
      <c r="K2235" s="157" t="s">
        <v>6543</v>
      </c>
      <c r="L2235" s="157" t="s">
        <v>648</v>
      </c>
      <c r="M2235" s="158">
        <v>2019.0</v>
      </c>
      <c r="N2235" s="157" t="s">
        <v>116</v>
      </c>
      <c r="O2235" s="157" t="s">
        <v>658</v>
      </c>
      <c r="P2235" s="161" t="b">
        <v>1</v>
      </c>
      <c r="Q2235" s="158">
        <v>0.226</v>
      </c>
      <c r="R2235" s="158">
        <v>0.0</v>
      </c>
      <c r="S2235" s="158">
        <v>0.226</v>
      </c>
      <c r="T2235" s="157" t="s">
        <v>116</v>
      </c>
      <c r="U2235" s="46" t="s">
        <v>651</v>
      </c>
      <c r="V2235" s="46" t="b">
        <v>1</v>
      </c>
      <c r="W2235" s="46">
        <v>0.95</v>
      </c>
      <c r="X2235" s="46">
        <v>0.0</v>
      </c>
      <c r="Y2235" s="46" t="s">
        <v>640</v>
      </c>
      <c r="Z2235" s="46" t="b">
        <v>0</v>
      </c>
      <c r="AA2235" s="46" t="b">
        <v>0</v>
      </c>
    </row>
    <row r="2236">
      <c r="A2236" s="157" t="s">
        <v>563</v>
      </c>
      <c r="B2236" s="158">
        <v>5.0</v>
      </c>
      <c r="C2236" s="157" t="s">
        <v>652</v>
      </c>
      <c r="D2236" s="157" t="s">
        <v>653</v>
      </c>
      <c r="E2236" s="157" t="s">
        <v>654</v>
      </c>
      <c r="F2236" s="157" t="s">
        <v>6544</v>
      </c>
      <c r="G2236" s="157" t="s">
        <v>6545</v>
      </c>
      <c r="H2236" s="157"/>
      <c r="I2236" s="158">
        <v>-1.4492198</v>
      </c>
      <c r="J2236" s="158">
        <v>53.387031</v>
      </c>
      <c r="K2236" s="157" t="s">
        <v>6018</v>
      </c>
      <c r="L2236" s="157" t="s">
        <v>648</v>
      </c>
      <c r="M2236" s="158">
        <v>2019.0</v>
      </c>
      <c r="N2236" s="157" t="s">
        <v>116</v>
      </c>
      <c r="O2236" s="157" t="s">
        <v>658</v>
      </c>
      <c r="P2236" s="161" t="b">
        <v>1</v>
      </c>
      <c r="Q2236" s="158">
        <v>0.208</v>
      </c>
      <c r="R2236" s="158">
        <v>0.0</v>
      </c>
      <c r="S2236" s="158">
        <v>0.208</v>
      </c>
      <c r="T2236" s="157" t="s">
        <v>116</v>
      </c>
      <c r="U2236" s="46" t="s">
        <v>651</v>
      </c>
      <c r="V2236" s="46" t="b">
        <v>1</v>
      </c>
      <c r="W2236" s="46">
        <v>0.95</v>
      </c>
      <c r="X2236" s="46">
        <v>0.0</v>
      </c>
      <c r="Y2236" s="46">
        <v>53.4483386317993</v>
      </c>
      <c r="Z2236" s="46" t="b">
        <v>0</v>
      </c>
      <c r="AA2236" s="46" t="b">
        <v>1</v>
      </c>
    </row>
    <row r="2237">
      <c r="A2237" s="157" t="s">
        <v>563</v>
      </c>
      <c r="B2237" s="158">
        <v>5.0</v>
      </c>
      <c r="C2237" s="157" t="s">
        <v>652</v>
      </c>
      <c r="D2237" s="157" t="s">
        <v>653</v>
      </c>
      <c r="E2237" s="157" t="s">
        <v>654</v>
      </c>
      <c r="F2237" s="157" t="s">
        <v>6546</v>
      </c>
      <c r="G2237" s="157" t="s">
        <v>6547</v>
      </c>
      <c r="H2237" s="157"/>
      <c r="I2237" s="158">
        <v>-2.1827354</v>
      </c>
      <c r="J2237" s="158">
        <v>52.987885</v>
      </c>
      <c r="K2237" s="157" t="s">
        <v>6548</v>
      </c>
      <c r="L2237" s="157" t="s">
        <v>648</v>
      </c>
      <c r="M2237" s="158">
        <v>2019.0</v>
      </c>
      <c r="N2237" s="157" t="s">
        <v>116</v>
      </c>
      <c r="O2237" s="157" t="s">
        <v>658</v>
      </c>
      <c r="P2237" s="161" t="b">
        <v>1</v>
      </c>
      <c r="Q2237" s="158">
        <v>0.207</v>
      </c>
      <c r="R2237" s="158">
        <v>0.0</v>
      </c>
      <c r="S2237" s="158">
        <v>0.207</v>
      </c>
      <c r="T2237" s="157" t="s">
        <v>116</v>
      </c>
      <c r="U2237" s="46" t="s">
        <v>651</v>
      </c>
      <c r="V2237" s="46" t="b">
        <v>1</v>
      </c>
      <c r="W2237" s="46">
        <v>0.95</v>
      </c>
      <c r="X2237" s="46">
        <v>0.0</v>
      </c>
      <c r="Y2237" s="46">
        <v>41.6606955983261</v>
      </c>
      <c r="Z2237" s="46" t="b">
        <v>1</v>
      </c>
      <c r="AA2237" s="46" t="b">
        <v>1</v>
      </c>
    </row>
    <row r="2238">
      <c r="A2238" s="157" t="s">
        <v>563</v>
      </c>
      <c r="B2238" s="158">
        <v>5.0</v>
      </c>
      <c r="C2238" s="157" t="s">
        <v>652</v>
      </c>
      <c r="D2238" s="157" t="s">
        <v>653</v>
      </c>
      <c r="E2238" s="157" t="s">
        <v>654</v>
      </c>
      <c r="F2238" s="157" t="s">
        <v>6549</v>
      </c>
      <c r="G2238" s="157" t="s">
        <v>6550</v>
      </c>
      <c r="H2238" s="157"/>
      <c r="I2238" s="158">
        <v>-4.1863485</v>
      </c>
      <c r="J2238" s="158">
        <v>50.395913</v>
      </c>
      <c r="K2238" s="157" t="s">
        <v>6551</v>
      </c>
      <c r="L2238" s="157" t="s">
        <v>648</v>
      </c>
      <c r="M2238" s="158">
        <v>2019.0</v>
      </c>
      <c r="N2238" s="157" t="s">
        <v>116</v>
      </c>
      <c r="O2238" s="157" t="s">
        <v>658</v>
      </c>
      <c r="P2238" s="161" t="b">
        <v>1</v>
      </c>
      <c r="Q2238" s="158">
        <v>0.205</v>
      </c>
      <c r="R2238" s="158">
        <v>0.0</v>
      </c>
      <c r="S2238" s="158">
        <v>0.205</v>
      </c>
      <c r="T2238" s="157" t="s">
        <v>116</v>
      </c>
      <c r="U2238" s="46" t="s">
        <v>651</v>
      </c>
      <c r="V2238" s="46" t="b">
        <v>1</v>
      </c>
      <c r="W2238" s="46">
        <v>0.95</v>
      </c>
      <c r="X2238" s="46">
        <v>0.0</v>
      </c>
      <c r="Y2238" s="46" t="s">
        <v>640</v>
      </c>
      <c r="Z2238" s="46" t="b">
        <v>0</v>
      </c>
      <c r="AA2238" s="46" t="b">
        <v>0</v>
      </c>
    </row>
    <row r="2239">
      <c r="A2239" s="157" t="s">
        <v>563</v>
      </c>
      <c r="B2239" s="158">
        <v>5.0</v>
      </c>
      <c r="C2239" s="157" t="s">
        <v>652</v>
      </c>
      <c r="D2239" s="157" t="s">
        <v>653</v>
      </c>
      <c r="E2239" s="157" t="s">
        <v>654</v>
      </c>
      <c r="F2239" s="157" t="s">
        <v>6552</v>
      </c>
      <c r="G2239" s="157" t="s">
        <v>6553</v>
      </c>
      <c r="H2239" s="157"/>
      <c r="I2239" s="158">
        <v>0.04919386</v>
      </c>
      <c r="J2239" s="158">
        <v>50.802043</v>
      </c>
      <c r="K2239" s="157" t="s">
        <v>6554</v>
      </c>
      <c r="L2239" s="157" t="s">
        <v>648</v>
      </c>
      <c r="M2239" s="158">
        <v>2019.0</v>
      </c>
      <c r="N2239" s="157" t="s">
        <v>116</v>
      </c>
      <c r="O2239" s="157" t="s">
        <v>658</v>
      </c>
      <c r="P2239" s="161" t="b">
        <v>1</v>
      </c>
      <c r="Q2239" s="158">
        <v>0.2</v>
      </c>
      <c r="R2239" s="158">
        <v>0.0</v>
      </c>
      <c r="S2239" s="158">
        <v>0.2</v>
      </c>
      <c r="T2239" s="157" t="s">
        <v>116</v>
      </c>
      <c r="U2239" s="46" t="s">
        <v>651</v>
      </c>
      <c r="V2239" s="46" t="b">
        <v>1</v>
      </c>
      <c r="W2239" s="46">
        <v>0.95</v>
      </c>
      <c r="X2239" s="46">
        <v>0.0</v>
      </c>
      <c r="Y2239" s="46">
        <v>109.732542165345</v>
      </c>
      <c r="Z2239" s="46" t="b">
        <v>0</v>
      </c>
      <c r="AA2239" s="46" t="b">
        <v>0</v>
      </c>
    </row>
    <row r="2240">
      <c r="A2240" s="157" t="s">
        <v>563</v>
      </c>
      <c r="B2240" s="158">
        <v>5.0</v>
      </c>
      <c r="C2240" s="157" t="s">
        <v>652</v>
      </c>
      <c r="D2240" s="157" t="s">
        <v>653</v>
      </c>
      <c r="E2240" s="157" t="s">
        <v>654</v>
      </c>
      <c r="F2240" s="157" t="s">
        <v>6555</v>
      </c>
      <c r="G2240" s="157" t="s">
        <v>6556</v>
      </c>
      <c r="H2240" s="157"/>
      <c r="I2240" s="158">
        <v>-0.59503681</v>
      </c>
      <c r="J2240" s="158">
        <v>53.199438</v>
      </c>
      <c r="K2240" s="157" t="s">
        <v>6557</v>
      </c>
      <c r="L2240" s="157" t="s">
        <v>648</v>
      </c>
      <c r="M2240" s="158">
        <v>2019.0</v>
      </c>
      <c r="N2240" s="157" t="s">
        <v>116</v>
      </c>
      <c r="O2240" s="157" t="s">
        <v>658</v>
      </c>
      <c r="P2240" s="161" t="b">
        <v>1</v>
      </c>
      <c r="Q2240" s="158">
        <v>0.191</v>
      </c>
      <c r="R2240" s="158">
        <v>0.0</v>
      </c>
      <c r="S2240" s="158">
        <v>0.191</v>
      </c>
      <c r="T2240" s="157" t="s">
        <v>116</v>
      </c>
      <c r="U2240" s="46" t="s">
        <v>651</v>
      </c>
      <c r="V2240" s="46" t="b">
        <v>1</v>
      </c>
      <c r="W2240" s="46">
        <v>0.95</v>
      </c>
      <c r="X2240" s="46">
        <v>0.0</v>
      </c>
      <c r="Y2240" s="46">
        <v>34.8607629436337</v>
      </c>
      <c r="Z2240" s="46" t="b">
        <v>1</v>
      </c>
      <c r="AA2240" s="46" t="b">
        <v>1</v>
      </c>
    </row>
    <row r="2241">
      <c r="A2241" s="157" t="s">
        <v>563</v>
      </c>
      <c r="B2241" s="158">
        <v>5.0</v>
      </c>
      <c r="C2241" s="157" t="s">
        <v>652</v>
      </c>
      <c r="D2241" s="157" t="s">
        <v>653</v>
      </c>
      <c r="E2241" s="157" t="s">
        <v>654</v>
      </c>
      <c r="F2241" s="157" t="s">
        <v>6558</v>
      </c>
      <c r="G2241" s="157" t="s">
        <v>6559</v>
      </c>
      <c r="H2241" s="157"/>
      <c r="I2241" s="158">
        <v>-1.0544553</v>
      </c>
      <c r="J2241" s="158">
        <v>50.82181</v>
      </c>
      <c r="K2241" s="157" t="s">
        <v>6560</v>
      </c>
      <c r="L2241" s="157" t="s">
        <v>648</v>
      </c>
      <c r="M2241" s="158">
        <v>2019.0</v>
      </c>
      <c r="N2241" s="157" t="s">
        <v>116</v>
      </c>
      <c r="O2241" s="157" t="s">
        <v>658</v>
      </c>
      <c r="P2241" s="161" t="b">
        <v>1</v>
      </c>
      <c r="Q2241" s="158">
        <v>0.19</v>
      </c>
      <c r="R2241" s="158">
        <v>0.0</v>
      </c>
      <c r="S2241" s="158">
        <v>0.19</v>
      </c>
      <c r="T2241" s="157" t="s">
        <v>116</v>
      </c>
      <c r="U2241" s="46" t="s">
        <v>651</v>
      </c>
      <c r="V2241" s="46" t="b">
        <v>1</v>
      </c>
      <c r="W2241" s="46">
        <v>0.95</v>
      </c>
      <c r="X2241" s="46">
        <v>0.0</v>
      </c>
      <c r="Y2241" s="46" t="s">
        <v>640</v>
      </c>
      <c r="Z2241" s="46" t="b">
        <v>0</v>
      </c>
      <c r="AA2241" s="46" t="b">
        <v>0</v>
      </c>
    </row>
    <row r="2242">
      <c r="A2242" s="157" t="s">
        <v>563</v>
      </c>
      <c r="B2242" s="158">
        <v>5.0</v>
      </c>
      <c r="C2242" s="157" t="s">
        <v>652</v>
      </c>
      <c r="D2242" s="157" t="s">
        <v>653</v>
      </c>
      <c r="E2242" s="157" t="s">
        <v>654</v>
      </c>
      <c r="F2242" s="157" t="s">
        <v>6561</v>
      </c>
      <c r="G2242" s="157" t="s">
        <v>6562</v>
      </c>
      <c r="H2242" s="157"/>
      <c r="I2242" s="158">
        <v>-1.2852732</v>
      </c>
      <c r="J2242" s="158">
        <v>53.722154</v>
      </c>
      <c r="K2242" s="157" t="s">
        <v>6511</v>
      </c>
      <c r="L2242" s="157" t="s">
        <v>648</v>
      </c>
      <c r="M2242" s="158">
        <v>2019.0</v>
      </c>
      <c r="N2242" s="157" t="s">
        <v>116</v>
      </c>
      <c r="O2242" s="157" t="s">
        <v>658</v>
      </c>
      <c r="P2242" s="161" t="b">
        <v>1</v>
      </c>
      <c r="Q2242" s="158">
        <v>0.179</v>
      </c>
      <c r="R2242" s="158">
        <v>0.0</v>
      </c>
      <c r="S2242" s="158">
        <v>0.179</v>
      </c>
      <c r="T2242" s="157" t="s">
        <v>116</v>
      </c>
      <c r="U2242" s="46" t="s">
        <v>651</v>
      </c>
      <c r="V2242" s="46" t="b">
        <v>1</v>
      </c>
      <c r="W2242" s="46">
        <v>0.95</v>
      </c>
      <c r="X2242" s="46">
        <v>0.0</v>
      </c>
      <c r="Y2242" s="46">
        <v>30.2375832569382</v>
      </c>
      <c r="Z2242" s="46" t="b">
        <v>1</v>
      </c>
      <c r="AA2242" s="46" t="b">
        <v>1</v>
      </c>
    </row>
    <row r="2243">
      <c r="A2243" s="157" t="s">
        <v>563</v>
      </c>
      <c r="B2243" s="158">
        <v>5.0</v>
      </c>
      <c r="C2243" s="157" t="s">
        <v>652</v>
      </c>
      <c r="D2243" s="157" t="s">
        <v>653</v>
      </c>
      <c r="E2243" s="157" t="s">
        <v>654</v>
      </c>
      <c r="F2243" s="157" t="s">
        <v>6563</v>
      </c>
      <c r="G2243" s="157" t="s">
        <v>6564</v>
      </c>
      <c r="H2243" s="157"/>
      <c r="I2243" s="158">
        <v>-1.5042477</v>
      </c>
      <c r="J2243" s="158">
        <v>53.787525</v>
      </c>
      <c r="K2243" s="157" t="s">
        <v>6565</v>
      </c>
      <c r="L2243" s="157" t="s">
        <v>648</v>
      </c>
      <c r="M2243" s="158">
        <v>2019.0</v>
      </c>
      <c r="N2243" s="157" t="s">
        <v>116</v>
      </c>
      <c r="O2243" s="157" t="s">
        <v>658</v>
      </c>
      <c r="P2243" s="161" t="b">
        <v>1</v>
      </c>
      <c r="Q2243" s="158">
        <v>0.157</v>
      </c>
      <c r="R2243" s="158">
        <v>0.0</v>
      </c>
      <c r="S2243" s="158">
        <v>0.157</v>
      </c>
      <c r="T2243" s="157" t="s">
        <v>116</v>
      </c>
      <c r="U2243" s="46" t="s">
        <v>651</v>
      </c>
      <c r="V2243" s="46" t="b">
        <v>1</v>
      </c>
      <c r="W2243" s="46">
        <v>0.95</v>
      </c>
      <c r="X2243" s="46">
        <v>0.0</v>
      </c>
      <c r="Y2243" s="46">
        <v>45.6901119531911</v>
      </c>
      <c r="Z2243" s="46" t="b">
        <v>1</v>
      </c>
      <c r="AA2243" s="46" t="b">
        <v>1</v>
      </c>
    </row>
    <row r="2244">
      <c r="A2244" s="157" t="s">
        <v>563</v>
      </c>
      <c r="B2244" s="158">
        <v>5.0</v>
      </c>
      <c r="C2244" s="157" t="s">
        <v>652</v>
      </c>
      <c r="D2244" s="157" t="s">
        <v>653</v>
      </c>
      <c r="E2244" s="157" t="s">
        <v>654</v>
      </c>
      <c r="F2244" s="157" t="s">
        <v>6566</v>
      </c>
      <c r="G2244" s="157" t="s">
        <v>6567</v>
      </c>
      <c r="H2244" s="157"/>
      <c r="I2244" s="158">
        <v>-1.1351676</v>
      </c>
      <c r="J2244" s="158">
        <v>52.945958</v>
      </c>
      <c r="K2244" s="157" t="s">
        <v>5963</v>
      </c>
      <c r="L2244" s="157" t="s">
        <v>648</v>
      </c>
      <c r="M2244" s="158">
        <v>2019.0</v>
      </c>
      <c r="N2244" s="157" t="s">
        <v>116</v>
      </c>
      <c r="O2244" s="157" t="s">
        <v>658</v>
      </c>
      <c r="P2244" s="161" t="b">
        <v>1</v>
      </c>
      <c r="Q2244" s="158">
        <v>0.153</v>
      </c>
      <c r="R2244" s="158">
        <v>0.0</v>
      </c>
      <c r="S2244" s="158">
        <v>0.153</v>
      </c>
      <c r="T2244" s="157" t="s">
        <v>116</v>
      </c>
      <c r="U2244" s="46" t="s">
        <v>651</v>
      </c>
      <c r="V2244" s="46" t="b">
        <v>1</v>
      </c>
      <c r="W2244" s="46">
        <v>0.95</v>
      </c>
      <c r="X2244" s="46">
        <v>0.0</v>
      </c>
      <c r="Y2244" s="46">
        <v>73.3020483038963</v>
      </c>
      <c r="Z2244" s="46" t="b">
        <v>0</v>
      </c>
      <c r="AA2244" s="46" t="b">
        <v>1</v>
      </c>
    </row>
    <row r="2245">
      <c r="A2245" s="157" t="s">
        <v>563</v>
      </c>
      <c r="B2245" s="158">
        <v>5.0</v>
      </c>
      <c r="C2245" s="157" t="s">
        <v>652</v>
      </c>
      <c r="D2245" s="157" t="s">
        <v>653</v>
      </c>
      <c r="E2245" s="157" t="s">
        <v>654</v>
      </c>
      <c r="F2245" s="157" t="s">
        <v>6568</v>
      </c>
      <c r="G2245" s="157" t="s">
        <v>6569</v>
      </c>
      <c r="H2245" s="157"/>
      <c r="I2245" s="158">
        <v>1.128652</v>
      </c>
      <c r="J2245" s="158">
        <v>52.335662</v>
      </c>
      <c r="K2245" s="157" t="s">
        <v>6570</v>
      </c>
      <c r="L2245" s="157" t="s">
        <v>648</v>
      </c>
      <c r="M2245" s="158">
        <v>2019.0</v>
      </c>
      <c r="N2245" s="157" t="s">
        <v>116</v>
      </c>
      <c r="O2245" s="157" t="s">
        <v>658</v>
      </c>
      <c r="P2245" s="161" t="b">
        <v>1</v>
      </c>
      <c r="Q2245" s="158">
        <v>0.148</v>
      </c>
      <c r="R2245" s="158">
        <v>0.0</v>
      </c>
      <c r="S2245" s="158">
        <v>0.148</v>
      </c>
      <c r="T2245" s="157" t="s">
        <v>116</v>
      </c>
      <c r="U2245" s="46" t="s">
        <v>651</v>
      </c>
      <c r="V2245" s="46" t="b">
        <v>1</v>
      </c>
      <c r="W2245" s="46">
        <v>0.95</v>
      </c>
      <c r="X2245" s="46">
        <v>0.0</v>
      </c>
      <c r="Y2245" s="46">
        <v>123.316270576496</v>
      </c>
      <c r="Z2245" s="46" t="b">
        <v>0</v>
      </c>
      <c r="AA2245" s="46" t="b">
        <v>0</v>
      </c>
    </row>
    <row r="2246">
      <c r="A2246" s="157" t="s">
        <v>563</v>
      </c>
      <c r="B2246" s="158">
        <v>5.0</v>
      </c>
      <c r="C2246" s="157" t="s">
        <v>652</v>
      </c>
      <c r="D2246" s="157" t="s">
        <v>653</v>
      </c>
      <c r="E2246" s="157" t="s">
        <v>654</v>
      </c>
      <c r="F2246" s="157" t="s">
        <v>6571</v>
      </c>
      <c r="G2246" s="157" t="s">
        <v>6572</v>
      </c>
      <c r="H2246" s="157"/>
      <c r="I2246" s="158">
        <v>-0.59095616</v>
      </c>
      <c r="J2246" s="158">
        <v>52.263499</v>
      </c>
      <c r="K2246" s="157" t="s">
        <v>6573</v>
      </c>
      <c r="L2246" s="157" t="s">
        <v>648</v>
      </c>
      <c r="M2246" s="158">
        <v>2019.0</v>
      </c>
      <c r="N2246" s="157" t="s">
        <v>116</v>
      </c>
      <c r="O2246" s="157" t="s">
        <v>658</v>
      </c>
      <c r="P2246" s="161" t="b">
        <v>1</v>
      </c>
      <c r="Q2246" s="158">
        <v>0.144</v>
      </c>
      <c r="R2246" s="158">
        <v>0.0</v>
      </c>
      <c r="S2246" s="158">
        <v>0.144</v>
      </c>
      <c r="T2246" s="157" t="s">
        <v>116</v>
      </c>
      <c r="U2246" s="46" t="s">
        <v>651</v>
      </c>
      <c r="V2246" s="46" t="b">
        <v>1</v>
      </c>
      <c r="W2246" s="46">
        <v>0.95</v>
      </c>
      <c r="X2246" s="46">
        <v>0.0</v>
      </c>
      <c r="Y2246" s="46" t="s">
        <v>640</v>
      </c>
      <c r="Z2246" s="46" t="b">
        <v>0</v>
      </c>
      <c r="AA2246" s="46" t="b">
        <v>0</v>
      </c>
    </row>
    <row r="2247">
      <c r="A2247" s="157" t="s">
        <v>563</v>
      </c>
      <c r="B2247" s="158">
        <v>5.0</v>
      </c>
      <c r="C2247" s="157" t="s">
        <v>652</v>
      </c>
      <c r="D2247" s="157" t="s">
        <v>653</v>
      </c>
      <c r="E2247" s="157" t="s">
        <v>654</v>
      </c>
      <c r="F2247" s="157" t="s">
        <v>6574</v>
      </c>
      <c r="G2247" s="157" t="s">
        <v>6575</v>
      </c>
      <c r="H2247" s="157"/>
      <c r="I2247" s="158">
        <v>-1.7775451</v>
      </c>
      <c r="J2247" s="158">
        <v>53.655139</v>
      </c>
      <c r="K2247" s="157" t="s">
        <v>6576</v>
      </c>
      <c r="L2247" s="157" t="s">
        <v>648</v>
      </c>
      <c r="M2247" s="158">
        <v>2019.0</v>
      </c>
      <c r="N2247" s="157" t="s">
        <v>116</v>
      </c>
      <c r="O2247" s="157" t="s">
        <v>658</v>
      </c>
      <c r="P2247" s="161" t="b">
        <v>1</v>
      </c>
      <c r="Q2247" s="158">
        <v>0.134</v>
      </c>
      <c r="R2247" s="158">
        <v>0.0</v>
      </c>
      <c r="S2247" s="158">
        <v>0.134</v>
      </c>
      <c r="T2247" s="157" t="s">
        <v>116</v>
      </c>
      <c r="U2247" s="46" t="s">
        <v>651</v>
      </c>
      <c r="V2247" s="46" t="b">
        <v>1</v>
      </c>
      <c r="W2247" s="46">
        <v>0.95</v>
      </c>
      <c r="X2247" s="46">
        <v>0.0</v>
      </c>
      <c r="Y2247" s="46">
        <v>51.8523892784402</v>
      </c>
      <c r="Z2247" s="46" t="b">
        <v>0</v>
      </c>
      <c r="AA2247" s="46" t="b">
        <v>1</v>
      </c>
    </row>
    <row r="2248">
      <c r="A2248" s="157" t="s">
        <v>563</v>
      </c>
      <c r="B2248" s="158">
        <v>5.0</v>
      </c>
      <c r="C2248" s="157" t="s">
        <v>652</v>
      </c>
      <c r="D2248" s="157" t="s">
        <v>653</v>
      </c>
      <c r="E2248" s="157" t="s">
        <v>654</v>
      </c>
      <c r="F2248" s="157" t="s">
        <v>6577</v>
      </c>
      <c r="G2248" s="157" t="s">
        <v>6578</v>
      </c>
      <c r="H2248" s="157"/>
      <c r="I2248" s="158">
        <v>-0.040538506</v>
      </c>
      <c r="J2248" s="158">
        <v>51.616222</v>
      </c>
      <c r="K2248" s="157" t="s">
        <v>1242</v>
      </c>
      <c r="L2248" s="157" t="s">
        <v>648</v>
      </c>
      <c r="M2248" s="158">
        <v>2019.0</v>
      </c>
      <c r="N2248" s="157" t="s">
        <v>116</v>
      </c>
      <c r="O2248" s="157" t="s">
        <v>658</v>
      </c>
      <c r="P2248" s="161" t="b">
        <v>1</v>
      </c>
      <c r="Q2248" s="158">
        <v>0.134</v>
      </c>
      <c r="R2248" s="158">
        <v>0.0</v>
      </c>
      <c r="S2248" s="158">
        <v>0.134</v>
      </c>
      <c r="T2248" s="157" t="s">
        <v>116</v>
      </c>
      <c r="U2248" s="46" t="s">
        <v>651</v>
      </c>
      <c r="V2248" s="46" t="b">
        <v>1</v>
      </c>
      <c r="W2248" s="46">
        <v>0.95</v>
      </c>
      <c r="X2248" s="46">
        <v>0.0</v>
      </c>
      <c r="Y2248" s="46">
        <v>147.324427575727</v>
      </c>
      <c r="Z2248" s="46" t="b">
        <v>0</v>
      </c>
      <c r="AA2248" s="46" t="b">
        <v>0</v>
      </c>
    </row>
    <row r="2249">
      <c r="A2249" s="157" t="s">
        <v>563</v>
      </c>
      <c r="B2249" s="158">
        <v>5.0</v>
      </c>
      <c r="C2249" s="157" t="s">
        <v>652</v>
      </c>
      <c r="D2249" s="157" t="s">
        <v>653</v>
      </c>
      <c r="E2249" s="157" t="s">
        <v>654</v>
      </c>
      <c r="F2249" s="157" t="s">
        <v>6579</v>
      </c>
      <c r="G2249" s="157" t="s">
        <v>6580</v>
      </c>
      <c r="H2249" s="157"/>
      <c r="I2249" s="158">
        <v>-0.6254345</v>
      </c>
      <c r="J2249" s="158">
        <v>51.523818</v>
      </c>
      <c r="K2249" s="157" t="s">
        <v>6531</v>
      </c>
      <c r="L2249" s="157" t="s">
        <v>648</v>
      </c>
      <c r="M2249" s="158">
        <v>2019.0</v>
      </c>
      <c r="N2249" s="157" t="s">
        <v>116</v>
      </c>
      <c r="O2249" s="157" t="s">
        <v>658</v>
      </c>
      <c r="P2249" s="161" t="b">
        <v>1</v>
      </c>
      <c r="Q2249" s="158">
        <v>0.134</v>
      </c>
      <c r="R2249" s="158">
        <v>0.0</v>
      </c>
      <c r="S2249" s="158">
        <v>0.134</v>
      </c>
      <c r="T2249" s="157" t="s">
        <v>116</v>
      </c>
      <c r="U2249" s="46" t="s">
        <v>651</v>
      </c>
      <c r="V2249" s="46" t="b">
        <v>1</v>
      </c>
      <c r="W2249" s="46">
        <v>0.95</v>
      </c>
      <c r="X2249" s="46">
        <v>0.0</v>
      </c>
      <c r="Y2249" s="46" t="s">
        <v>640</v>
      </c>
      <c r="Z2249" s="46" t="b">
        <v>0</v>
      </c>
      <c r="AA2249" s="46" t="b">
        <v>0</v>
      </c>
    </row>
    <row r="2250">
      <c r="A2250" s="157" t="s">
        <v>563</v>
      </c>
      <c r="B2250" s="158">
        <v>5.0</v>
      </c>
      <c r="C2250" s="157" t="s">
        <v>652</v>
      </c>
      <c r="D2250" s="157" t="s">
        <v>653</v>
      </c>
      <c r="E2250" s="157" t="s">
        <v>654</v>
      </c>
      <c r="F2250" s="157" t="s">
        <v>6581</v>
      </c>
      <c r="G2250" s="157" t="s">
        <v>6582</v>
      </c>
      <c r="H2250" s="157"/>
      <c r="I2250" s="158">
        <v>-3.08594</v>
      </c>
      <c r="J2250" s="158">
        <v>55.92507</v>
      </c>
      <c r="K2250" s="157" t="s">
        <v>6583</v>
      </c>
      <c r="L2250" s="157" t="s">
        <v>648</v>
      </c>
      <c r="M2250" s="158">
        <v>2019.0</v>
      </c>
      <c r="N2250" s="157" t="s">
        <v>116</v>
      </c>
      <c r="O2250" s="157" t="s">
        <v>658</v>
      </c>
      <c r="P2250" s="161" t="b">
        <v>1</v>
      </c>
      <c r="Q2250" s="158">
        <v>0.132</v>
      </c>
      <c r="R2250" s="158">
        <v>0.0</v>
      </c>
      <c r="S2250" s="158">
        <v>0.132</v>
      </c>
      <c r="T2250" s="157" t="s">
        <v>116</v>
      </c>
      <c r="U2250" s="46" t="s">
        <v>651</v>
      </c>
      <c r="V2250" s="46" t="b">
        <v>1</v>
      </c>
      <c r="W2250" s="46">
        <v>0.95</v>
      </c>
      <c r="X2250" s="46">
        <v>0.0</v>
      </c>
      <c r="Y2250" s="46">
        <v>19.4689657841946</v>
      </c>
      <c r="Z2250" s="46" t="b">
        <v>1</v>
      </c>
      <c r="AA2250" s="46" t="b">
        <v>1</v>
      </c>
    </row>
    <row r="2251">
      <c r="A2251" s="157" t="s">
        <v>563</v>
      </c>
      <c r="B2251" s="158">
        <v>5.0</v>
      </c>
      <c r="C2251" s="157" t="s">
        <v>652</v>
      </c>
      <c r="D2251" s="157" t="s">
        <v>653</v>
      </c>
      <c r="E2251" s="157" t="s">
        <v>654</v>
      </c>
      <c r="F2251" s="157" t="s">
        <v>6584</v>
      </c>
      <c r="G2251" s="157" t="s">
        <v>6585</v>
      </c>
      <c r="H2251" s="157"/>
      <c r="I2251" s="158">
        <v>-2.2074329</v>
      </c>
      <c r="J2251" s="158">
        <v>52.326472</v>
      </c>
      <c r="K2251" s="157" t="s">
        <v>6586</v>
      </c>
      <c r="L2251" s="157" t="s">
        <v>648</v>
      </c>
      <c r="M2251" s="158">
        <v>2019.0</v>
      </c>
      <c r="N2251" s="157" t="s">
        <v>116</v>
      </c>
      <c r="O2251" s="157" t="s">
        <v>658</v>
      </c>
      <c r="P2251" s="161" t="b">
        <v>1</v>
      </c>
      <c r="Q2251" s="158">
        <v>0.13</v>
      </c>
      <c r="R2251" s="158">
        <v>0.0</v>
      </c>
      <c r="S2251" s="158">
        <v>0.13</v>
      </c>
      <c r="T2251" s="157" t="s">
        <v>116</v>
      </c>
      <c r="U2251" s="46" t="s">
        <v>651</v>
      </c>
      <c r="V2251" s="46" t="b">
        <v>1</v>
      </c>
      <c r="W2251" s="46">
        <v>0.95</v>
      </c>
      <c r="X2251" s="46">
        <v>0.0</v>
      </c>
      <c r="Y2251" s="46">
        <v>103.396409299071</v>
      </c>
      <c r="Z2251" s="46" t="b">
        <v>0</v>
      </c>
      <c r="AA2251" s="46" t="b">
        <v>0</v>
      </c>
    </row>
    <row r="2252">
      <c r="A2252" s="157" t="s">
        <v>563</v>
      </c>
      <c r="B2252" s="158">
        <v>5.0</v>
      </c>
      <c r="C2252" s="157" t="s">
        <v>652</v>
      </c>
      <c r="D2252" s="157" t="s">
        <v>653</v>
      </c>
      <c r="E2252" s="157" t="s">
        <v>654</v>
      </c>
      <c r="F2252" s="157" t="s">
        <v>6587</v>
      </c>
      <c r="G2252" s="157" t="s">
        <v>6588</v>
      </c>
      <c r="H2252" s="157"/>
      <c r="I2252" s="158">
        <v>0.33100218</v>
      </c>
      <c r="J2252" s="158">
        <v>51.469679</v>
      </c>
      <c r="K2252" s="157" t="s">
        <v>6589</v>
      </c>
      <c r="L2252" s="157" t="s">
        <v>648</v>
      </c>
      <c r="M2252" s="158">
        <v>2019.0</v>
      </c>
      <c r="N2252" s="157" t="s">
        <v>116</v>
      </c>
      <c r="O2252" s="157" t="s">
        <v>658</v>
      </c>
      <c r="P2252" s="161" t="b">
        <v>1</v>
      </c>
      <c r="Q2252" s="158">
        <v>0.129</v>
      </c>
      <c r="R2252" s="158">
        <v>0.0</v>
      </c>
      <c r="S2252" s="158">
        <v>0.129</v>
      </c>
      <c r="T2252" s="157" t="s">
        <v>116</v>
      </c>
      <c r="U2252" s="46" t="s">
        <v>651</v>
      </c>
      <c r="V2252" s="46" t="b">
        <v>1</v>
      </c>
      <c r="W2252" s="46">
        <v>0.95</v>
      </c>
      <c r="X2252" s="46">
        <v>0.0</v>
      </c>
      <c r="Y2252" s="46">
        <v>116.935434759898</v>
      </c>
      <c r="Z2252" s="46" t="b">
        <v>0</v>
      </c>
      <c r="AA2252" s="46" t="b">
        <v>0</v>
      </c>
    </row>
    <row r="2253">
      <c r="A2253" s="157" t="s">
        <v>563</v>
      </c>
      <c r="B2253" s="158">
        <v>5.0</v>
      </c>
      <c r="C2253" s="157" t="s">
        <v>652</v>
      </c>
      <c r="D2253" s="157" t="s">
        <v>653</v>
      </c>
      <c r="E2253" s="157" t="s">
        <v>654</v>
      </c>
      <c r="F2253" s="157" t="s">
        <v>6590</v>
      </c>
      <c r="G2253" s="157" t="s">
        <v>6591</v>
      </c>
      <c r="H2253" s="157"/>
      <c r="I2253" s="158">
        <v>-2.1245608</v>
      </c>
      <c r="J2253" s="158">
        <v>52.597637</v>
      </c>
      <c r="K2253" s="157" t="s">
        <v>6592</v>
      </c>
      <c r="L2253" s="157" t="s">
        <v>648</v>
      </c>
      <c r="M2253" s="158">
        <v>2019.0</v>
      </c>
      <c r="N2253" s="157" t="s">
        <v>116</v>
      </c>
      <c r="O2253" s="157" t="s">
        <v>658</v>
      </c>
      <c r="P2253" s="161" t="b">
        <v>1</v>
      </c>
      <c r="Q2253" s="158">
        <v>0.127</v>
      </c>
      <c r="R2253" s="158">
        <v>0.0</v>
      </c>
      <c r="S2253" s="158">
        <v>0.127</v>
      </c>
      <c r="T2253" s="157" t="s">
        <v>116</v>
      </c>
      <c r="U2253" s="46" t="s">
        <v>651</v>
      </c>
      <c r="V2253" s="46" t="b">
        <v>1</v>
      </c>
      <c r="W2253" s="46">
        <v>0.95</v>
      </c>
      <c r="X2253" s="46">
        <v>0.0</v>
      </c>
      <c r="Y2253" s="46">
        <v>78.5454663071738</v>
      </c>
      <c r="Z2253" s="46" t="b">
        <v>0</v>
      </c>
      <c r="AA2253" s="46" t="b">
        <v>1</v>
      </c>
    </row>
    <row r="2254">
      <c r="A2254" s="157" t="s">
        <v>563</v>
      </c>
      <c r="B2254" s="158">
        <v>5.0</v>
      </c>
      <c r="C2254" s="157" t="s">
        <v>652</v>
      </c>
      <c r="D2254" s="157" t="s">
        <v>653</v>
      </c>
      <c r="E2254" s="157" t="s">
        <v>654</v>
      </c>
      <c r="F2254" s="157" t="s">
        <v>6593</v>
      </c>
      <c r="G2254" s="157" t="s">
        <v>6594</v>
      </c>
      <c r="H2254" s="157"/>
      <c r="I2254" s="158">
        <v>-2.082889</v>
      </c>
      <c r="J2254" s="158">
        <v>52.499145</v>
      </c>
      <c r="K2254" s="157" t="s">
        <v>6595</v>
      </c>
      <c r="L2254" s="157" t="s">
        <v>648</v>
      </c>
      <c r="M2254" s="158">
        <v>2019.0</v>
      </c>
      <c r="N2254" s="157" t="s">
        <v>116</v>
      </c>
      <c r="O2254" s="157" t="s">
        <v>658</v>
      </c>
      <c r="P2254" s="161" t="b">
        <v>1</v>
      </c>
      <c r="Q2254" s="158">
        <v>0.111</v>
      </c>
      <c r="R2254" s="158">
        <v>0.0</v>
      </c>
      <c r="S2254" s="158">
        <v>0.111</v>
      </c>
      <c r="T2254" s="157" t="s">
        <v>116</v>
      </c>
      <c r="U2254" s="46" t="s">
        <v>651</v>
      </c>
      <c r="V2254" s="46" t="b">
        <v>1</v>
      </c>
      <c r="W2254" s="46">
        <v>0.95</v>
      </c>
      <c r="X2254" s="46">
        <v>0.0</v>
      </c>
      <c r="Y2254" s="46">
        <v>89.429300827625</v>
      </c>
      <c r="Z2254" s="46" t="b">
        <v>0</v>
      </c>
      <c r="AA2254" s="46" t="b">
        <v>1</v>
      </c>
    </row>
    <row r="2255">
      <c r="A2255" s="157" t="s">
        <v>563</v>
      </c>
      <c r="B2255" s="158">
        <v>5.0</v>
      </c>
      <c r="C2255" s="157" t="s">
        <v>652</v>
      </c>
      <c r="D2255" s="157" t="s">
        <v>653</v>
      </c>
      <c r="E2255" s="157" t="s">
        <v>654</v>
      </c>
      <c r="F2255" s="157" t="s">
        <v>6596</v>
      </c>
      <c r="G2255" s="157" t="s">
        <v>6597</v>
      </c>
      <c r="H2255" s="157"/>
      <c r="I2255" s="158">
        <v>-2.90211</v>
      </c>
      <c r="J2255" s="158">
        <v>56.48585</v>
      </c>
      <c r="K2255" s="157" t="s">
        <v>6598</v>
      </c>
      <c r="L2255" s="157" t="s">
        <v>648</v>
      </c>
      <c r="M2255" s="158">
        <v>2019.0</v>
      </c>
      <c r="N2255" s="157" t="s">
        <v>116</v>
      </c>
      <c r="O2255" s="157" t="s">
        <v>658</v>
      </c>
      <c r="P2255" s="161" t="b">
        <v>1</v>
      </c>
      <c r="Q2255" s="158">
        <v>0.102</v>
      </c>
      <c r="R2255" s="158">
        <v>0.0</v>
      </c>
      <c r="S2255" s="158">
        <v>0.102</v>
      </c>
      <c r="T2255" s="157" t="s">
        <v>116</v>
      </c>
      <c r="U2255" s="46" t="s">
        <v>651</v>
      </c>
      <c r="V2255" s="46" t="b">
        <v>1</v>
      </c>
      <c r="W2255" s="46">
        <v>0.95</v>
      </c>
      <c r="X2255" s="46">
        <v>0.0</v>
      </c>
      <c r="Y2255" s="46">
        <v>9.81800490775858</v>
      </c>
      <c r="Z2255" s="46" t="b">
        <v>1</v>
      </c>
      <c r="AA2255" s="46" t="b">
        <v>1</v>
      </c>
    </row>
  </sheetData>
  <hyperlinks>
    <hyperlink r:id="rId1" ref="F124"/>
    <hyperlink r:id="rId2" ref="F126"/>
    <hyperlink r:id="rId3" ref="F131"/>
    <hyperlink r:id="rId4" ref="F135"/>
    <hyperlink r:id="rId5" ref="F136"/>
    <hyperlink r:id="rId6" ref="F137"/>
    <hyperlink r:id="rId7" ref="F142"/>
    <hyperlink r:id="rId8" ref="F146"/>
    <hyperlink r:id="rId9" ref="F151"/>
    <hyperlink r:id="rId10" ref="F159"/>
    <hyperlink r:id="rId11" ref="F163"/>
    <hyperlink r:id="rId12" ref="F164"/>
    <hyperlink r:id="rId13" ref="F170"/>
    <hyperlink r:id="rId14" ref="F179"/>
    <hyperlink r:id="rId15" ref="F188"/>
    <hyperlink r:id="rId16" ref="F198"/>
    <hyperlink r:id="rId17" ref="F199"/>
    <hyperlink r:id="rId18" ref="F202"/>
    <hyperlink r:id="rId19" ref="F203"/>
    <hyperlink r:id="rId20" ref="F209"/>
    <hyperlink r:id="rId21" ref="F219"/>
    <hyperlink r:id="rId22" ref="F225"/>
    <hyperlink r:id="rId23" ref="F227"/>
    <hyperlink r:id="rId24" ref="F228"/>
    <hyperlink r:id="rId25" ref="F230"/>
    <hyperlink r:id="rId26" ref="F231"/>
    <hyperlink r:id="rId27" ref="F232"/>
    <hyperlink r:id="rId28" ref="F233"/>
    <hyperlink r:id="rId29" ref="F239"/>
    <hyperlink r:id="rId30" ref="F240"/>
    <hyperlink r:id="rId31" ref="F241"/>
    <hyperlink r:id="rId32" ref="F242"/>
    <hyperlink r:id="rId33" ref="F244"/>
    <hyperlink r:id="rId34" ref="F247"/>
    <hyperlink r:id="rId35" ref="F251"/>
    <hyperlink r:id="rId36" ref="F256"/>
    <hyperlink r:id="rId37" ref="F257"/>
    <hyperlink r:id="rId38" ref="F263"/>
    <hyperlink r:id="rId39" ref="F266"/>
    <hyperlink r:id="rId40" ref="F269"/>
    <hyperlink r:id="rId41" ref="F274"/>
    <hyperlink r:id="rId42" ref="F275"/>
    <hyperlink r:id="rId43" ref="F282"/>
    <hyperlink r:id="rId44" ref="F284"/>
    <hyperlink r:id="rId45" ref="F286"/>
    <hyperlink r:id="rId46" ref="F287"/>
    <hyperlink r:id="rId47" ref="F290"/>
    <hyperlink r:id="rId48" ref="F295"/>
    <hyperlink r:id="rId49" ref="F296"/>
    <hyperlink r:id="rId50" ref="F303"/>
    <hyperlink r:id="rId51" ref="F304"/>
    <hyperlink r:id="rId52" ref="F309"/>
    <hyperlink r:id="rId53" ref="F311"/>
    <hyperlink r:id="rId54" ref="F313"/>
    <hyperlink r:id="rId55" ref="F316"/>
    <hyperlink r:id="rId56" ref="F320"/>
    <hyperlink r:id="rId57" ref="F329"/>
    <hyperlink r:id="rId58" ref="F334"/>
    <hyperlink r:id="rId59" ref="F344"/>
    <hyperlink r:id="rId60" ref="F351"/>
    <hyperlink r:id="rId61" ref="F352"/>
    <hyperlink r:id="rId62" ref="F364"/>
    <hyperlink r:id="rId63" ref="F365"/>
    <hyperlink r:id="rId64" ref="F375"/>
    <hyperlink r:id="rId65" ref="F376"/>
    <hyperlink r:id="rId66" ref="F379"/>
    <hyperlink r:id="rId67" ref="F405"/>
    <hyperlink r:id="rId68" ref="F407"/>
    <hyperlink r:id="rId69" ref="F408"/>
    <hyperlink r:id="rId70" ref="F409"/>
    <hyperlink r:id="rId71" ref="F416"/>
    <hyperlink r:id="rId72" ref="F427"/>
    <hyperlink r:id="rId73" ref="F430"/>
    <hyperlink r:id="rId74" ref="F439"/>
    <hyperlink r:id="rId75" ref="F445"/>
    <hyperlink r:id="rId76" ref="F446"/>
    <hyperlink r:id="rId77" ref="F479"/>
    <hyperlink r:id="rId78" ref="F487"/>
    <hyperlink r:id="rId79" ref="F490"/>
    <hyperlink r:id="rId80" ref="F512"/>
    <hyperlink r:id="rId81" ref="F534"/>
    <hyperlink r:id="rId82" ref="F540"/>
    <hyperlink r:id="rId83" ref="F552"/>
    <hyperlink r:id="rId84" ref="F562"/>
    <hyperlink r:id="rId85" ref="F565"/>
    <hyperlink r:id="rId86" ref="F568"/>
    <hyperlink r:id="rId87" ref="F570"/>
    <hyperlink r:id="rId88" ref="F586"/>
    <hyperlink r:id="rId89" ref="F613"/>
    <hyperlink r:id="rId90" ref="F615"/>
    <hyperlink r:id="rId91" ref="F619"/>
    <hyperlink r:id="rId92" ref="F627"/>
    <hyperlink r:id="rId93" ref="F629"/>
    <hyperlink r:id="rId94" ref="F662"/>
    <hyperlink r:id="rId95" ref="F690"/>
    <hyperlink r:id="rId96" ref="F693"/>
    <hyperlink r:id="rId97" ref="F696"/>
    <hyperlink r:id="rId98" ref="F706"/>
    <hyperlink r:id="rId99" ref="F714"/>
    <hyperlink r:id="rId100" ref="F741"/>
    <hyperlink r:id="rId101" ref="F768"/>
    <hyperlink r:id="rId102" ref="F771"/>
    <hyperlink r:id="rId103" ref="F789"/>
    <hyperlink r:id="rId104" ref="F790"/>
    <hyperlink r:id="rId105" ref="F802"/>
    <hyperlink r:id="rId106" ref="F817"/>
    <hyperlink r:id="rId107" ref="F826"/>
    <hyperlink r:id="rId108" ref="F829"/>
    <hyperlink r:id="rId109" ref="F838"/>
    <hyperlink r:id="rId110" ref="F856"/>
    <hyperlink r:id="rId111" ref="F884"/>
    <hyperlink r:id="rId112" ref="F890"/>
    <hyperlink r:id="rId113" ref="F893"/>
    <hyperlink r:id="rId114" ref="F904"/>
    <hyperlink r:id="rId115" ref="F908"/>
    <hyperlink r:id="rId116" ref="F915"/>
    <hyperlink r:id="rId117" ref="F917"/>
    <hyperlink r:id="rId118" ref="F938"/>
    <hyperlink r:id="rId119" ref="F969"/>
    <hyperlink r:id="rId120" ref="F978"/>
    <hyperlink r:id="rId121" ref="F994"/>
    <hyperlink r:id="rId122" ref="F1007"/>
    <hyperlink r:id="rId123" ref="F1020"/>
    <hyperlink r:id="rId124" ref="F1051"/>
    <hyperlink r:id="rId125" ref="F1053"/>
    <hyperlink r:id="rId126" ref="F1070"/>
    <hyperlink r:id="rId127" ref="F1085"/>
    <hyperlink r:id="rId128" ref="F1088"/>
    <hyperlink r:id="rId129" ref="F1095"/>
    <hyperlink r:id="rId130" ref="F1107"/>
    <hyperlink r:id="rId131" ref="F1118"/>
    <hyperlink r:id="rId132" ref="F1149"/>
    <hyperlink r:id="rId133" ref="F1157"/>
    <hyperlink r:id="rId134" ref="F1158"/>
    <hyperlink r:id="rId135" ref="F1162"/>
    <hyperlink r:id="rId136" ref="F1163"/>
    <hyperlink r:id="rId137" ref="F1168"/>
    <hyperlink r:id="rId138" ref="F1169"/>
    <hyperlink r:id="rId139" ref="F1170"/>
    <hyperlink r:id="rId140" ref="F1171"/>
    <hyperlink r:id="rId141" ref="F1172"/>
    <hyperlink r:id="rId142" ref="F1173"/>
    <hyperlink r:id="rId143" ref="F1174"/>
    <hyperlink r:id="rId144" ref="F1175"/>
    <hyperlink r:id="rId145" ref="F1176"/>
    <hyperlink r:id="rId146" ref="F1177"/>
    <hyperlink r:id="rId147" ref="F1178"/>
    <hyperlink r:id="rId148" ref="F1179"/>
    <hyperlink r:id="rId149" ref="F1180"/>
    <hyperlink r:id="rId150" ref="F1181"/>
    <hyperlink r:id="rId151" ref="F1182"/>
    <hyperlink r:id="rId152" ref="F1183"/>
    <hyperlink r:id="rId153" ref="F1184"/>
    <hyperlink r:id="rId154" ref="F1185"/>
    <hyperlink r:id="rId155" ref="F1186"/>
    <hyperlink r:id="rId156" ref="F1187"/>
    <hyperlink r:id="rId157" ref="F1188"/>
    <hyperlink r:id="rId158" ref="F1208"/>
    <hyperlink r:id="rId159" ref="F1214"/>
    <hyperlink r:id="rId160" ref="F1215"/>
    <hyperlink r:id="rId161" ref="F1216"/>
    <hyperlink r:id="rId162" ref="F1226"/>
    <hyperlink r:id="rId163" ref="F1227"/>
    <hyperlink r:id="rId164" ref="F1228"/>
    <hyperlink r:id="rId165" ref="F1229"/>
    <hyperlink r:id="rId166" ref="F1230"/>
    <hyperlink r:id="rId167" ref="F1253"/>
    <hyperlink r:id="rId168" ref="F1254"/>
    <hyperlink r:id="rId169" ref="F1255"/>
    <hyperlink r:id="rId170" ref="F1256"/>
    <hyperlink r:id="rId171" ref="F1257"/>
    <hyperlink r:id="rId172" ref="F1258"/>
    <hyperlink r:id="rId173" ref="F1259"/>
    <hyperlink r:id="rId174" ref="F1263"/>
    <hyperlink r:id="rId175" ref="F1264"/>
    <hyperlink r:id="rId176" ref="F1265"/>
    <hyperlink r:id="rId177" ref="F1266"/>
    <hyperlink r:id="rId178" ref="F1267"/>
    <hyperlink r:id="rId179" ref="F1268"/>
    <hyperlink r:id="rId180" ref="F1269"/>
    <hyperlink r:id="rId181" ref="F1270"/>
    <hyperlink r:id="rId182" ref="F1271"/>
    <hyperlink r:id="rId183" ref="F1272"/>
    <hyperlink r:id="rId184" ref="F1273"/>
    <hyperlink r:id="rId185" ref="F1274"/>
    <hyperlink r:id="rId186" ref="F1275"/>
    <hyperlink r:id="rId187" ref="F1276"/>
    <hyperlink r:id="rId188" ref="F1277"/>
    <hyperlink r:id="rId189" ref="F1278"/>
    <hyperlink r:id="rId190" ref="F1279"/>
    <hyperlink r:id="rId191" ref="F1280"/>
    <hyperlink r:id="rId192" ref="F1281"/>
    <hyperlink r:id="rId193" ref="F1282"/>
    <hyperlink r:id="rId194" ref="F1283"/>
    <hyperlink r:id="rId195" ref="F1284"/>
    <hyperlink r:id="rId196" ref="F1285"/>
    <hyperlink r:id="rId197" ref="F1289"/>
    <hyperlink r:id="rId198" ref="F1290"/>
    <hyperlink r:id="rId199" ref="F1291"/>
    <hyperlink r:id="rId200" ref="F1297"/>
    <hyperlink r:id="rId201" ref="F1298"/>
    <hyperlink r:id="rId202" ref="F1299"/>
    <hyperlink r:id="rId203" ref="F1300"/>
    <hyperlink r:id="rId204" ref="F1301"/>
    <hyperlink r:id="rId205" ref="F1309"/>
    <hyperlink r:id="rId206" ref="F1310"/>
    <hyperlink r:id="rId207" ref="F1311"/>
    <hyperlink r:id="rId208" ref="F1312"/>
    <hyperlink r:id="rId209" ref="F1313"/>
    <hyperlink r:id="rId210" ref="F1314"/>
    <hyperlink r:id="rId211" ref="F1315"/>
    <hyperlink r:id="rId212" ref="F1316"/>
    <hyperlink r:id="rId213" ref="F1317"/>
    <hyperlink r:id="rId214" ref="F1318"/>
    <hyperlink r:id="rId215" ref="F1319"/>
    <hyperlink r:id="rId216" ref="F1341"/>
    <hyperlink r:id="rId217" ref="F1355"/>
    <hyperlink r:id="rId218" ref="F1356"/>
    <hyperlink r:id="rId219" ref="F1357"/>
    <hyperlink r:id="rId220" ref="F1358"/>
    <hyperlink r:id="rId221" ref="F1359"/>
    <hyperlink r:id="rId222" ref="F1360"/>
    <hyperlink r:id="rId223" ref="F1361"/>
    <hyperlink r:id="rId224" ref="F1362"/>
    <hyperlink r:id="rId225" ref="F1363"/>
    <hyperlink r:id="rId226" ref="F1394"/>
    <hyperlink r:id="rId227" ref="F1395"/>
    <hyperlink r:id="rId228" ref="F1396"/>
    <hyperlink r:id="rId229" ref="F1435"/>
    <hyperlink r:id="rId230" ref="F1436"/>
    <hyperlink r:id="rId231" ref="F1437"/>
    <hyperlink r:id="rId232" ref="F1440"/>
    <hyperlink r:id="rId233" ref="F1441"/>
    <hyperlink r:id="rId234" ref="F1442"/>
    <hyperlink r:id="rId235" ref="F1450"/>
    <hyperlink r:id="rId236" ref="F1451"/>
    <hyperlink r:id="rId237" ref="F1452"/>
    <hyperlink r:id="rId238" ref="F1453"/>
    <hyperlink r:id="rId239" ref="F1454"/>
    <hyperlink r:id="rId240" ref="F1455"/>
    <hyperlink r:id="rId241" ref="F1456"/>
    <hyperlink r:id="rId242" ref="F1457"/>
    <hyperlink r:id="rId243" ref="F1458"/>
    <hyperlink r:id="rId244" ref="F1459"/>
    <hyperlink r:id="rId245" ref="F1460"/>
    <hyperlink r:id="rId246" ref="F1461"/>
    <hyperlink r:id="rId247" ref="F1462"/>
    <hyperlink r:id="rId248" ref="F1463"/>
    <hyperlink r:id="rId249" ref="F1464"/>
    <hyperlink r:id="rId250" ref="F1465"/>
    <hyperlink r:id="rId251" ref="F1466"/>
    <hyperlink r:id="rId252" ref="F1495"/>
    <hyperlink r:id="rId253" ref="F1496"/>
    <hyperlink r:id="rId254" ref="F1497"/>
    <hyperlink r:id="rId255" ref="F1498"/>
    <hyperlink r:id="rId256" ref="F1499"/>
    <hyperlink r:id="rId257" ref="F1500"/>
    <hyperlink r:id="rId258" ref="F1516"/>
    <hyperlink r:id="rId259" ref="F1530"/>
    <hyperlink r:id="rId260" ref="F1538"/>
    <hyperlink r:id="rId261" ref="F1539"/>
    <hyperlink r:id="rId262" ref="F1542"/>
    <hyperlink r:id="rId263" ref="F1544"/>
    <hyperlink r:id="rId264" ref="F1545"/>
    <hyperlink r:id="rId265" ref="F1546"/>
    <hyperlink r:id="rId266" ref="F1547"/>
    <hyperlink r:id="rId267" ref="F1554"/>
    <hyperlink r:id="rId268" ref="F1555"/>
    <hyperlink r:id="rId269" ref="F1556"/>
    <hyperlink r:id="rId270" ref="F1557"/>
    <hyperlink r:id="rId271" ref="F1563"/>
    <hyperlink r:id="rId272" ref="F1564"/>
    <hyperlink r:id="rId273" ref="F1566"/>
    <hyperlink r:id="rId274" ref="F1569"/>
    <hyperlink r:id="rId275" ref="F1574"/>
    <hyperlink r:id="rId276" ref="F1588"/>
    <hyperlink r:id="rId277" ref="F1589"/>
    <hyperlink r:id="rId278" ref="F1590"/>
    <hyperlink r:id="rId279" ref="F1591"/>
    <hyperlink r:id="rId280" ref="F1592"/>
    <hyperlink r:id="rId281" ref="F1593"/>
    <hyperlink r:id="rId282" ref="F1594"/>
    <hyperlink r:id="rId283" ref="F1595"/>
    <hyperlink r:id="rId284" ref="F1596"/>
    <hyperlink r:id="rId285" ref="F1637"/>
    <hyperlink r:id="rId286" ref="F1638"/>
    <hyperlink r:id="rId287" ref="F1639"/>
    <hyperlink r:id="rId288" ref="F1640"/>
    <hyperlink r:id="rId289" ref="F1641"/>
    <hyperlink r:id="rId290" ref="F1642"/>
    <hyperlink r:id="rId291" ref="F1643"/>
    <hyperlink r:id="rId292" ref="F1644"/>
    <hyperlink r:id="rId293" ref="F1645"/>
    <hyperlink r:id="rId294" ref="F1646"/>
    <hyperlink r:id="rId295" ref="F1647"/>
    <hyperlink r:id="rId296" ref="F1648"/>
    <hyperlink r:id="rId297" ref="F1649"/>
    <hyperlink r:id="rId298" ref="F1650"/>
    <hyperlink r:id="rId299" ref="F1666"/>
    <hyperlink r:id="rId300" ref="F1675"/>
    <hyperlink r:id="rId301" ref="F1676"/>
    <hyperlink r:id="rId302" ref="F1677"/>
    <hyperlink r:id="rId303" ref="F1678"/>
    <hyperlink r:id="rId304" ref="F1679"/>
    <hyperlink r:id="rId305" ref="F1680"/>
    <hyperlink r:id="rId306" ref="F1681"/>
    <hyperlink r:id="rId307" ref="F1682"/>
    <hyperlink r:id="rId308" ref="F1683"/>
    <hyperlink r:id="rId309" ref="F1684"/>
    <hyperlink r:id="rId310" ref="F1685"/>
    <hyperlink r:id="rId311" ref="F1686"/>
    <hyperlink r:id="rId312" ref="F1687"/>
    <hyperlink r:id="rId313" ref="F1688"/>
    <hyperlink r:id="rId314" ref="F1689"/>
    <hyperlink r:id="rId315" ref="F1697"/>
    <hyperlink r:id="rId316" ref="F1767"/>
    <hyperlink r:id="rId317" ref="F1768"/>
    <hyperlink r:id="rId318" ref="F1769"/>
    <hyperlink r:id="rId319" ref="F1770"/>
    <hyperlink r:id="rId320" ref="F1771"/>
    <hyperlink r:id="rId321" ref="F1772"/>
    <hyperlink r:id="rId322" ref="F1773"/>
    <hyperlink r:id="rId323" ref="F1774"/>
    <hyperlink r:id="rId324" ref="F1775"/>
    <hyperlink r:id="rId325" ref="F1776"/>
    <hyperlink r:id="rId326" ref="F1777"/>
    <hyperlink r:id="rId327" ref="F1778"/>
    <hyperlink r:id="rId328" ref="F1779"/>
    <hyperlink r:id="rId329" ref="F1780"/>
    <hyperlink r:id="rId330" ref="F1781"/>
    <hyperlink r:id="rId331" ref="F1782"/>
    <hyperlink r:id="rId332" ref="F1783"/>
    <hyperlink r:id="rId333" ref="F1784"/>
    <hyperlink r:id="rId334" ref="F1785"/>
    <hyperlink r:id="rId335" ref="F1786"/>
    <hyperlink r:id="rId336" ref="F1787"/>
    <hyperlink r:id="rId337" ref="F1788"/>
    <hyperlink r:id="rId338" ref="F1789"/>
    <hyperlink r:id="rId339" ref="F1790"/>
    <hyperlink r:id="rId340" ref="F1791"/>
    <hyperlink r:id="rId341" ref="F1792"/>
    <hyperlink r:id="rId342" ref="F1793"/>
    <hyperlink r:id="rId343" ref="F1794"/>
    <hyperlink r:id="rId344" ref="F1795"/>
    <hyperlink r:id="rId345" ref="F1796"/>
    <hyperlink r:id="rId346" ref="F1797"/>
    <hyperlink r:id="rId347" ref="F1798"/>
    <hyperlink r:id="rId348" ref="F1799"/>
    <hyperlink r:id="rId349" ref="F1800"/>
    <hyperlink r:id="rId350" ref="F1801"/>
    <hyperlink r:id="rId351" ref="F1802"/>
    <hyperlink r:id="rId352" ref="F1803"/>
    <hyperlink r:id="rId353" ref="F1804"/>
    <hyperlink r:id="rId354" ref="F1805"/>
    <hyperlink r:id="rId355" ref="F1806"/>
    <hyperlink r:id="rId356" ref="F1807"/>
    <hyperlink r:id="rId357" ref="F1808"/>
    <hyperlink r:id="rId358" ref="F1809"/>
    <hyperlink r:id="rId359" ref="F1810"/>
    <hyperlink r:id="rId360" ref="F1811"/>
    <hyperlink r:id="rId361" ref="F1812"/>
    <hyperlink r:id="rId362" ref="F1813"/>
    <hyperlink r:id="rId363" ref="F1814"/>
    <hyperlink r:id="rId364" ref="F1815"/>
    <hyperlink r:id="rId365" ref="F1816"/>
    <hyperlink r:id="rId366" ref="F1817"/>
    <hyperlink r:id="rId367" ref="F1818"/>
    <hyperlink r:id="rId368" ref="F1819"/>
    <hyperlink r:id="rId369" ref="F1820"/>
    <hyperlink r:id="rId370" ref="F1821"/>
    <hyperlink r:id="rId371" ref="F1822"/>
    <hyperlink r:id="rId372" ref="F1823"/>
    <hyperlink r:id="rId373" ref="F1824"/>
    <hyperlink r:id="rId374" ref="F1825"/>
    <hyperlink r:id="rId375" ref="F1826"/>
    <hyperlink r:id="rId376" ref="F1827"/>
    <hyperlink r:id="rId377" ref="F1828"/>
    <hyperlink r:id="rId378" ref="F1829"/>
    <hyperlink r:id="rId379" ref="F1830"/>
    <hyperlink r:id="rId380" ref="F1831"/>
    <hyperlink r:id="rId381" ref="F1832"/>
    <hyperlink r:id="rId382" ref="F1833"/>
    <hyperlink r:id="rId383" ref="F1834"/>
    <hyperlink r:id="rId384" ref="F1835"/>
    <hyperlink r:id="rId385" ref="F1836"/>
    <hyperlink r:id="rId386" ref="F1837"/>
    <hyperlink r:id="rId387" ref="F1838"/>
    <hyperlink r:id="rId388" ref="F1839"/>
    <hyperlink r:id="rId389" ref="F1840"/>
    <hyperlink r:id="rId390" ref="F1841"/>
    <hyperlink r:id="rId391" ref="F1842"/>
    <hyperlink r:id="rId392" ref="F1843"/>
    <hyperlink r:id="rId393" ref="F1844"/>
    <hyperlink r:id="rId394" ref="F1845"/>
    <hyperlink r:id="rId395" ref="F1846"/>
    <hyperlink r:id="rId396" ref="F1847"/>
    <hyperlink r:id="rId397" ref="F1848"/>
    <hyperlink r:id="rId398" ref="F1849"/>
    <hyperlink r:id="rId399" ref="F1850"/>
    <hyperlink r:id="rId400" ref="F1851"/>
    <hyperlink r:id="rId401" ref="F1852"/>
    <hyperlink r:id="rId402" ref="F1853"/>
    <hyperlink r:id="rId403" ref="F1854"/>
    <hyperlink r:id="rId404" ref="F1855"/>
    <hyperlink r:id="rId405" ref="F1856"/>
    <hyperlink r:id="rId406" ref="F1857"/>
    <hyperlink r:id="rId407" ref="F1858"/>
    <hyperlink r:id="rId408" ref="F1859"/>
    <hyperlink r:id="rId409" ref="F1860"/>
    <hyperlink r:id="rId410" ref="F1861"/>
    <hyperlink r:id="rId411" ref="F1862"/>
    <hyperlink r:id="rId412" ref="F1863"/>
    <hyperlink r:id="rId413" ref="F1864"/>
    <hyperlink r:id="rId414" ref="F1865"/>
    <hyperlink r:id="rId415" ref="F1866"/>
    <hyperlink r:id="rId416" ref="F1867"/>
    <hyperlink r:id="rId417" ref="F1868"/>
    <hyperlink r:id="rId418" ref="F1869"/>
    <hyperlink r:id="rId419" ref="F1870"/>
    <hyperlink r:id="rId420" ref="F1871"/>
    <hyperlink r:id="rId421" ref="F1872"/>
    <hyperlink r:id="rId422" ref="F1873"/>
    <hyperlink r:id="rId423" ref="F1874"/>
    <hyperlink r:id="rId424" ref="F1875"/>
    <hyperlink r:id="rId425" ref="F1876"/>
    <hyperlink r:id="rId426" ref="F1877"/>
    <hyperlink r:id="rId427" ref="F1878"/>
    <hyperlink r:id="rId428" ref="F1879"/>
    <hyperlink r:id="rId429" ref="F1880"/>
    <hyperlink r:id="rId430" ref="F1881"/>
    <hyperlink r:id="rId431" ref="F1882"/>
    <hyperlink r:id="rId432" ref="F1883"/>
    <hyperlink r:id="rId433" ref="F1884"/>
    <hyperlink r:id="rId434" ref="F1885"/>
    <hyperlink r:id="rId435" ref="F1886"/>
    <hyperlink r:id="rId436" ref="F1887"/>
    <hyperlink r:id="rId437" ref="F1888"/>
    <hyperlink r:id="rId438" ref="F1889"/>
    <hyperlink r:id="rId439" ref="F1890"/>
    <hyperlink r:id="rId440" ref="F1891"/>
    <hyperlink r:id="rId441" ref="F1892"/>
    <hyperlink r:id="rId442" ref="F1893"/>
    <hyperlink r:id="rId443" ref="F1894"/>
    <hyperlink r:id="rId444" ref="F1895"/>
    <hyperlink r:id="rId445" ref="F2081"/>
    <hyperlink r:id="rId446" ref="F2082"/>
    <hyperlink r:id="rId447" ref="F2083"/>
    <hyperlink r:id="rId448" ref="F2084"/>
    <hyperlink r:id="rId449" ref="F2126"/>
    <hyperlink r:id="rId450" ref="F2127"/>
    <hyperlink r:id="rId451" ref="F2128"/>
    <hyperlink r:id="rId452" ref="F2129"/>
    <hyperlink r:id="rId453" ref="F2130"/>
    <hyperlink r:id="rId454" ref="F2131"/>
    <hyperlink r:id="rId455" ref="F2132"/>
    <hyperlink r:id="rId456" ref="F2133"/>
    <hyperlink r:id="rId457" ref="F2134"/>
    <hyperlink r:id="rId458" ref="F2135"/>
    <hyperlink r:id="rId459" ref="F2136"/>
    <hyperlink r:id="rId460" ref="F2137"/>
    <hyperlink r:id="rId461" ref="F2138"/>
    <hyperlink r:id="rId462" ref="F2139"/>
    <hyperlink r:id="rId463" ref="F2140"/>
    <hyperlink r:id="rId464" ref="F2141"/>
    <hyperlink r:id="rId465" ref="F2142"/>
    <hyperlink r:id="rId466" ref="F2143"/>
    <hyperlink r:id="rId467" ref="F2144"/>
    <hyperlink r:id="rId468" ref="F2145"/>
    <hyperlink r:id="rId469" ref="F2146"/>
    <hyperlink r:id="rId470" ref="F2147"/>
    <hyperlink r:id="rId471" ref="F2168"/>
    <hyperlink r:id="rId472" ref="F2169"/>
    <hyperlink r:id="rId473" ref="F2170"/>
    <hyperlink r:id="rId474" ref="F2171"/>
    <hyperlink r:id="rId475" ref="F2172"/>
    <hyperlink r:id="rId476" ref="F2173"/>
    <hyperlink r:id="rId477" ref="F2174"/>
    <hyperlink r:id="rId478" ref="F2175"/>
    <hyperlink r:id="rId479" ref="F2176"/>
    <hyperlink r:id="rId480" ref="F2177"/>
    <hyperlink r:id="rId481" ref="F2178"/>
    <hyperlink r:id="rId482" ref="F2179"/>
    <hyperlink r:id="rId483" ref="F2180"/>
    <hyperlink r:id="rId484" ref="F2181"/>
    <hyperlink r:id="rId485" ref="F2182"/>
    <hyperlink r:id="rId486" ref="F2183"/>
    <hyperlink r:id="rId487" ref="F2184"/>
    <hyperlink r:id="rId488" ref="F2185"/>
    <hyperlink r:id="rId489" ref="F2186"/>
    <hyperlink r:id="rId490" ref="F2187"/>
    <hyperlink r:id="rId491" ref="F2188"/>
    <hyperlink r:id="rId492" ref="F2189"/>
    <hyperlink r:id="rId493" ref="F2190"/>
    <hyperlink r:id="rId494" ref="F2191"/>
    <hyperlink r:id="rId495" ref="F2192"/>
    <hyperlink r:id="rId496" ref="F2193"/>
    <hyperlink r:id="rId497" ref="F2194"/>
    <hyperlink r:id="rId498" ref="F2195"/>
    <hyperlink r:id="rId499" ref="F2196"/>
    <hyperlink r:id="rId500" ref="F2197"/>
    <hyperlink r:id="rId501" ref="F2198"/>
    <hyperlink r:id="rId502" ref="F2199"/>
    <hyperlink r:id="rId503" ref="F2200"/>
    <hyperlink r:id="rId504" ref="F2201"/>
    <hyperlink r:id="rId505" ref="F2202"/>
    <hyperlink r:id="rId506" ref="F2203"/>
    <hyperlink r:id="rId507" ref="F2204"/>
    <hyperlink r:id="rId508" ref="F2205"/>
    <hyperlink r:id="rId509" ref="F2206"/>
    <hyperlink r:id="rId510" ref="F2207"/>
    <hyperlink r:id="rId511" ref="F2208"/>
    <hyperlink r:id="rId512" ref="F2209"/>
    <hyperlink r:id="rId513" ref="F2210"/>
    <hyperlink r:id="rId514" ref="F2211"/>
  </hyperlinks>
  <drawing r:id="rId515"/>
  <tableParts count="1">
    <tablePart r:id="rId517"/>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5" max="5" width="21.63"/>
    <col customWidth="1" min="8" max="8" width="12.5"/>
  </cols>
  <sheetData>
    <row r="1">
      <c r="A1" s="166" t="s">
        <v>6599</v>
      </c>
      <c r="B1" s="166" t="s">
        <v>6600</v>
      </c>
      <c r="C1" s="166" t="s">
        <v>211</v>
      </c>
      <c r="D1" s="166" t="s">
        <v>210</v>
      </c>
      <c r="E1" s="166" t="s">
        <v>546</v>
      </c>
      <c r="F1" s="1"/>
      <c r="G1" s="167" t="s">
        <v>6601</v>
      </c>
    </row>
    <row r="2">
      <c r="A2" s="156">
        <v>1.0</v>
      </c>
      <c r="B2" s="156">
        <v>350.1162524</v>
      </c>
      <c r="C2" s="156">
        <v>14.9637555</v>
      </c>
      <c r="D2" s="156">
        <v>50.3668147</v>
      </c>
      <c r="E2" s="156" t="s">
        <v>565</v>
      </c>
      <c r="F2" s="1"/>
      <c r="G2" s="54">
        <f>SUM(B:B)/1000</f>
        <v>4.907383195</v>
      </c>
    </row>
    <row r="3">
      <c r="A3" s="156">
        <v>2.0</v>
      </c>
      <c r="B3" s="156">
        <v>282.1242968</v>
      </c>
      <c r="C3" s="156">
        <v>4.158918</v>
      </c>
      <c r="D3" s="156">
        <v>49.345139</v>
      </c>
      <c r="E3" s="156" t="s">
        <v>556</v>
      </c>
      <c r="F3" s="1"/>
      <c r="G3" s="1"/>
    </row>
    <row r="4">
      <c r="A4" s="156">
        <v>3.0</v>
      </c>
      <c r="B4" s="156">
        <v>243.3758571</v>
      </c>
      <c r="C4" s="156">
        <v>18.841061</v>
      </c>
      <c r="D4" s="156">
        <v>46.7677625</v>
      </c>
      <c r="E4" s="156" t="s">
        <v>569</v>
      </c>
      <c r="F4" s="1"/>
      <c r="G4" s="1"/>
    </row>
    <row r="5">
      <c r="A5" s="156">
        <v>4.0</v>
      </c>
      <c r="B5" s="156">
        <v>216.3340952</v>
      </c>
      <c r="C5" s="156">
        <v>-1.3541498</v>
      </c>
      <c r="D5" s="156">
        <v>54.507659</v>
      </c>
      <c r="E5" s="156" t="s">
        <v>563</v>
      </c>
      <c r="F5" s="1"/>
      <c r="G5" s="1"/>
    </row>
    <row r="6">
      <c r="A6" s="156">
        <v>5.0</v>
      </c>
      <c r="B6" s="156">
        <v>216.3340952</v>
      </c>
      <c r="C6" s="156">
        <v>-1.862598</v>
      </c>
      <c r="D6" s="156">
        <v>51.079018</v>
      </c>
      <c r="E6" s="156" t="s">
        <v>563</v>
      </c>
      <c r="F6" s="1"/>
      <c r="G6" s="1"/>
    </row>
    <row r="7">
      <c r="A7" s="156">
        <v>6.0</v>
      </c>
      <c r="B7" s="156">
        <v>203.1294937</v>
      </c>
      <c r="C7" s="156">
        <v>4.1814821</v>
      </c>
      <c r="D7" s="156">
        <v>51.9249992</v>
      </c>
      <c r="E7" s="156" t="s">
        <v>570</v>
      </c>
      <c r="F7" s="1"/>
      <c r="G7" s="1"/>
    </row>
    <row r="8">
      <c r="A8" s="156">
        <v>7.0</v>
      </c>
      <c r="B8" s="156">
        <v>162.2505714</v>
      </c>
      <c r="C8" s="156">
        <v>5.2071997</v>
      </c>
      <c r="D8" s="156">
        <v>50.5333388</v>
      </c>
      <c r="E8" s="156" t="s">
        <v>562</v>
      </c>
      <c r="F8" s="1"/>
      <c r="G8" s="1"/>
    </row>
    <row r="9">
      <c r="A9" s="156">
        <v>8.0</v>
      </c>
      <c r="B9" s="156">
        <v>125.6299494</v>
      </c>
      <c r="C9" s="156">
        <v>16.048501</v>
      </c>
      <c r="D9" s="156">
        <v>50.2849358</v>
      </c>
      <c r="E9" s="156" t="s">
        <v>565</v>
      </c>
      <c r="F9" s="1"/>
      <c r="G9" s="1"/>
    </row>
    <row r="10">
      <c r="A10" s="156">
        <v>9.0</v>
      </c>
      <c r="B10" s="156">
        <v>112.8497187</v>
      </c>
      <c r="C10" s="156">
        <v>-5.3915763</v>
      </c>
      <c r="D10" s="156">
        <v>36.1888142</v>
      </c>
      <c r="E10" s="156" t="s">
        <v>561</v>
      </c>
      <c r="F10" s="1"/>
      <c r="G10" s="1"/>
    </row>
    <row r="11">
      <c r="A11" s="156">
        <v>10.0</v>
      </c>
      <c r="B11" s="156">
        <v>95.89008771</v>
      </c>
      <c r="C11" s="156">
        <v>-0.923322</v>
      </c>
      <c r="D11" s="156">
        <v>37.580706</v>
      </c>
      <c r="E11" s="156" t="s">
        <v>561</v>
      </c>
      <c r="F11" s="1"/>
      <c r="G11" s="1"/>
    </row>
    <row r="12">
      <c r="A12" s="156">
        <v>11.0</v>
      </c>
      <c r="B12" s="156">
        <v>84.63728905</v>
      </c>
      <c r="C12" s="156">
        <v>13.1104619</v>
      </c>
      <c r="D12" s="156">
        <v>47.6752151</v>
      </c>
      <c r="E12" s="156" t="s">
        <v>560</v>
      </c>
      <c r="F12" s="1"/>
      <c r="G12" s="1"/>
    </row>
    <row r="13">
      <c r="A13" s="156">
        <v>12.0</v>
      </c>
      <c r="B13" s="156">
        <v>78.42110952</v>
      </c>
      <c r="C13" s="156">
        <v>17.74835</v>
      </c>
      <c r="D13" s="156">
        <v>48.441188</v>
      </c>
      <c r="E13" s="156" t="s">
        <v>574</v>
      </c>
      <c r="F13" s="1"/>
      <c r="G13" s="1"/>
    </row>
    <row r="14">
      <c r="A14" s="156">
        <v>13.0</v>
      </c>
      <c r="B14" s="156">
        <v>56.42485937</v>
      </c>
      <c r="C14" s="156">
        <v>-4.0575592</v>
      </c>
      <c r="D14" s="156">
        <v>43.3623926</v>
      </c>
      <c r="E14" s="156" t="s">
        <v>561</v>
      </c>
      <c r="F14" s="1"/>
      <c r="G14" s="1"/>
    </row>
    <row r="15">
      <c r="A15" s="156">
        <v>14.0</v>
      </c>
      <c r="B15" s="156">
        <v>56.42485937</v>
      </c>
      <c r="C15" s="156">
        <v>12.1422</v>
      </c>
      <c r="D15" s="156">
        <v>51.045509</v>
      </c>
      <c r="E15" s="156" t="s">
        <v>557</v>
      </c>
      <c r="F15" s="1"/>
      <c r="G15" s="1"/>
    </row>
    <row r="16">
      <c r="A16" s="156">
        <v>15.0</v>
      </c>
      <c r="B16" s="156">
        <v>56.42485937</v>
      </c>
      <c r="C16" s="156">
        <v>20.3411085</v>
      </c>
      <c r="D16" s="156">
        <v>47.2045397</v>
      </c>
      <c r="E16" s="156" t="s">
        <v>569</v>
      </c>
      <c r="F16" s="1"/>
      <c r="G16" s="1"/>
    </row>
    <row r="17">
      <c r="A17" s="156">
        <v>16.0</v>
      </c>
      <c r="B17" s="156">
        <v>56.42485937</v>
      </c>
      <c r="C17" s="156">
        <v>17.3295861</v>
      </c>
      <c r="D17" s="156">
        <v>50.4822855</v>
      </c>
      <c r="E17" s="156" t="s">
        <v>566</v>
      </c>
      <c r="F17" s="1"/>
      <c r="G17" s="1"/>
    </row>
    <row r="18">
      <c r="A18" s="156">
        <v>17.0</v>
      </c>
      <c r="B18" s="156">
        <v>56.42485937</v>
      </c>
      <c r="C18" s="156">
        <v>18.7143957</v>
      </c>
      <c r="D18" s="156">
        <v>47.0834159</v>
      </c>
      <c r="E18" s="156" t="s">
        <v>569</v>
      </c>
      <c r="F18" s="1"/>
      <c r="G18" s="1"/>
    </row>
    <row r="19">
      <c r="A19" s="156">
        <v>18.0</v>
      </c>
      <c r="B19" s="156">
        <v>56.42485937</v>
      </c>
      <c r="C19" s="156">
        <v>-3.2884096</v>
      </c>
      <c r="D19" s="156">
        <v>55.9246957</v>
      </c>
      <c r="E19" s="156" t="s">
        <v>563</v>
      </c>
      <c r="F19" s="1"/>
      <c r="G19" s="1"/>
    </row>
    <row r="20">
      <c r="A20" s="156">
        <v>19.0</v>
      </c>
      <c r="B20" s="156">
        <v>56.42485937</v>
      </c>
      <c r="C20" s="156">
        <v>6.962736</v>
      </c>
      <c r="D20" s="156">
        <v>53.313166</v>
      </c>
      <c r="E20" s="156" t="s">
        <v>570</v>
      </c>
      <c r="F20" s="1"/>
      <c r="G20" s="1"/>
    </row>
    <row r="21">
      <c r="A21" s="156">
        <v>20.0</v>
      </c>
      <c r="B21" s="156">
        <v>56.42485937</v>
      </c>
      <c r="C21" s="156">
        <v>4.1811495</v>
      </c>
      <c r="D21" s="156">
        <v>51.9230606</v>
      </c>
      <c r="E21" s="156" t="s">
        <v>570</v>
      </c>
      <c r="F21" s="1"/>
      <c r="G21" s="1"/>
    </row>
    <row r="22">
      <c r="A22" s="156">
        <v>21.0</v>
      </c>
      <c r="B22" s="156">
        <v>56.42485937</v>
      </c>
      <c r="C22" s="156">
        <v>16.2302903</v>
      </c>
      <c r="D22" s="156">
        <v>58.61191</v>
      </c>
      <c r="E22" s="156" t="s">
        <v>554</v>
      </c>
      <c r="F22" s="1"/>
      <c r="G22" s="1"/>
    </row>
    <row r="23">
      <c r="A23" s="156">
        <v>22.0</v>
      </c>
      <c r="B23" s="156">
        <v>56.42485937</v>
      </c>
      <c r="C23" s="156">
        <v>14.226461</v>
      </c>
      <c r="D23" s="156">
        <v>53.089595</v>
      </c>
      <c r="E23" s="156" t="s">
        <v>557</v>
      </c>
      <c r="F23" s="1"/>
      <c r="G23" s="1"/>
    </row>
    <row r="24">
      <c r="A24" s="156">
        <v>23.0</v>
      </c>
      <c r="B24" s="156">
        <v>56.42485937</v>
      </c>
      <c r="C24" s="156">
        <v>12.13588</v>
      </c>
      <c r="D24" s="156">
        <v>51.62737</v>
      </c>
      <c r="E24" s="156" t="s">
        <v>557</v>
      </c>
      <c r="F24" s="1"/>
      <c r="G24" s="1"/>
    </row>
    <row r="25">
      <c r="A25" s="156">
        <v>24.0</v>
      </c>
      <c r="B25" s="156">
        <v>56.42485937</v>
      </c>
      <c r="C25" s="156">
        <v>-8.0233615</v>
      </c>
      <c r="D25" s="156">
        <v>43.1560523</v>
      </c>
      <c r="E25" s="156" t="s">
        <v>561</v>
      </c>
      <c r="F25" s="1"/>
      <c r="G25" s="1"/>
    </row>
    <row r="26">
      <c r="A26" s="156">
        <v>25.0</v>
      </c>
      <c r="B26" s="156">
        <v>56.42485937</v>
      </c>
      <c r="C26" s="156">
        <v>-5.4353598</v>
      </c>
      <c r="D26" s="156">
        <v>40.9684105</v>
      </c>
      <c r="E26" s="156" t="s">
        <v>561</v>
      </c>
      <c r="F26" s="1"/>
      <c r="G26" s="1"/>
    </row>
    <row r="27">
      <c r="A27" s="156">
        <v>26.0</v>
      </c>
      <c r="B27" s="156">
        <v>56.42485937</v>
      </c>
      <c r="C27" s="156">
        <v>4.3466309</v>
      </c>
      <c r="D27" s="156">
        <v>51.8760535</v>
      </c>
      <c r="E27" s="156" t="s">
        <v>570</v>
      </c>
      <c r="F27" s="1"/>
      <c r="G27" s="1"/>
    </row>
    <row r="28">
      <c r="A28" s="156">
        <v>27.0</v>
      </c>
      <c r="B28" s="156">
        <v>56.42485937</v>
      </c>
      <c r="C28" s="156">
        <v>28.1790751</v>
      </c>
      <c r="D28" s="156">
        <v>59.3796931</v>
      </c>
      <c r="E28" s="156" t="s">
        <v>573</v>
      </c>
      <c r="F28" s="1"/>
      <c r="G28" s="1"/>
    </row>
    <row r="29">
      <c r="A29" s="156">
        <v>28.0</v>
      </c>
      <c r="B29" s="156">
        <v>56.42485937</v>
      </c>
      <c r="C29" s="156">
        <v>18.6972694</v>
      </c>
      <c r="D29" s="156">
        <v>63.2706493</v>
      </c>
      <c r="E29" s="156" t="s">
        <v>554</v>
      </c>
      <c r="F29" s="1"/>
      <c r="G29" s="1"/>
    </row>
    <row r="30">
      <c r="A30" s="156">
        <v>29.0</v>
      </c>
      <c r="B30" s="156">
        <v>56.42485937</v>
      </c>
      <c r="C30" s="156">
        <v>18.5995822</v>
      </c>
      <c r="D30" s="156">
        <v>53.1830511</v>
      </c>
      <c r="E30" s="156" t="s">
        <v>566</v>
      </c>
      <c r="F30" s="1"/>
      <c r="G30" s="1"/>
    </row>
    <row r="31">
      <c r="A31" s="156">
        <v>30.0</v>
      </c>
      <c r="B31" s="156">
        <v>56.42485937</v>
      </c>
      <c r="C31" s="156">
        <v>1.8840909</v>
      </c>
      <c r="D31" s="156">
        <v>48.0876011</v>
      </c>
      <c r="E31" s="156" t="s">
        <v>556</v>
      </c>
      <c r="F31" s="1"/>
      <c r="G31" s="1"/>
    </row>
    <row r="32">
      <c r="A32" s="156">
        <v>31.0</v>
      </c>
      <c r="B32" s="156">
        <v>56.42485937</v>
      </c>
      <c r="C32" s="156">
        <v>3.0521654</v>
      </c>
      <c r="D32" s="156">
        <v>49.7420389</v>
      </c>
      <c r="E32" s="156" t="s">
        <v>556</v>
      </c>
      <c r="F32" s="1"/>
      <c r="G32" s="1"/>
    </row>
    <row r="33">
      <c r="A33" s="156">
        <v>32.0</v>
      </c>
      <c r="B33" s="156">
        <v>56.42485937</v>
      </c>
      <c r="C33" s="156">
        <v>4.100934</v>
      </c>
      <c r="D33" s="156">
        <v>48.535308</v>
      </c>
      <c r="E33" s="156" t="s">
        <v>556</v>
      </c>
      <c r="F33" s="1"/>
      <c r="G33" s="1"/>
    </row>
    <row r="34">
      <c r="A34" s="156">
        <v>33.0</v>
      </c>
      <c r="B34" s="156">
        <v>56.42485937</v>
      </c>
      <c r="C34" s="156">
        <v>0.4502704</v>
      </c>
      <c r="D34" s="156">
        <v>52.550773</v>
      </c>
      <c r="E34" s="156" t="s">
        <v>563</v>
      </c>
      <c r="F34" s="1"/>
      <c r="G34" s="1"/>
    </row>
    <row r="35">
      <c r="A35" s="156">
        <v>34.0</v>
      </c>
      <c r="B35" s="156">
        <v>56.42485937</v>
      </c>
      <c r="C35" s="156">
        <v>3.365668</v>
      </c>
      <c r="D35" s="156">
        <v>49.390377</v>
      </c>
      <c r="E35" s="156" t="s">
        <v>556</v>
      </c>
      <c r="F35" s="1"/>
      <c r="G35" s="1"/>
    </row>
    <row r="36">
      <c r="A36" s="156">
        <v>35.0</v>
      </c>
      <c r="B36" s="156">
        <v>56.42485937</v>
      </c>
      <c r="C36" s="156">
        <v>2.2359002</v>
      </c>
      <c r="D36" s="156">
        <v>51.0037858</v>
      </c>
      <c r="E36" s="156" t="s">
        <v>556</v>
      </c>
      <c r="F36" s="1"/>
      <c r="G36" s="1"/>
    </row>
    <row r="37">
      <c r="A37" s="156">
        <v>36.0</v>
      </c>
      <c r="B37" s="156">
        <v>56.42485937</v>
      </c>
      <c r="C37" s="156">
        <v>13.7072</v>
      </c>
      <c r="D37" s="156">
        <v>53.85412</v>
      </c>
      <c r="E37" s="156" t="s">
        <v>557</v>
      </c>
      <c r="F37" s="1"/>
      <c r="G37" s="1"/>
    </row>
    <row r="38">
      <c r="A38" s="156">
        <v>37.0</v>
      </c>
      <c r="B38" s="156">
        <v>56.42485937</v>
      </c>
      <c r="C38" s="156">
        <v>4.165567</v>
      </c>
      <c r="D38" s="156">
        <v>49.350189</v>
      </c>
      <c r="E38" s="156" t="s">
        <v>556</v>
      </c>
      <c r="F38" s="1"/>
      <c r="G38" s="1"/>
    </row>
    <row r="39">
      <c r="A39" s="156">
        <v>38.0</v>
      </c>
      <c r="B39" s="156">
        <v>56.42485937</v>
      </c>
      <c r="C39" s="156">
        <v>6.4980941</v>
      </c>
      <c r="D39" s="156">
        <v>53.2146573</v>
      </c>
      <c r="E39" s="156" t="s">
        <v>570</v>
      </c>
      <c r="F39" s="1"/>
      <c r="G39" s="1"/>
    </row>
    <row r="40">
      <c r="A40" s="156">
        <v>39.0</v>
      </c>
      <c r="B40" s="156">
        <v>56.42485937</v>
      </c>
      <c r="C40" s="156">
        <v>3.8977855</v>
      </c>
      <c r="D40" s="156">
        <v>48.7247965</v>
      </c>
      <c r="E40" s="156" t="s">
        <v>556</v>
      </c>
      <c r="F40" s="1"/>
      <c r="G40" s="1"/>
    </row>
    <row r="41">
      <c r="A41" s="156">
        <v>40.0</v>
      </c>
      <c r="B41" s="156">
        <v>56.42485937</v>
      </c>
      <c r="C41" s="156">
        <v>4.8134922</v>
      </c>
      <c r="D41" s="156">
        <v>52.3960775</v>
      </c>
      <c r="E41" s="156" t="s">
        <v>570</v>
      </c>
      <c r="F41" s="1"/>
      <c r="G41" s="1"/>
    </row>
    <row r="42">
      <c r="A42" s="156">
        <v>41.0</v>
      </c>
      <c r="B42" s="156">
        <v>56.42485937</v>
      </c>
      <c r="C42" s="156">
        <v>4.0434229</v>
      </c>
      <c r="D42" s="156">
        <v>50.9395705</v>
      </c>
      <c r="E42" s="156" t="s">
        <v>562</v>
      </c>
      <c r="F42" s="1"/>
      <c r="G42" s="1"/>
    </row>
    <row r="43">
      <c r="A43" s="156">
        <v>42.0</v>
      </c>
      <c r="B43" s="156">
        <v>56.42485937</v>
      </c>
      <c r="C43" s="156">
        <v>8.0871492</v>
      </c>
      <c r="D43" s="156">
        <v>48.8569904</v>
      </c>
      <c r="E43" s="156" t="s">
        <v>556</v>
      </c>
      <c r="F43" s="1"/>
      <c r="G43" s="1"/>
    </row>
    <row r="44">
      <c r="A44" s="156">
        <v>43.0</v>
      </c>
      <c r="B44" s="156">
        <v>56.42485937</v>
      </c>
      <c r="C44" s="156">
        <v>3.4948852</v>
      </c>
      <c r="D44" s="156">
        <v>48.4920836</v>
      </c>
      <c r="E44" s="156" t="s">
        <v>556</v>
      </c>
      <c r="F44" s="1"/>
      <c r="G44" s="1"/>
    </row>
    <row r="45">
      <c r="A45" s="156">
        <v>44.0</v>
      </c>
      <c r="B45" s="156">
        <v>56.42485937</v>
      </c>
      <c r="C45" s="156">
        <v>0.5253886</v>
      </c>
      <c r="D45" s="156">
        <v>49.4902192</v>
      </c>
      <c r="E45" s="156" t="s">
        <v>556</v>
      </c>
      <c r="F45" s="1"/>
      <c r="G45" s="1"/>
    </row>
    <row r="46">
      <c r="A46" s="156">
        <v>45.0</v>
      </c>
      <c r="B46" s="156">
        <v>56.42485937</v>
      </c>
      <c r="C46" s="156">
        <v>2.9088051</v>
      </c>
      <c r="D46" s="156">
        <v>49.7689481</v>
      </c>
      <c r="E46" s="156" t="s">
        <v>556</v>
      </c>
      <c r="F46" s="1"/>
      <c r="G46" s="1"/>
    </row>
    <row r="47">
      <c r="A47" s="156">
        <v>46.0</v>
      </c>
      <c r="B47" s="156">
        <v>56.42485937</v>
      </c>
      <c r="C47" s="156">
        <v>-1.0550031</v>
      </c>
      <c r="D47" s="156">
        <v>53.7789203</v>
      </c>
      <c r="E47" s="156" t="s">
        <v>563</v>
      </c>
      <c r="F47" s="1"/>
      <c r="G47" s="1"/>
    </row>
    <row r="48">
      <c r="A48" s="156">
        <v>47.0</v>
      </c>
      <c r="B48" s="156">
        <v>56.42485937</v>
      </c>
      <c r="C48" s="156">
        <v>11.877412</v>
      </c>
      <c r="D48" s="156">
        <v>51.9848016</v>
      </c>
      <c r="E48" s="156" t="s">
        <v>557</v>
      </c>
      <c r="F48" s="1"/>
      <c r="G48" s="1"/>
    </row>
    <row r="49">
      <c r="A49" s="156">
        <v>48.0</v>
      </c>
      <c r="B49" s="156">
        <v>56.42485937</v>
      </c>
      <c r="C49" s="156">
        <v>7.4835324</v>
      </c>
      <c r="D49" s="156">
        <v>44.6480984</v>
      </c>
      <c r="E49" s="156" t="s">
        <v>559</v>
      </c>
      <c r="F49" s="1"/>
      <c r="G49" s="1"/>
    </row>
    <row r="50">
      <c r="A50" s="156">
        <v>49.0</v>
      </c>
      <c r="B50" s="156">
        <v>56.42485937</v>
      </c>
      <c r="C50" s="156">
        <v>3.193993</v>
      </c>
      <c r="D50" s="156">
        <v>51.141864</v>
      </c>
      <c r="E50" s="156" t="s">
        <v>562</v>
      </c>
      <c r="F50" s="1"/>
      <c r="G50" s="1"/>
    </row>
    <row r="51">
      <c r="A51" s="156">
        <v>50.0</v>
      </c>
      <c r="B51" s="156">
        <v>56.42485937</v>
      </c>
      <c r="C51" s="156">
        <v>-2.3295857</v>
      </c>
      <c r="D51" s="156">
        <v>53.4763116</v>
      </c>
      <c r="E51" s="156" t="s">
        <v>563</v>
      </c>
      <c r="F51" s="1"/>
      <c r="G51" s="1"/>
    </row>
    <row r="52">
      <c r="A52" s="156">
        <v>51.0</v>
      </c>
      <c r="B52" s="156">
        <v>56.42485937</v>
      </c>
      <c r="C52" s="156">
        <v>3.8022966</v>
      </c>
      <c r="D52" s="156">
        <v>51.2354912</v>
      </c>
      <c r="E52" s="156" t="s">
        <v>570</v>
      </c>
      <c r="F52" s="1"/>
      <c r="G52" s="1"/>
    </row>
    <row r="53">
      <c r="A53" s="156">
        <v>52.0</v>
      </c>
      <c r="B53" s="156">
        <v>56.42485937</v>
      </c>
      <c r="C53" s="156">
        <v>-8.9811968</v>
      </c>
      <c r="D53" s="156">
        <v>51.7252265</v>
      </c>
      <c r="E53" s="156" t="s">
        <v>583</v>
      </c>
      <c r="F53" s="1"/>
      <c r="G53" s="1"/>
    </row>
    <row r="54">
      <c r="A54" s="156">
        <v>53.0</v>
      </c>
      <c r="B54" s="156">
        <v>50.78237343</v>
      </c>
      <c r="C54" s="156">
        <v>3.7956238</v>
      </c>
      <c r="D54" s="156">
        <v>51.1415947</v>
      </c>
      <c r="E54" s="156" t="s">
        <v>562</v>
      </c>
      <c r="F54" s="1"/>
      <c r="G54" s="1"/>
    </row>
    <row r="55">
      <c r="A55" s="156">
        <v>54.0</v>
      </c>
      <c r="B55" s="156">
        <v>45.97099523</v>
      </c>
      <c r="C55" s="156">
        <v>9.87069</v>
      </c>
      <c r="D55" s="156">
        <v>52.37619</v>
      </c>
      <c r="E55" s="156" t="s">
        <v>557</v>
      </c>
      <c r="F55" s="1"/>
      <c r="G55" s="1"/>
    </row>
    <row r="56">
      <c r="A56" s="156">
        <v>55.0</v>
      </c>
      <c r="B56" s="156">
        <v>45.1398875</v>
      </c>
      <c r="C56" s="156">
        <v>15.9552684</v>
      </c>
      <c r="D56" s="156">
        <v>48.3366754</v>
      </c>
      <c r="E56" s="156" t="s">
        <v>560</v>
      </c>
      <c r="F56" s="1"/>
      <c r="G56" s="1"/>
    </row>
    <row r="57">
      <c r="A57" s="156">
        <v>56.0</v>
      </c>
      <c r="B57" s="156">
        <v>45.1398875</v>
      </c>
      <c r="C57" s="156">
        <v>25.3510283</v>
      </c>
      <c r="D57" s="156">
        <v>43.6687292</v>
      </c>
      <c r="E57" s="156" t="s">
        <v>576</v>
      </c>
      <c r="F57" s="1"/>
      <c r="G57" s="1"/>
    </row>
    <row r="58">
      <c r="A58" s="156">
        <v>57.0</v>
      </c>
      <c r="B58" s="156">
        <v>40.62589875</v>
      </c>
      <c r="C58" s="156">
        <v>26.7788655</v>
      </c>
      <c r="D58" s="156">
        <v>60.7667546</v>
      </c>
      <c r="E58" s="156" t="s">
        <v>555</v>
      </c>
      <c r="F58" s="1"/>
      <c r="G58" s="1"/>
    </row>
    <row r="59">
      <c r="A59" s="156">
        <v>58.0</v>
      </c>
      <c r="B59" s="156">
        <v>31.03367265</v>
      </c>
      <c r="C59" s="156">
        <v>21.8369439</v>
      </c>
      <c r="D59" s="156">
        <v>48.873165</v>
      </c>
      <c r="E59" s="156" t="s">
        <v>574</v>
      </c>
      <c r="F59" s="1"/>
      <c r="G59" s="1"/>
    </row>
    <row r="60">
      <c r="A60" s="156">
        <v>59.0</v>
      </c>
      <c r="B60" s="156">
        <v>28.21242968</v>
      </c>
      <c r="C60" s="156">
        <v>17.7681976</v>
      </c>
      <c r="D60" s="156">
        <v>48.4465089</v>
      </c>
      <c r="E60" s="156" t="s">
        <v>574</v>
      </c>
      <c r="F60" s="1"/>
      <c r="G60" s="1"/>
    </row>
    <row r="61">
      <c r="A61" s="156">
        <v>60.0</v>
      </c>
      <c r="B61" s="156">
        <v>28.21242968</v>
      </c>
      <c r="C61" s="156">
        <v>17.2521373</v>
      </c>
      <c r="D61" s="156">
        <v>50.4877466</v>
      </c>
      <c r="E61" s="156" t="s">
        <v>566</v>
      </c>
      <c r="F61" s="1"/>
      <c r="G61" s="1"/>
    </row>
    <row r="62">
      <c r="A62" s="156">
        <v>61.0</v>
      </c>
      <c r="B62" s="156">
        <v>23.68858343</v>
      </c>
      <c r="C62" s="156">
        <v>24.8686859</v>
      </c>
      <c r="D62" s="156">
        <v>42.0998448</v>
      </c>
      <c r="E62" s="156" t="s">
        <v>581</v>
      </c>
      <c r="F62" s="1"/>
      <c r="G62" s="1"/>
    </row>
    <row r="63">
      <c r="A63" s="156">
        <v>62.0</v>
      </c>
      <c r="B63" s="156">
        <v>22.56994375</v>
      </c>
      <c r="C63" s="156">
        <v>-0.6224151</v>
      </c>
      <c r="D63" s="156">
        <v>43.4138043</v>
      </c>
      <c r="E63" s="156" t="s">
        <v>556</v>
      </c>
      <c r="F63" s="1"/>
      <c r="G63" s="1"/>
    </row>
    <row r="64">
      <c r="A64" s="156">
        <v>63.0</v>
      </c>
      <c r="B64" s="156">
        <v>22.56994375</v>
      </c>
      <c r="C64" s="156">
        <v>8.1028002</v>
      </c>
      <c r="D64" s="156">
        <v>45.1919142</v>
      </c>
      <c r="E64" s="156" t="s">
        <v>559</v>
      </c>
      <c r="F64" s="1"/>
      <c r="G64" s="1"/>
    </row>
    <row r="65">
      <c r="A65" s="156">
        <v>64.0</v>
      </c>
      <c r="B65" s="156">
        <v>16.92745781</v>
      </c>
      <c r="C65" s="156">
        <v>18.1590957</v>
      </c>
      <c r="D65" s="156">
        <v>46.4130553</v>
      </c>
      <c r="E65" s="156" t="s">
        <v>569</v>
      </c>
      <c r="F65" s="1"/>
      <c r="G65" s="1"/>
    </row>
    <row r="66">
      <c r="A66" s="156">
        <v>65.0</v>
      </c>
      <c r="B66" s="156">
        <v>16.22505714</v>
      </c>
      <c r="C66" s="156">
        <v>23.7542893</v>
      </c>
      <c r="D66" s="156">
        <v>42.4795352</v>
      </c>
      <c r="E66" s="156" t="s">
        <v>581</v>
      </c>
      <c r="F66" s="1"/>
      <c r="G66" s="1"/>
    </row>
    <row r="67">
      <c r="A67" s="156">
        <v>66.0</v>
      </c>
      <c r="B67" s="156">
        <v>11.84922047</v>
      </c>
      <c r="C67" s="156">
        <v>18.7006153</v>
      </c>
      <c r="D67" s="156">
        <v>63.2713094</v>
      </c>
      <c r="E67" s="156" t="s">
        <v>554</v>
      </c>
      <c r="F67" s="1"/>
      <c r="G67" s="1"/>
    </row>
    <row r="68">
      <c r="A68" s="156">
        <v>67.0</v>
      </c>
      <c r="B68" s="156">
        <v>8.463728905</v>
      </c>
      <c r="C68" s="156">
        <v>24.4820639</v>
      </c>
      <c r="D68" s="156">
        <v>60.9431653</v>
      </c>
      <c r="E68" s="156" t="s">
        <v>555</v>
      </c>
      <c r="F68" s="1"/>
      <c r="G68" s="1"/>
    </row>
    <row r="69">
      <c r="A69" s="156">
        <v>68.0</v>
      </c>
      <c r="B69" s="156">
        <v>5.642485937</v>
      </c>
      <c r="C69" s="156">
        <v>22.4646292</v>
      </c>
      <c r="D69" s="156">
        <v>62.6850366</v>
      </c>
      <c r="E69" s="156" t="s">
        <v>555</v>
      </c>
      <c r="F69" s="1"/>
      <c r="G69" s="1"/>
    </row>
    <row r="70">
      <c r="A70" s="156">
        <v>69.0</v>
      </c>
      <c r="B70" s="156">
        <v>5.642485937</v>
      </c>
      <c r="C70" s="156">
        <v>15.8008949</v>
      </c>
      <c r="D70" s="156">
        <v>49.9558345</v>
      </c>
      <c r="E70" s="156" t="s">
        <v>565</v>
      </c>
      <c r="F70" s="1"/>
      <c r="G70" s="1"/>
    </row>
    <row r="71">
      <c r="A71" s="156">
        <v>70.0</v>
      </c>
      <c r="B71" s="156">
        <v>5.642485937</v>
      </c>
      <c r="C71" s="156">
        <v>1.928515</v>
      </c>
      <c r="D71" s="156">
        <v>48.199531</v>
      </c>
      <c r="E71" s="156" t="s">
        <v>556</v>
      </c>
      <c r="F71" s="1"/>
      <c r="G71" s="1"/>
    </row>
    <row r="72">
      <c r="A72" s="156">
        <v>71.0</v>
      </c>
      <c r="B72" s="156">
        <v>5.40835238</v>
      </c>
      <c r="C72" s="156">
        <v>27.7278497</v>
      </c>
      <c r="D72" s="156">
        <v>64.2221775</v>
      </c>
      <c r="E72" s="156" t="s">
        <v>555</v>
      </c>
      <c r="F72" s="1"/>
      <c r="G72" s="1"/>
    </row>
    <row r="73">
      <c r="A73" s="156">
        <v>72.0</v>
      </c>
      <c r="B73" s="156">
        <v>2.821242968</v>
      </c>
      <c r="C73" s="156">
        <v>25.6700517</v>
      </c>
      <c r="D73" s="156">
        <v>64.9639516</v>
      </c>
      <c r="E73" s="156" t="s">
        <v>555</v>
      </c>
      <c r="F73" s="1"/>
      <c r="G73" s="1"/>
    </row>
    <row r="74">
      <c r="A74" s="156">
        <v>73.0</v>
      </c>
      <c r="B74" s="156">
        <v>2.821242968</v>
      </c>
      <c r="C74" s="156">
        <v>2.6812196</v>
      </c>
      <c r="D74" s="156">
        <v>50.6324117</v>
      </c>
      <c r="E74" s="156" t="s">
        <v>556</v>
      </c>
      <c r="F74" s="1"/>
      <c r="G74" s="1"/>
    </row>
    <row r="75">
      <c r="A75" s="156">
        <v>74.0</v>
      </c>
      <c r="B75" s="156">
        <v>2.70417619</v>
      </c>
      <c r="C75" s="156">
        <v>11.97456</v>
      </c>
      <c r="D75" s="156">
        <v>57.70887</v>
      </c>
      <c r="E75" s="156" t="s">
        <v>554</v>
      </c>
      <c r="F75" s="1"/>
      <c r="G75" s="1"/>
    </row>
    <row r="76">
      <c r="A76" s="156">
        <v>75.0</v>
      </c>
      <c r="B76" s="156">
        <v>2.539118672</v>
      </c>
      <c r="C76" s="156">
        <v>18.700347</v>
      </c>
      <c r="D76" s="156">
        <v>63.2712539</v>
      </c>
      <c r="E76" s="156" t="s">
        <v>554</v>
      </c>
      <c r="F76" s="1"/>
      <c r="G76" s="1"/>
    </row>
    <row r="77">
      <c r="A77" s="156">
        <v>76.0</v>
      </c>
      <c r="B77" s="156">
        <v>2.426268953</v>
      </c>
      <c r="C77" s="156">
        <v>11.079573</v>
      </c>
      <c r="D77" s="156">
        <v>55.659734</v>
      </c>
      <c r="E77" s="156" t="s">
        <v>568</v>
      </c>
      <c r="F77" s="1"/>
      <c r="G77" s="1"/>
    </row>
    <row r="78">
      <c r="A78" s="156">
        <v>77.0</v>
      </c>
      <c r="B78" s="156">
        <v>2.256994375</v>
      </c>
      <c r="C78" s="156">
        <v>14.920503</v>
      </c>
      <c r="D78" s="156">
        <v>55.070084</v>
      </c>
      <c r="E78" s="156" t="s">
        <v>568</v>
      </c>
      <c r="F78" s="1"/>
      <c r="G78" s="1"/>
    </row>
    <row r="79">
      <c r="A79" s="156">
        <v>78.0</v>
      </c>
      <c r="B79" s="156">
        <v>1.081670476</v>
      </c>
      <c r="C79" s="156">
        <v>28.1896627</v>
      </c>
      <c r="D79" s="156">
        <v>61.0549929</v>
      </c>
      <c r="E79" s="156" t="s">
        <v>555</v>
      </c>
      <c r="F79" s="1"/>
      <c r="G79" s="1"/>
    </row>
    <row r="80">
      <c r="A80" s="156">
        <v>79.0</v>
      </c>
      <c r="B80" s="156">
        <v>0.823802947</v>
      </c>
      <c r="C80" s="156">
        <v>21.4800363</v>
      </c>
      <c r="D80" s="156">
        <v>65.316698</v>
      </c>
      <c r="E80" s="156" t="s">
        <v>554</v>
      </c>
      <c r="F80" s="1"/>
      <c r="G80" s="1"/>
    </row>
    <row r="81">
      <c r="A81" s="156">
        <v>80.0</v>
      </c>
      <c r="B81" s="156">
        <v>0.540835238</v>
      </c>
      <c r="C81" s="156">
        <v>24.4590244</v>
      </c>
      <c r="D81" s="156">
        <v>60.9928787</v>
      </c>
      <c r="E81" s="156" t="s">
        <v>555</v>
      </c>
      <c r="F81" s="1"/>
      <c r="G81" s="1"/>
    </row>
    <row r="82">
      <c r="A82" s="156">
        <v>81.0</v>
      </c>
      <c r="B82" s="156">
        <v>0.540835238</v>
      </c>
      <c r="C82" s="156">
        <v>25.7179391</v>
      </c>
      <c r="D82" s="156">
        <v>60.9918062</v>
      </c>
      <c r="E82" s="156" t="s">
        <v>555</v>
      </c>
      <c r="F82" s="1"/>
      <c r="G82" s="1"/>
    </row>
    <row r="83">
      <c r="A83" s="156">
        <v>82.0</v>
      </c>
      <c r="B83" s="156">
        <v>0.459709952</v>
      </c>
      <c r="C83" s="156">
        <v>21.3371526</v>
      </c>
      <c r="D83" s="156">
        <v>62.4728387</v>
      </c>
      <c r="E83" s="156" t="s">
        <v>555</v>
      </c>
      <c r="F83" s="1"/>
      <c r="G83" s="1"/>
    </row>
    <row r="84">
      <c r="A84" s="156">
        <v>83.0</v>
      </c>
      <c r="B84" s="156">
        <v>0.270417619</v>
      </c>
      <c r="C84" s="156">
        <v>-3.7227698</v>
      </c>
      <c r="D84" s="156">
        <v>56.0097152</v>
      </c>
      <c r="E84" s="156" t="s">
        <v>563</v>
      </c>
      <c r="F84" s="1"/>
      <c r="G84" s="1"/>
    </row>
    <row r="85">
      <c r="A85" s="156">
        <v>84.0</v>
      </c>
      <c r="B85" s="156">
        <v>0.205950737</v>
      </c>
      <c r="C85" s="156">
        <v>12.6567499</v>
      </c>
      <c r="D85" s="156">
        <v>48.8975459</v>
      </c>
      <c r="E85" s="156" t="s">
        <v>557</v>
      </c>
      <c r="F85" s="1"/>
      <c r="G85" s="1"/>
    </row>
    <row r="86">
      <c r="A86" s="156">
        <v>85.0</v>
      </c>
      <c r="B86" s="156">
        <v>0.02821243</v>
      </c>
      <c r="C86" s="156">
        <v>8.8150467</v>
      </c>
      <c r="D86" s="156">
        <v>44.8470779</v>
      </c>
      <c r="E86" s="156" t="s">
        <v>559</v>
      </c>
      <c r="F86" s="1"/>
      <c r="G86" s="1"/>
    </row>
    <row r="87">
      <c r="A87" s="156">
        <v>86.0</v>
      </c>
      <c r="B87" s="156">
        <v>0.007896194</v>
      </c>
      <c r="C87" s="156">
        <v>12.5200147</v>
      </c>
      <c r="D87" s="156">
        <v>55.787672</v>
      </c>
      <c r="E87" s="156" t="s">
        <v>568</v>
      </c>
      <c r="F87" s="1"/>
      <c r="G87" s="1"/>
    </row>
    <row r="88">
      <c r="A88" s="156">
        <v>87.0</v>
      </c>
      <c r="B88" s="156">
        <v>0.007896194</v>
      </c>
      <c r="C88" s="156">
        <v>12.374765</v>
      </c>
      <c r="D88" s="156">
        <v>55.727987</v>
      </c>
      <c r="E88" s="156" t="s">
        <v>568</v>
      </c>
      <c r="F88" s="1"/>
      <c r="G88" s="1"/>
    </row>
    <row r="89">
      <c r="A89" s="156">
        <v>88.0</v>
      </c>
      <c r="B89" s="156">
        <v>0.006206735</v>
      </c>
      <c r="C89" s="156">
        <v>14.8668836</v>
      </c>
      <c r="D89" s="156">
        <v>55.160428</v>
      </c>
      <c r="E89" s="156" t="s">
        <v>568</v>
      </c>
      <c r="F89" s="1"/>
      <c r="G89" s="1"/>
    </row>
    <row r="90">
      <c r="A90" s="156">
        <v>89.0</v>
      </c>
      <c r="B90" s="156">
        <v>0.006206735</v>
      </c>
      <c r="C90" s="156">
        <v>12.521381</v>
      </c>
      <c r="D90" s="156">
        <v>55.7855742</v>
      </c>
      <c r="E90" s="156" t="s">
        <v>568</v>
      </c>
      <c r="F90" s="1"/>
      <c r="G90" s="1"/>
    </row>
    <row r="91">
      <c r="A91" s="159"/>
      <c r="B91" s="159"/>
      <c r="C91" s="159"/>
      <c r="D91" s="159"/>
      <c r="E91" s="159"/>
      <c r="F91" s="1"/>
      <c r="G91" s="1"/>
    </row>
    <row r="92">
      <c r="A92" s="168"/>
      <c r="B92" s="168"/>
      <c r="C92" s="168"/>
      <c r="D92" s="168"/>
      <c r="E92" s="168"/>
      <c r="F92" s="1"/>
      <c r="G92" s="1"/>
    </row>
    <row r="93">
      <c r="A93" s="168"/>
      <c r="B93" s="168"/>
      <c r="C93" s="168"/>
      <c r="D93" s="168"/>
      <c r="E93" s="168"/>
      <c r="F93" s="1"/>
      <c r="G93" s="1"/>
    </row>
    <row r="94">
      <c r="A94" s="168"/>
      <c r="B94" s="168"/>
      <c r="C94" s="168"/>
      <c r="D94" s="168"/>
      <c r="E94" s="168"/>
      <c r="F94" s="1"/>
      <c r="G94" s="1"/>
    </row>
    <row r="95">
      <c r="A95" s="168"/>
      <c r="B95" s="168"/>
      <c r="C95" s="168"/>
      <c r="D95" s="168"/>
      <c r="E95" s="168"/>
      <c r="F95" s="1"/>
      <c r="G95" s="1"/>
    </row>
    <row r="96">
      <c r="A96" s="168"/>
      <c r="B96" s="168"/>
      <c r="C96" s="168"/>
      <c r="D96" s="168"/>
      <c r="E96" s="168"/>
      <c r="F96" s="1"/>
      <c r="G96" s="1"/>
    </row>
    <row r="97">
      <c r="A97" s="168"/>
      <c r="B97" s="168"/>
      <c r="C97" s="168"/>
      <c r="D97" s="168"/>
      <c r="E97" s="168"/>
      <c r="F97" s="1"/>
      <c r="G97" s="1"/>
    </row>
    <row r="98">
      <c r="A98" s="168"/>
      <c r="B98" s="168"/>
      <c r="C98" s="168"/>
      <c r="D98" s="168"/>
      <c r="E98" s="168"/>
      <c r="F98" s="1"/>
      <c r="G98" s="1"/>
    </row>
    <row r="99">
      <c r="A99" s="168"/>
      <c r="B99" s="168"/>
      <c r="C99" s="168"/>
      <c r="D99" s="168"/>
      <c r="E99" s="168"/>
      <c r="F99" s="1"/>
      <c r="G99" s="1"/>
    </row>
    <row r="100">
      <c r="A100" s="168"/>
      <c r="B100" s="168"/>
      <c r="C100" s="168"/>
      <c r="D100" s="168"/>
      <c r="E100" s="168"/>
      <c r="F100" s="1"/>
      <c r="G100" s="1"/>
    </row>
    <row r="101">
      <c r="A101" s="168"/>
      <c r="B101" s="168"/>
      <c r="C101" s="168"/>
      <c r="D101" s="168"/>
      <c r="E101" s="168"/>
      <c r="F101" s="1"/>
      <c r="G101" s="1"/>
    </row>
    <row r="102">
      <c r="A102" s="168"/>
      <c r="B102" s="168"/>
      <c r="C102" s="168"/>
      <c r="D102" s="168"/>
      <c r="E102" s="168"/>
      <c r="F102" s="1"/>
      <c r="G102" s="1"/>
    </row>
    <row r="103">
      <c r="A103" s="168"/>
      <c r="B103" s="168"/>
      <c r="C103" s="168"/>
      <c r="D103" s="168"/>
      <c r="E103" s="168"/>
      <c r="F103" s="1"/>
      <c r="G103" s="1"/>
    </row>
    <row r="104">
      <c r="A104" s="168"/>
      <c r="B104" s="168"/>
      <c r="C104" s="168"/>
      <c r="D104" s="168"/>
      <c r="E104" s="168"/>
      <c r="F104" s="1"/>
      <c r="G104" s="1"/>
    </row>
    <row r="105">
      <c r="A105" s="168"/>
      <c r="B105" s="168"/>
      <c r="C105" s="168"/>
      <c r="D105" s="168"/>
      <c r="E105" s="168"/>
      <c r="F105" s="1"/>
      <c r="G105" s="1"/>
    </row>
    <row r="106">
      <c r="A106" s="168"/>
      <c r="B106" s="168"/>
      <c r="C106" s="168"/>
      <c r="D106" s="168"/>
      <c r="E106" s="168"/>
      <c r="F106" s="1"/>
      <c r="G106" s="1"/>
    </row>
    <row r="107">
      <c r="A107" s="168"/>
      <c r="B107" s="168"/>
      <c r="C107" s="168"/>
      <c r="D107" s="168"/>
      <c r="E107" s="168"/>
      <c r="F107" s="1"/>
      <c r="G107" s="1"/>
    </row>
    <row r="108">
      <c r="A108" s="168"/>
      <c r="B108" s="168"/>
      <c r="C108" s="168"/>
      <c r="D108" s="168"/>
      <c r="E108" s="168"/>
      <c r="F108" s="1"/>
      <c r="G108" s="1"/>
    </row>
    <row r="109">
      <c r="A109" s="168"/>
      <c r="B109" s="168"/>
      <c r="C109" s="168"/>
      <c r="D109" s="168"/>
      <c r="E109" s="168"/>
      <c r="F109" s="1"/>
      <c r="G109" s="1"/>
    </row>
    <row r="110">
      <c r="A110" s="168"/>
      <c r="B110" s="168"/>
      <c r="C110" s="168"/>
      <c r="D110" s="168"/>
      <c r="E110" s="168"/>
      <c r="F110" s="1"/>
      <c r="G110" s="1"/>
    </row>
    <row r="111">
      <c r="A111" s="168"/>
      <c r="B111" s="168"/>
      <c r="C111" s="168"/>
      <c r="D111" s="168"/>
      <c r="E111" s="168"/>
      <c r="F111" s="1"/>
      <c r="G111" s="1"/>
    </row>
    <row r="112">
      <c r="A112" s="168"/>
      <c r="B112" s="168"/>
      <c r="C112" s="168"/>
      <c r="D112" s="168"/>
      <c r="E112" s="168"/>
      <c r="F112" s="1"/>
      <c r="G112" s="1"/>
    </row>
    <row r="113">
      <c r="A113" s="168"/>
      <c r="B113" s="168"/>
      <c r="C113" s="168"/>
      <c r="D113" s="168"/>
      <c r="E113" s="168"/>
      <c r="F113" s="1"/>
      <c r="G113" s="1"/>
    </row>
    <row r="114">
      <c r="A114" s="168"/>
      <c r="B114" s="168"/>
      <c r="C114" s="168"/>
      <c r="D114" s="168"/>
      <c r="E114" s="168"/>
      <c r="F114" s="1"/>
      <c r="G114" s="1"/>
    </row>
    <row r="115">
      <c r="A115" s="168"/>
      <c r="B115" s="168"/>
      <c r="C115" s="168"/>
      <c r="D115" s="168"/>
      <c r="E115" s="168"/>
      <c r="F115" s="1"/>
      <c r="G115" s="1"/>
    </row>
    <row r="116">
      <c r="A116" s="168"/>
      <c r="B116" s="168"/>
      <c r="C116" s="168"/>
      <c r="D116" s="168"/>
      <c r="E116" s="168"/>
      <c r="F116" s="1"/>
      <c r="G116" s="1"/>
    </row>
    <row r="117">
      <c r="A117" s="168"/>
      <c r="B117" s="168"/>
      <c r="C117" s="168"/>
      <c r="D117" s="168"/>
      <c r="E117" s="168"/>
      <c r="F117" s="1"/>
      <c r="G117" s="1"/>
    </row>
    <row r="118">
      <c r="A118" s="168"/>
      <c r="B118" s="168"/>
      <c r="C118" s="168"/>
      <c r="D118" s="168"/>
      <c r="E118" s="168"/>
      <c r="F118" s="1"/>
      <c r="G118" s="1"/>
    </row>
    <row r="119">
      <c r="A119" s="168"/>
      <c r="B119" s="168"/>
      <c r="C119" s="168"/>
      <c r="D119" s="168"/>
      <c r="E119" s="168"/>
      <c r="F119" s="1"/>
      <c r="G119" s="1"/>
    </row>
    <row r="120">
      <c r="A120" s="168"/>
      <c r="B120" s="168"/>
      <c r="C120" s="168"/>
      <c r="D120" s="168"/>
      <c r="E120" s="168"/>
      <c r="F120" s="1"/>
      <c r="G120" s="1"/>
    </row>
    <row r="121">
      <c r="A121" s="168"/>
      <c r="B121" s="168"/>
      <c r="C121" s="168"/>
      <c r="D121" s="168"/>
      <c r="E121" s="168"/>
      <c r="F121" s="1"/>
      <c r="G121" s="1"/>
    </row>
    <row r="122">
      <c r="A122" s="168"/>
      <c r="B122" s="168"/>
      <c r="C122" s="168"/>
      <c r="D122" s="168"/>
      <c r="E122" s="168"/>
      <c r="F122" s="1"/>
      <c r="G122" s="1"/>
    </row>
    <row r="123">
      <c r="A123" s="168"/>
      <c r="B123" s="168"/>
      <c r="C123" s="168"/>
      <c r="D123" s="168"/>
      <c r="E123" s="168"/>
      <c r="F123" s="1"/>
      <c r="G123" s="1"/>
    </row>
    <row r="124">
      <c r="A124" s="168"/>
      <c r="B124" s="168"/>
      <c r="C124" s="168"/>
      <c r="D124" s="168"/>
      <c r="E124" s="168"/>
      <c r="F124" s="1"/>
      <c r="G124" s="1"/>
    </row>
    <row r="125">
      <c r="A125" s="168"/>
      <c r="B125" s="168"/>
      <c r="C125" s="168"/>
      <c r="D125" s="168"/>
      <c r="E125" s="168"/>
      <c r="F125" s="1"/>
      <c r="G125" s="1"/>
    </row>
    <row r="126">
      <c r="A126" s="168"/>
      <c r="B126" s="168"/>
      <c r="C126" s="168"/>
      <c r="D126" s="168"/>
      <c r="E126" s="168"/>
      <c r="F126" s="1"/>
      <c r="G126" s="1"/>
    </row>
    <row r="127">
      <c r="A127" s="168"/>
      <c r="B127" s="168"/>
      <c r="C127" s="168"/>
      <c r="D127" s="168"/>
      <c r="E127" s="168"/>
      <c r="F127" s="1"/>
      <c r="G127" s="1"/>
    </row>
    <row r="128">
      <c r="A128" s="168"/>
      <c r="B128" s="168"/>
      <c r="C128" s="168"/>
      <c r="D128" s="168"/>
      <c r="E128" s="168"/>
      <c r="F128" s="1"/>
      <c r="G128" s="1"/>
    </row>
    <row r="129">
      <c r="A129" s="168"/>
      <c r="B129" s="168"/>
      <c r="C129" s="168"/>
      <c r="D129" s="168"/>
      <c r="E129" s="168"/>
      <c r="F129" s="1"/>
      <c r="G129" s="1"/>
    </row>
    <row r="130">
      <c r="A130" s="168"/>
      <c r="B130" s="168"/>
      <c r="C130" s="168"/>
      <c r="D130" s="168"/>
      <c r="E130" s="168"/>
      <c r="F130" s="1"/>
      <c r="G130" s="1"/>
    </row>
    <row r="131">
      <c r="A131" s="168"/>
      <c r="B131" s="168"/>
      <c r="C131" s="168"/>
      <c r="D131" s="168"/>
      <c r="E131" s="168"/>
      <c r="F131" s="1"/>
      <c r="G131" s="1"/>
    </row>
    <row r="132">
      <c r="A132" s="168"/>
      <c r="B132" s="168"/>
      <c r="C132" s="168"/>
      <c r="D132" s="168"/>
      <c r="E132" s="168"/>
      <c r="F132" s="1"/>
      <c r="G132" s="1"/>
    </row>
    <row r="133">
      <c r="A133" s="168"/>
      <c r="B133" s="168"/>
      <c r="C133" s="168"/>
      <c r="D133" s="168"/>
      <c r="E133" s="168"/>
      <c r="F133" s="1"/>
      <c r="G133" s="1"/>
    </row>
    <row r="134">
      <c r="A134" s="168"/>
      <c r="B134" s="168"/>
      <c r="C134" s="168"/>
      <c r="D134" s="168"/>
      <c r="E134" s="168"/>
      <c r="F134" s="1"/>
      <c r="G134" s="1"/>
    </row>
    <row r="135">
      <c r="A135" s="168"/>
      <c r="B135" s="168"/>
      <c r="C135" s="168"/>
      <c r="D135" s="168"/>
      <c r="E135" s="168"/>
      <c r="F135" s="1"/>
      <c r="G135" s="1"/>
    </row>
    <row r="136">
      <c r="A136" s="168"/>
      <c r="B136" s="168"/>
      <c r="C136" s="168"/>
      <c r="D136" s="168"/>
      <c r="E136" s="168"/>
      <c r="F136" s="1"/>
      <c r="G136" s="1"/>
    </row>
    <row r="137">
      <c r="A137" s="168"/>
      <c r="B137" s="168"/>
      <c r="C137" s="168"/>
      <c r="D137" s="168"/>
      <c r="E137" s="168"/>
      <c r="F137" s="1"/>
      <c r="G137" s="1"/>
    </row>
    <row r="138">
      <c r="A138" s="168"/>
      <c r="B138" s="168"/>
      <c r="C138" s="168"/>
      <c r="D138" s="168"/>
      <c r="E138" s="168"/>
      <c r="F138" s="1"/>
      <c r="G138" s="1"/>
    </row>
    <row r="139">
      <c r="A139" s="168"/>
      <c r="B139" s="168"/>
      <c r="C139" s="168"/>
      <c r="D139" s="168"/>
      <c r="E139" s="168"/>
      <c r="F139" s="1"/>
      <c r="G139" s="1"/>
    </row>
    <row r="140">
      <c r="A140" s="168"/>
      <c r="B140" s="168"/>
      <c r="C140" s="168"/>
      <c r="D140" s="168"/>
      <c r="E140" s="168"/>
      <c r="F140" s="1"/>
      <c r="G140" s="1"/>
    </row>
    <row r="141">
      <c r="A141" s="168"/>
      <c r="B141" s="168"/>
      <c r="C141" s="168"/>
      <c r="D141" s="168"/>
      <c r="E141" s="168"/>
      <c r="F141" s="1"/>
      <c r="G141" s="1"/>
    </row>
    <row r="142">
      <c r="A142" s="168"/>
      <c r="B142" s="168"/>
      <c r="C142" s="168"/>
      <c r="D142" s="168"/>
      <c r="E142" s="168"/>
      <c r="F142" s="1"/>
      <c r="G142" s="1"/>
    </row>
    <row r="143">
      <c r="A143" s="168"/>
      <c r="B143" s="168"/>
      <c r="C143" s="168"/>
      <c r="D143" s="168"/>
      <c r="E143" s="168"/>
      <c r="F143" s="1"/>
      <c r="G143" s="1"/>
    </row>
    <row r="144">
      <c r="A144" s="168"/>
      <c r="B144" s="168"/>
      <c r="C144" s="168"/>
      <c r="D144" s="168"/>
      <c r="E144" s="168"/>
      <c r="F144" s="1"/>
      <c r="G144" s="1"/>
    </row>
    <row r="145">
      <c r="A145" s="168"/>
      <c r="B145" s="168"/>
      <c r="C145" s="168"/>
      <c r="D145" s="168"/>
      <c r="E145" s="168"/>
      <c r="F145" s="1"/>
      <c r="G145" s="1"/>
    </row>
    <row r="146">
      <c r="A146" s="168"/>
      <c r="B146" s="168"/>
      <c r="C146" s="168"/>
      <c r="D146" s="168"/>
      <c r="E146" s="168"/>
      <c r="F146" s="1"/>
      <c r="G146" s="1"/>
    </row>
    <row r="147">
      <c r="A147" s="168"/>
      <c r="B147" s="168"/>
      <c r="C147" s="168"/>
      <c r="D147" s="168"/>
      <c r="E147" s="168"/>
      <c r="F147" s="1"/>
      <c r="G147" s="1"/>
    </row>
    <row r="148">
      <c r="A148" s="168"/>
      <c r="B148" s="168"/>
      <c r="C148" s="168"/>
      <c r="D148" s="168"/>
      <c r="E148" s="168"/>
      <c r="F148" s="1"/>
      <c r="G148" s="1"/>
    </row>
    <row r="149">
      <c r="A149" s="168"/>
      <c r="B149" s="168"/>
      <c r="C149" s="168"/>
      <c r="D149" s="168"/>
      <c r="E149" s="168"/>
      <c r="F149" s="1"/>
      <c r="G149" s="1"/>
    </row>
    <row r="150">
      <c r="A150" s="168"/>
      <c r="B150" s="168"/>
      <c r="C150" s="168"/>
      <c r="D150" s="168"/>
      <c r="E150" s="168"/>
      <c r="F150" s="1"/>
      <c r="G150" s="1"/>
    </row>
    <row r="151">
      <c r="A151" s="168"/>
      <c r="B151" s="168"/>
      <c r="C151" s="168"/>
      <c r="D151" s="168"/>
      <c r="E151" s="168"/>
      <c r="F151" s="1"/>
      <c r="G151" s="1"/>
    </row>
    <row r="152">
      <c r="A152" s="168"/>
      <c r="B152" s="168"/>
      <c r="C152" s="168"/>
      <c r="D152" s="168"/>
      <c r="E152" s="168"/>
      <c r="F152" s="1"/>
      <c r="G152" s="1"/>
    </row>
    <row r="153">
      <c r="A153" s="168"/>
      <c r="B153" s="168"/>
      <c r="C153" s="168"/>
      <c r="D153" s="168"/>
      <c r="E153" s="168"/>
      <c r="F153" s="1"/>
      <c r="G153" s="1"/>
    </row>
    <row r="154">
      <c r="A154" s="168"/>
      <c r="B154" s="168"/>
      <c r="C154" s="168"/>
      <c r="D154" s="168"/>
      <c r="E154" s="168"/>
      <c r="F154" s="1"/>
      <c r="G154" s="1"/>
    </row>
    <row r="155">
      <c r="A155" s="168"/>
      <c r="B155" s="168"/>
      <c r="C155" s="168"/>
      <c r="D155" s="168"/>
      <c r="E155" s="168"/>
      <c r="F155" s="1"/>
      <c r="G155" s="1"/>
    </row>
    <row r="156">
      <c r="A156" s="168"/>
      <c r="B156" s="168"/>
      <c r="C156" s="168"/>
      <c r="D156" s="168"/>
      <c r="E156" s="168"/>
      <c r="F156" s="1"/>
      <c r="G156" s="1"/>
    </row>
    <row r="157">
      <c r="A157" s="168"/>
      <c r="B157" s="168"/>
      <c r="C157" s="168"/>
      <c r="D157" s="168"/>
      <c r="E157" s="168"/>
      <c r="F157" s="1"/>
      <c r="G157" s="1"/>
    </row>
    <row r="158">
      <c r="A158" s="168"/>
      <c r="B158" s="168"/>
      <c r="C158" s="168"/>
      <c r="D158" s="168"/>
      <c r="E158" s="168"/>
      <c r="F158" s="1"/>
      <c r="G158" s="1"/>
    </row>
    <row r="159">
      <c r="A159" s="168"/>
      <c r="B159" s="168"/>
      <c r="C159" s="168"/>
      <c r="D159" s="168"/>
      <c r="E159" s="168"/>
      <c r="F159" s="1"/>
      <c r="G159" s="1"/>
    </row>
    <row r="160">
      <c r="A160" s="168"/>
      <c r="B160" s="168"/>
      <c r="C160" s="168"/>
      <c r="D160" s="168"/>
      <c r="E160" s="168"/>
      <c r="F160" s="1"/>
      <c r="G160" s="1"/>
    </row>
    <row r="161">
      <c r="A161" s="168"/>
      <c r="B161" s="168"/>
      <c r="C161" s="168"/>
      <c r="D161" s="168"/>
      <c r="E161" s="168"/>
      <c r="F161" s="1"/>
      <c r="G161" s="1"/>
    </row>
    <row r="162">
      <c r="A162" s="168"/>
      <c r="B162" s="168"/>
      <c r="C162" s="168"/>
      <c r="D162" s="168"/>
      <c r="E162" s="168"/>
      <c r="F162" s="1"/>
      <c r="G162" s="1"/>
    </row>
    <row r="163">
      <c r="A163" s="168"/>
      <c r="B163" s="168"/>
      <c r="C163" s="168"/>
      <c r="D163" s="168"/>
      <c r="E163" s="168"/>
      <c r="F163" s="1"/>
      <c r="G163" s="1"/>
    </row>
    <row r="164">
      <c r="A164" s="168"/>
      <c r="B164" s="168"/>
      <c r="C164" s="168"/>
      <c r="D164" s="168"/>
      <c r="E164" s="168"/>
      <c r="F164" s="1"/>
      <c r="G164" s="1"/>
    </row>
    <row r="165">
      <c r="A165" s="168"/>
      <c r="B165" s="168"/>
      <c r="C165" s="168"/>
      <c r="D165" s="168"/>
      <c r="E165" s="168"/>
      <c r="F165" s="1"/>
      <c r="G165" s="1"/>
    </row>
    <row r="166">
      <c r="A166" s="168"/>
      <c r="B166" s="168"/>
      <c r="C166" s="168"/>
      <c r="D166" s="168"/>
      <c r="E166" s="168"/>
      <c r="F166" s="1"/>
      <c r="G166" s="1"/>
    </row>
    <row r="167">
      <c r="A167" s="168"/>
      <c r="B167" s="168"/>
      <c r="C167" s="168"/>
      <c r="D167" s="168"/>
      <c r="E167" s="168"/>
      <c r="F167" s="1"/>
      <c r="G167" s="1"/>
    </row>
    <row r="168">
      <c r="A168" s="168"/>
      <c r="B168" s="168"/>
      <c r="C168" s="168"/>
      <c r="D168" s="168"/>
      <c r="E168" s="168"/>
      <c r="F168" s="1"/>
      <c r="G168" s="1"/>
    </row>
    <row r="169">
      <c r="A169" s="168"/>
      <c r="B169" s="168"/>
      <c r="C169" s="168"/>
      <c r="D169" s="168"/>
      <c r="E169" s="168"/>
      <c r="F169" s="1"/>
      <c r="G169" s="1"/>
    </row>
    <row r="170">
      <c r="A170" s="168"/>
      <c r="B170" s="168"/>
      <c r="C170" s="168"/>
      <c r="D170" s="168"/>
      <c r="E170" s="168"/>
      <c r="F170" s="1"/>
      <c r="G170" s="1"/>
    </row>
    <row r="171">
      <c r="A171" s="168"/>
      <c r="B171" s="168"/>
      <c r="C171" s="168"/>
      <c r="D171" s="168"/>
      <c r="E171" s="168"/>
      <c r="F171" s="1"/>
      <c r="G171" s="1"/>
    </row>
    <row r="172">
      <c r="A172" s="168"/>
      <c r="B172" s="168"/>
      <c r="C172" s="168"/>
      <c r="D172" s="168"/>
      <c r="E172" s="168"/>
      <c r="F172" s="1"/>
      <c r="G172" s="1"/>
    </row>
    <row r="173">
      <c r="A173" s="168"/>
      <c r="B173" s="168"/>
      <c r="C173" s="168"/>
      <c r="D173" s="168"/>
      <c r="E173" s="168"/>
      <c r="F173" s="1"/>
      <c r="G173" s="1"/>
    </row>
    <row r="174">
      <c r="A174" s="168"/>
      <c r="B174" s="168"/>
      <c r="C174" s="168"/>
      <c r="D174" s="168"/>
      <c r="E174" s="168"/>
      <c r="F174" s="1"/>
      <c r="G174" s="1"/>
    </row>
    <row r="175">
      <c r="A175" s="168"/>
      <c r="B175" s="168"/>
      <c r="C175" s="168"/>
      <c r="D175" s="168"/>
      <c r="E175" s="168"/>
      <c r="F175" s="1"/>
      <c r="G175" s="1"/>
    </row>
    <row r="176">
      <c r="A176" s="168"/>
      <c r="B176" s="168"/>
      <c r="C176" s="168"/>
      <c r="D176" s="168"/>
      <c r="E176" s="168"/>
      <c r="F176" s="1"/>
      <c r="G176" s="1"/>
    </row>
    <row r="177">
      <c r="A177" s="168"/>
      <c r="B177" s="168"/>
      <c r="C177" s="168"/>
      <c r="D177" s="168"/>
      <c r="E177" s="168"/>
      <c r="F177" s="1"/>
      <c r="G177" s="1"/>
    </row>
    <row r="178">
      <c r="A178" s="168"/>
      <c r="B178" s="168"/>
      <c r="C178" s="168"/>
      <c r="D178" s="168"/>
      <c r="E178" s="168"/>
      <c r="F178" s="1"/>
      <c r="G178" s="1"/>
    </row>
    <row r="179">
      <c r="A179" s="168"/>
      <c r="B179" s="168"/>
      <c r="C179" s="168"/>
      <c r="D179" s="168"/>
      <c r="E179" s="168"/>
      <c r="F179" s="1"/>
      <c r="G179" s="1"/>
    </row>
    <row r="180">
      <c r="A180" s="168"/>
      <c r="B180" s="168"/>
      <c r="C180" s="168"/>
      <c r="D180" s="168"/>
      <c r="E180" s="168"/>
      <c r="F180" s="1"/>
      <c r="G180" s="1"/>
    </row>
    <row r="181">
      <c r="A181" s="168"/>
      <c r="B181" s="168"/>
      <c r="C181" s="168"/>
      <c r="D181" s="168"/>
      <c r="E181" s="168"/>
      <c r="F181" s="1"/>
      <c r="G181" s="1"/>
    </row>
    <row r="182">
      <c r="A182" s="168"/>
      <c r="B182" s="168"/>
      <c r="C182" s="168"/>
      <c r="D182" s="168"/>
      <c r="E182" s="168"/>
      <c r="F182" s="1"/>
      <c r="G182" s="1"/>
    </row>
    <row r="183">
      <c r="A183" s="168"/>
      <c r="B183" s="168"/>
      <c r="C183" s="168"/>
      <c r="D183" s="168"/>
      <c r="E183" s="168"/>
      <c r="F183" s="1"/>
      <c r="G183" s="1"/>
    </row>
    <row r="184">
      <c r="A184" s="168"/>
      <c r="B184" s="168"/>
      <c r="C184" s="168"/>
      <c r="D184" s="168"/>
      <c r="E184" s="168"/>
      <c r="F184" s="1"/>
      <c r="G184" s="1"/>
    </row>
    <row r="185">
      <c r="A185" s="168"/>
      <c r="B185" s="168"/>
      <c r="C185" s="168"/>
      <c r="D185" s="168"/>
      <c r="E185" s="168"/>
      <c r="F185" s="1"/>
      <c r="G185" s="1"/>
    </row>
    <row r="186">
      <c r="A186" s="168"/>
      <c r="B186" s="168"/>
      <c r="C186" s="168"/>
      <c r="D186" s="168"/>
      <c r="E186" s="168"/>
      <c r="F186" s="1"/>
      <c r="G186" s="1"/>
    </row>
    <row r="187">
      <c r="A187" s="168"/>
      <c r="B187" s="168"/>
      <c r="C187" s="168"/>
      <c r="D187" s="168"/>
      <c r="E187" s="168"/>
      <c r="F187" s="1"/>
      <c r="G187" s="1"/>
    </row>
    <row r="188">
      <c r="A188" s="168"/>
      <c r="B188" s="168"/>
      <c r="C188" s="168"/>
      <c r="D188" s="168"/>
      <c r="E188" s="168"/>
      <c r="F188" s="1"/>
      <c r="G188" s="1"/>
    </row>
    <row r="189">
      <c r="A189" s="168"/>
      <c r="B189" s="168"/>
      <c r="C189" s="168"/>
      <c r="D189" s="168"/>
      <c r="E189" s="168"/>
      <c r="F189" s="1"/>
      <c r="G189" s="1"/>
    </row>
    <row r="190">
      <c r="A190" s="168"/>
      <c r="B190" s="168"/>
      <c r="C190" s="168"/>
      <c r="D190" s="168"/>
      <c r="E190" s="168"/>
      <c r="F190" s="1"/>
      <c r="G190" s="1"/>
    </row>
    <row r="191">
      <c r="A191" s="168"/>
      <c r="B191" s="168"/>
      <c r="C191" s="168"/>
      <c r="D191" s="168"/>
      <c r="E191" s="168"/>
      <c r="F191" s="1"/>
      <c r="G191" s="1"/>
    </row>
    <row r="192">
      <c r="A192" s="168"/>
      <c r="B192" s="168"/>
      <c r="C192" s="168"/>
      <c r="D192" s="168"/>
      <c r="E192" s="168"/>
      <c r="F192" s="1"/>
      <c r="G192" s="1"/>
    </row>
    <row r="193">
      <c r="A193" s="168"/>
      <c r="B193" s="168"/>
      <c r="C193" s="168"/>
      <c r="D193" s="168"/>
      <c r="E193" s="168"/>
      <c r="F193" s="1"/>
      <c r="G193" s="1"/>
    </row>
    <row r="194">
      <c r="A194" s="168"/>
      <c r="B194" s="168"/>
      <c r="C194" s="168"/>
      <c r="D194" s="168"/>
      <c r="E194" s="168"/>
      <c r="F194" s="1"/>
      <c r="G194" s="1"/>
    </row>
    <row r="195">
      <c r="A195" s="168"/>
      <c r="B195" s="168"/>
      <c r="C195" s="168"/>
      <c r="D195" s="168"/>
      <c r="E195" s="168"/>
      <c r="F195" s="1"/>
      <c r="G195" s="1"/>
    </row>
    <row r="196">
      <c r="A196" s="168"/>
      <c r="B196" s="168"/>
      <c r="C196" s="168"/>
      <c r="D196" s="168"/>
      <c r="E196" s="168"/>
      <c r="F196" s="1"/>
      <c r="G196" s="1"/>
    </row>
    <row r="197">
      <c r="A197" s="168"/>
      <c r="B197" s="168"/>
      <c r="C197" s="168"/>
      <c r="D197" s="168"/>
      <c r="E197" s="168"/>
      <c r="F197" s="1"/>
      <c r="G197" s="1"/>
    </row>
    <row r="198">
      <c r="A198" s="168"/>
      <c r="B198" s="168"/>
      <c r="C198" s="168"/>
      <c r="D198" s="168"/>
      <c r="E198" s="168"/>
      <c r="F198" s="1"/>
      <c r="G198" s="1"/>
    </row>
    <row r="199">
      <c r="A199" s="168"/>
      <c r="B199" s="168"/>
      <c r="C199" s="168"/>
      <c r="D199" s="168"/>
      <c r="E199" s="168"/>
      <c r="F199" s="1"/>
      <c r="G199" s="1"/>
    </row>
    <row r="200">
      <c r="A200" s="168"/>
      <c r="B200" s="168"/>
      <c r="C200" s="168"/>
      <c r="D200" s="168"/>
      <c r="E200" s="168"/>
      <c r="F200" s="1"/>
      <c r="G200" s="1"/>
    </row>
    <row r="201">
      <c r="A201" s="168"/>
      <c r="B201" s="168"/>
      <c r="C201" s="168"/>
      <c r="D201" s="168"/>
      <c r="E201" s="168"/>
      <c r="F201" s="1"/>
      <c r="G201" s="1"/>
    </row>
    <row r="202">
      <c r="A202" s="168"/>
      <c r="B202" s="168"/>
      <c r="C202" s="168"/>
      <c r="D202" s="168"/>
      <c r="E202" s="168"/>
      <c r="F202" s="1"/>
      <c r="G202" s="1"/>
    </row>
    <row r="203">
      <c r="A203" s="168"/>
      <c r="B203" s="168"/>
      <c r="C203" s="168"/>
      <c r="D203" s="168"/>
      <c r="E203" s="168"/>
      <c r="F203" s="1"/>
      <c r="G203" s="1"/>
    </row>
    <row r="204">
      <c r="A204" s="168"/>
      <c r="B204" s="168"/>
      <c r="C204" s="168"/>
      <c r="D204" s="168"/>
      <c r="E204" s="168"/>
      <c r="F204" s="1"/>
      <c r="G204" s="1"/>
    </row>
    <row r="205">
      <c r="A205" s="168"/>
      <c r="B205" s="168"/>
      <c r="C205" s="168"/>
      <c r="D205" s="168"/>
      <c r="E205" s="168"/>
      <c r="F205" s="1"/>
      <c r="G205" s="1"/>
    </row>
    <row r="206">
      <c r="A206" s="168"/>
      <c r="B206" s="168"/>
      <c r="C206" s="168"/>
      <c r="D206" s="168"/>
      <c r="E206" s="168"/>
      <c r="F206" s="1"/>
      <c r="G206" s="1"/>
    </row>
    <row r="207">
      <c r="A207" s="168"/>
      <c r="B207" s="168"/>
      <c r="C207" s="168"/>
      <c r="D207" s="168"/>
      <c r="E207" s="168"/>
      <c r="F207" s="1"/>
      <c r="G207" s="1"/>
    </row>
    <row r="208">
      <c r="A208" s="168"/>
      <c r="B208" s="168"/>
      <c r="C208" s="168"/>
      <c r="D208" s="168"/>
      <c r="E208" s="168"/>
      <c r="F208" s="1"/>
      <c r="G208" s="1"/>
    </row>
    <row r="209">
      <c r="A209" s="168"/>
      <c r="B209" s="168"/>
      <c r="C209" s="168"/>
      <c r="D209" s="168"/>
      <c r="E209" s="168"/>
      <c r="F209" s="1"/>
      <c r="G209" s="1"/>
    </row>
    <row r="210">
      <c r="A210" s="168"/>
      <c r="B210" s="168"/>
      <c r="C210" s="168"/>
      <c r="D210" s="168"/>
      <c r="E210" s="168"/>
      <c r="F210" s="1"/>
      <c r="G210" s="1"/>
    </row>
    <row r="211">
      <c r="A211" s="168"/>
      <c r="B211" s="168"/>
      <c r="C211" s="168"/>
      <c r="D211" s="168"/>
      <c r="E211" s="168"/>
      <c r="F211" s="1"/>
      <c r="G211" s="1"/>
    </row>
    <row r="212">
      <c r="A212" s="168"/>
      <c r="B212" s="168"/>
      <c r="C212" s="168"/>
      <c r="D212" s="168"/>
      <c r="E212" s="168"/>
      <c r="F212" s="1"/>
      <c r="G212" s="1"/>
    </row>
    <row r="213">
      <c r="A213" s="168"/>
      <c r="B213" s="168"/>
      <c r="C213" s="168"/>
      <c r="D213" s="168"/>
      <c r="E213" s="168"/>
      <c r="F213" s="1"/>
      <c r="G213" s="1"/>
    </row>
    <row r="214">
      <c r="A214" s="168"/>
      <c r="B214" s="168"/>
      <c r="C214" s="168"/>
      <c r="D214" s="168"/>
      <c r="E214" s="168"/>
      <c r="F214" s="1"/>
      <c r="G214" s="1"/>
    </row>
    <row r="215">
      <c r="A215" s="168"/>
      <c r="B215" s="168"/>
      <c r="C215" s="168"/>
      <c r="D215" s="168"/>
      <c r="E215" s="168"/>
      <c r="F215" s="1"/>
      <c r="G215" s="1"/>
    </row>
    <row r="216">
      <c r="A216" s="168"/>
      <c r="B216" s="168"/>
      <c r="C216" s="168"/>
      <c r="D216" s="168"/>
      <c r="E216" s="168"/>
      <c r="F216" s="1"/>
      <c r="G216" s="1"/>
    </row>
    <row r="217">
      <c r="A217" s="168"/>
      <c r="B217" s="168"/>
      <c r="C217" s="168"/>
      <c r="D217" s="168"/>
      <c r="E217" s="168"/>
      <c r="F217" s="1"/>
      <c r="G217" s="1"/>
    </row>
    <row r="218">
      <c r="A218" s="168"/>
      <c r="B218" s="168"/>
      <c r="C218" s="168"/>
      <c r="D218" s="168"/>
      <c r="E218" s="168"/>
      <c r="F218" s="1"/>
      <c r="G218" s="1"/>
    </row>
    <row r="219">
      <c r="A219" s="168"/>
      <c r="B219" s="168"/>
      <c r="C219" s="168"/>
      <c r="D219" s="168"/>
      <c r="E219" s="168"/>
      <c r="F219" s="1"/>
      <c r="G219" s="1"/>
    </row>
    <row r="220">
      <c r="A220" s="168"/>
      <c r="B220" s="168"/>
      <c r="C220" s="168"/>
      <c r="D220" s="168"/>
      <c r="E220" s="168"/>
      <c r="F220" s="1"/>
      <c r="G220" s="1"/>
    </row>
    <row r="221">
      <c r="A221" s="168"/>
      <c r="B221" s="168"/>
      <c r="C221" s="168"/>
      <c r="D221" s="168"/>
      <c r="E221" s="168"/>
      <c r="F221" s="1"/>
      <c r="G221" s="1"/>
    </row>
    <row r="222">
      <c r="A222" s="168"/>
      <c r="B222" s="168"/>
      <c r="C222" s="168"/>
      <c r="D222" s="168"/>
      <c r="E222" s="168"/>
      <c r="F222" s="1"/>
      <c r="G222" s="1"/>
    </row>
    <row r="223">
      <c r="A223" s="168"/>
      <c r="B223" s="168"/>
      <c r="C223" s="168"/>
      <c r="D223" s="168"/>
      <c r="E223" s="168"/>
      <c r="F223" s="1"/>
      <c r="G223" s="1"/>
    </row>
    <row r="224">
      <c r="A224" s="168"/>
      <c r="B224" s="168"/>
      <c r="C224" s="168"/>
      <c r="D224" s="168"/>
      <c r="E224" s="168"/>
      <c r="F224" s="1"/>
      <c r="G224" s="1"/>
    </row>
    <row r="225">
      <c r="A225" s="168"/>
      <c r="B225" s="168"/>
      <c r="C225" s="168"/>
      <c r="D225" s="168"/>
      <c r="E225" s="168"/>
      <c r="F225" s="1"/>
      <c r="G225" s="1"/>
    </row>
    <row r="226">
      <c r="A226" s="168"/>
      <c r="B226" s="168"/>
      <c r="C226" s="168"/>
      <c r="D226" s="168"/>
      <c r="E226" s="168"/>
      <c r="F226" s="1"/>
      <c r="G226" s="1"/>
    </row>
    <row r="227">
      <c r="A227" s="168"/>
      <c r="B227" s="168"/>
      <c r="C227" s="168"/>
      <c r="D227" s="168"/>
      <c r="E227" s="168"/>
      <c r="F227" s="1"/>
      <c r="G227" s="1"/>
    </row>
    <row r="228">
      <c r="A228" s="168"/>
      <c r="B228" s="168"/>
      <c r="C228" s="168"/>
      <c r="D228" s="168"/>
      <c r="E228" s="168"/>
      <c r="F228" s="1"/>
      <c r="G228" s="1"/>
    </row>
    <row r="229">
      <c r="A229" s="168"/>
      <c r="B229" s="168"/>
      <c r="C229" s="168"/>
      <c r="D229" s="168"/>
      <c r="E229" s="168"/>
      <c r="F229" s="1"/>
      <c r="G229" s="1"/>
    </row>
    <row r="230">
      <c r="A230" s="168"/>
      <c r="B230" s="168"/>
      <c r="C230" s="168"/>
      <c r="D230" s="168"/>
      <c r="E230" s="168"/>
      <c r="F230" s="1"/>
      <c r="G230" s="1"/>
    </row>
    <row r="231">
      <c r="A231" s="168"/>
      <c r="B231" s="168"/>
      <c r="C231" s="168"/>
      <c r="D231" s="168"/>
      <c r="E231" s="168"/>
      <c r="F231" s="1"/>
      <c r="G231" s="1"/>
    </row>
    <row r="232">
      <c r="A232" s="168"/>
      <c r="B232" s="168"/>
      <c r="C232" s="168"/>
      <c r="D232" s="168"/>
      <c r="E232" s="168"/>
      <c r="F232" s="1"/>
      <c r="G232" s="1"/>
    </row>
    <row r="233">
      <c r="A233" s="168"/>
      <c r="B233" s="168"/>
      <c r="C233" s="168"/>
      <c r="D233" s="168"/>
      <c r="E233" s="168"/>
      <c r="F233" s="1"/>
      <c r="G233" s="1"/>
    </row>
    <row r="234">
      <c r="A234" s="168"/>
      <c r="B234" s="168"/>
      <c r="C234" s="168"/>
      <c r="D234" s="168"/>
      <c r="E234" s="168"/>
      <c r="F234" s="1"/>
      <c r="G234" s="1"/>
    </row>
    <row r="235">
      <c r="A235" s="168"/>
      <c r="B235" s="168"/>
      <c r="C235" s="168"/>
      <c r="D235" s="168"/>
      <c r="E235" s="168"/>
      <c r="F235" s="1"/>
      <c r="G235" s="1"/>
    </row>
    <row r="236">
      <c r="A236" s="168"/>
      <c r="B236" s="168"/>
      <c r="C236" s="168"/>
      <c r="D236" s="168"/>
      <c r="E236" s="168"/>
      <c r="F236" s="1"/>
      <c r="G236" s="1"/>
    </row>
    <row r="237">
      <c r="A237" s="168"/>
      <c r="B237" s="168"/>
      <c r="C237" s="168"/>
      <c r="D237" s="168"/>
      <c r="E237" s="168"/>
      <c r="F237" s="1"/>
      <c r="G237" s="1"/>
    </row>
    <row r="238">
      <c r="A238" s="168"/>
      <c r="B238" s="168"/>
      <c r="C238" s="168"/>
      <c r="D238" s="168"/>
      <c r="E238" s="168"/>
      <c r="F238" s="1"/>
      <c r="G238" s="1"/>
    </row>
    <row r="239">
      <c r="A239" s="168"/>
      <c r="B239" s="168"/>
      <c r="C239" s="168"/>
      <c r="D239" s="168"/>
      <c r="E239" s="168"/>
      <c r="F239" s="1"/>
      <c r="G239" s="1"/>
    </row>
    <row r="240">
      <c r="A240" s="168"/>
      <c r="B240" s="168"/>
      <c r="C240" s="168"/>
      <c r="D240" s="168"/>
      <c r="E240" s="168"/>
      <c r="F240" s="1"/>
      <c r="G240" s="1"/>
    </row>
    <row r="241">
      <c r="A241" s="168"/>
      <c r="B241" s="168"/>
      <c r="C241" s="168"/>
      <c r="D241" s="168"/>
      <c r="E241" s="168"/>
      <c r="F241" s="1"/>
      <c r="G241" s="1"/>
    </row>
    <row r="242">
      <c r="A242" s="168"/>
      <c r="B242" s="168"/>
      <c r="C242" s="168"/>
      <c r="D242" s="168"/>
      <c r="E242" s="168"/>
      <c r="F242" s="1"/>
      <c r="G242" s="1"/>
    </row>
    <row r="243">
      <c r="A243" s="168"/>
      <c r="B243" s="168"/>
      <c r="C243" s="168"/>
      <c r="D243" s="168"/>
      <c r="E243" s="168"/>
      <c r="F243" s="1"/>
      <c r="G243" s="1"/>
    </row>
    <row r="244">
      <c r="A244" s="168"/>
      <c r="B244" s="168"/>
      <c r="C244" s="168"/>
      <c r="D244" s="168"/>
      <c r="E244" s="168"/>
      <c r="F244" s="1"/>
      <c r="G244" s="1"/>
    </row>
    <row r="245">
      <c r="A245" s="168"/>
      <c r="B245" s="168"/>
      <c r="C245" s="168"/>
      <c r="D245" s="168"/>
      <c r="E245" s="168"/>
      <c r="F245" s="1"/>
      <c r="G245" s="1"/>
    </row>
    <row r="246">
      <c r="A246" s="168"/>
      <c r="B246" s="168"/>
      <c r="C246" s="168"/>
      <c r="D246" s="168"/>
      <c r="E246" s="168"/>
      <c r="F246" s="1"/>
      <c r="G246" s="1"/>
    </row>
    <row r="247">
      <c r="A247" s="168"/>
      <c r="B247" s="168"/>
      <c r="C247" s="168"/>
      <c r="D247" s="168"/>
      <c r="E247" s="168"/>
      <c r="F247" s="1"/>
      <c r="G247" s="1"/>
    </row>
    <row r="248">
      <c r="A248" s="168"/>
      <c r="B248" s="168"/>
      <c r="C248" s="168"/>
      <c r="D248" s="168"/>
      <c r="E248" s="168"/>
      <c r="F248" s="1"/>
      <c r="G248" s="1"/>
    </row>
    <row r="249">
      <c r="A249" s="168"/>
      <c r="B249" s="168"/>
      <c r="C249" s="168"/>
      <c r="D249" s="168"/>
      <c r="E249" s="168"/>
      <c r="F249" s="1"/>
      <c r="G249" s="1"/>
    </row>
    <row r="250">
      <c r="A250" s="168"/>
      <c r="B250" s="168"/>
      <c r="C250" s="168"/>
      <c r="D250" s="168"/>
      <c r="E250" s="168"/>
      <c r="F250" s="1"/>
      <c r="G250" s="1"/>
    </row>
    <row r="251">
      <c r="A251" s="168"/>
      <c r="B251" s="168"/>
      <c r="C251" s="168"/>
      <c r="D251" s="168"/>
      <c r="E251" s="168"/>
      <c r="F251" s="1"/>
      <c r="G251" s="1"/>
    </row>
    <row r="252">
      <c r="A252" s="168"/>
      <c r="B252" s="168"/>
      <c r="C252" s="168"/>
      <c r="D252" s="168"/>
      <c r="E252" s="168"/>
      <c r="F252" s="1"/>
      <c r="G252" s="1"/>
    </row>
    <row r="253">
      <c r="A253" s="168"/>
      <c r="B253" s="168"/>
      <c r="C253" s="168"/>
      <c r="D253" s="168"/>
      <c r="E253" s="168"/>
      <c r="F253" s="1"/>
      <c r="G253" s="1"/>
    </row>
    <row r="254">
      <c r="A254" s="168"/>
      <c r="B254" s="168"/>
      <c r="C254" s="168"/>
      <c r="D254" s="168"/>
      <c r="E254" s="168"/>
      <c r="F254" s="1"/>
      <c r="G254" s="1"/>
    </row>
    <row r="255">
      <c r="A255" s="168"/>
      <c r="B255" s="168"/>
      <c r="C255" s="168"/>
      <c r="D255" s="168"/>
      <c r="E255" s="168"/>
      <c r="F255" s="1"/>
      <c r="G255" s="1"/>
    </row>
    <row r="256">
      <c r="A256" s="168"/>
      <c r="B256" s="168"/>
      <c r="C256" s="168"/>
      <c r="D256" s="168"/>
      <c r="E256" s="168"/>
      <c r="F256" s="1"/>
      <c r="G256" s="1"/>
    </row>
    <row r="257">
      <c r="A257" s="168"/>
      <c r="B257" s="168"/>
      <c r="C257" s="168"/>
      <c r="D257" s="168"/>
      <c r="E257" s="168"/>
      <c r="F257" s="1"/>
      <c r="G257" s="1"/>
    </row>
    <row r="258">
      <c r="A258" s="168"/>
      <c r="B258" s="168"/>
      <c r="C258" s="168"/>
      <c r="D258" s="168"/>
      <c r="E258" s="168"/>
      <c r="F258" s="1"/>
      <c r="G258" s="1"/>
    </row>
    <row r="259">
      <c r="A259" s="168"/>
      <c r="B259" s="168"/>
      <c r="C259" s="168"/>
      <c r="D259" s="168"/>
      <c r="E259" s="168"/>
      <c r="F259" s="1"/>
      <c r="G259" s="1"/>
    </row>
    <row r="260">
      <c r="A260" s="168"/>
      <c r="B260" s="168"/>
      <c r="C260" s="168"/>
      <c r="D260" s="168"/>
      <c r="E260" s="168"/>
      <c r="F260" s="1"/>
      <c r="G260" s="1"/>
    </row>
    <row r="261">
      <c r="A261" s="168"/>
      <c r="B261" s="168"/>
      <c r="C261" s="168"/>
      <c r="D261" s="168"/>
      <c r="E261" s="168"/>
      <c r="F261" s="1"/>
      <c r="G261" s="1"/>
    </row>
    <row r="262">
      <c r="A262" s="168"/>
      <c r="B262" s="168"/>
      <c r="C262" s="168"/>
      <c r="D262" s="168"/>
      <c r="E262" s="168"/>
      <c r="F262" s="1"/>
      <c r="G262" s="1"/>
    </row>
    <row r="263">
      <c r="A263" s="168"/>
      <c r="B263" s="168"/>
      <c r="C263" s="168"/>
      <c r="D263" s="168"/>
      <c r="E263" s="168"/>
      <c r="F263" s="1"/>
      <c r="G263" s="1"/>
    </row>
    <row r="264">
      <c r="A264" s="168"/>
      <c r="B264" s="168"/>
      <c r="C264" s="168"/>
      <c r="D264" s="168"/>
      <c r="E264" s="168"/>
      <c r="F264" s="1"/>
      <c r="G264" s="1"/>
    </row>
    <row r="265">
      <c r="A265" s="168"/>
      <c r="B265" s="168"/>
      <c r="C265" s="168"/>
      <c r="D265" s="168"/>
      <c r="E265" s="168"/>
      <c r="F265" s="1"/>
      <c r="G265" s="1"/>
    </row>
    <row r="266">
      <c r="A266" s="168"/>
      <c r="B266" s="168"/>
      <c r="C266" s="168"/>
      <c r="D266" s="168"/>
      <c r="E266" s="168"/>
      <c r="F266" s="1"/>
      <c r="G266" s="1"/>
    </row>
    <row r="267">
      <c r="A267" s="168"/>
      <c r="B267" s="168"/>
      <c r="C267" s="168"/>
      <c r="D267" s="168"/>
      <c r="E267" s="168"/>
      <c r="F267" s="1"/>
      <c r="G267" s="1"/>
    </row>
    <row r="268">
      <c r="A268" s="168"/>
      <c r="B268" s="168"/>
      <c r="C268" s="168"/>
      <c r="D268" s="168"/>
      <c r="E268" s="168"/>
      <c r="F268" s="1"/>
      <c r="G268" s="1"/>
    </row>
    <row r="269">
      <c r="A269" s="168"/>
      <c r="B269" s="168"/>
      <c r="C269" s="168"/>
      <c r="D269" s="168"/>
      <c r="E269" s="168"/>
      <c r="F269" s="1"/>
      <c r="G269" s="1"/>
    </row>
    <row r="270">
      <c r="A270" s="168"/>
      <c r="B270" s="168"/>
      <c r="C270" s="168"/>
      <c r="D270" s="168"/>
      <c r="E270" s="168"/>
      <c r="F270" s="1"/>
      <c r="G270" s="1"/>
    </row>
    <row r="271">
      <c r="A271" s="168"/>
      <c r="B271" s="168"/>
      <c r="C271" s="168"/>
      <c r="D271" s="168"/>
      <c r="E271" s="168"/>
      <c r="F271" s="1"/>
      <c r="G271" s="1"/>
    </row>
    <row r="272">
      <c r="A272" s="168"/>
      <c r="B272" s="168"/>
      <c r="C272" s="168"/>
      <c r="D272" s="168"/>
      <c r="E272" s="168"/>
      <c r="F272" s="1"/>
      <c r="G272" s="1"/>
    </row>
    <row r="273">
      <c r="A273" s="168"/>
      <c r="B273" s="168"/>
      <c r="C273" s="168"/>
      <c r="D273" s="168"/>
      <c r="E273" s="168"/>
      <c r="F273" s="1"/>
      <c r="G273" s="1"/>
    </row>
    <row r="274">
      <c r="A274" s="168"/>
      <c r="B274" s="168"/>
      <c r="C274" s="168"/>
      <c r="D274" s="168"/>
      <c r="E274" s="168"/>
      <c r="F274" s="1"/>
      <c r="G274" s="1"/>
    </row>
    <row r="275">
      <c r="A275" s="168"/>
      <c r="B275" s="168"/>
      <c r="C275" s="168"/>
      <c r="D275" s="168"/>
      <c r="E275" s="168"/>
      <c r="F275" s="1"/>
      <c r="G275" s="1"/>
    </row>
    <row r="276">
      <c r="A276" s="168"/>
      <c r="B276" s="168"/>
      <c r="C276" s="168"/>
      <c r="D276" s="168"/>
      <c r="E276" s="168"/>
      <c r="F276" s="1"/>
      <c r="G276" s="1"/>
    </row>
    <row r="277">
      <c r="A277" s="168"/>
      <c r="B277" s="168"/>
      <c r="C277" s="168"/>
      <c r="D277" s="168"/>
      <c r="E277" s="168"/>
      <c r="F277" s="1"/>
      <c r="G277" s="1"/>
    </row>
    <row r="278">
      <c r="A278" s="168"/>
      <c r="B278" s="168"/>
      <c r="C278" s="168"/>
      <c r="D278" s="168"/>
      <c r="E278" s="168"/>
      <c r="F278" s="1"/>
      <c r="G278" s="1"/>
    </row>
    <row r="279">
      <c r="A279" s="168"/>
      <c r="B279" s="168"/>
      <c r="C279" s="168"/>
      <c r="D279" s="168"/>
      <c r="E279" s="168"/>
      <c r="F279" s="1"/>
      <c r="G279" s="1"/>
    </row>
    <row r="280">
      <c r="A280" s="168"/>
      <c r="B280" s="168"/>
      <c r="C280" s="168"/>
      <c r="D280" s="168"/>
      <c r="E280" s="168"/>
      <c r="F280" s="1"/>
      <c r="G280" s="1"/>
    </row>
    <row r="281">
      <c r="A281" s="168"/>
      <c r="B281" s="168"/>
      <c r="C281" s="168"/>
      <c r="D281" s="168"/>
      <c r="E281" s="168"/>
      <c r="F281" s="1"/>
      <c r="G281" s="1"/>
    </row>
    <row r="282">
      <c r="A282" s="168"/>
      <c r="B282" s="168"/>
      <c r="C282" s="168"/>
      <c r="D282" s="168"/>
      <c r="E282" s="168"/>
      <c r="F282" s="1"/>
      <c r="G282" s="1"/>
    </row>
    <row r="283">
      <c r="A283" s="168"/>
      <c r="B283" s="168"/>
      <c r="C283" s="168"/>
      <c r="D283" s="168"/>
      <c r="E283" s="168"/>
      <c r="F283" s="1"/>
      <c r="G283" s="1"/>
    </row>
    <row r="284">
      <c r="A284" s="168"/>
      <c r="B284" s="168"/>
      <c r="C284" s="168"/>
      <c r="D284" s="168"/>
      <c r="E284" s="168"/>
      <c r="F284" s="1"/>
      <c r="G284" s="1"/>
    </row>
    <row r="285">
      <c r="A285" s="168"/>
      <c r="B285" s="168"/>
      <c r="C285" s="168"/>
      <c r="D285" s="168"/>
      <c r="E285" s="168"/>
      <c r="F285" s="1"/>
      <c r="G285" s="1"/>
    </row>
    <row r="286">
      <c r="A286" s="168"/>
      <c r="B286" s="168"/>
      <c r="C286" s="168"/>
      <c r="D286" s="168"/>
      <c r="E286" s="168"/>
      <c r="F286" s="1"/>
      <c r="G286" s="1"/>
    </row>
    <row r="287">
      <c r="A287" s="168"/>
      <c r="B287" s="168"/>
      <c r="C287" s="168"/>
      <c r="D287" s="168"/>
      <c r="E287" s="168"/>
      <c r="F287" s="1"/>
      <c r="G287" s="1"/>
    </row>
    <row r="288">
      <c r="A288" s="168"/>
      <c r="B288" s="168"/>
      <c r="C288" s="168"/>
      <c r="D288" s="168"/>
      <c r="E288" s="168"/>
      <c r="F288" s="1"/>
      <c r="G288" s="1"/>
    </row>
    <row r="289">
      <c r="A289" s="168"/>
      <c r="B289" s="168"/>
      <c r="C289" s="168"/>
      <c r="D289" s="168"/>
      <c r="E289" s="168"/>
      <c r="F289" s="1"/>
      <c r="G289" s="1"/>
    </row>
    <row r="290">
      <c r="A290" s="168"/>
      <c r="B290" s="168"/>
      <c r="C290" s="168"/>
      <c r="D290" s="168"/>
      <c r="E290" s="168"/>
      <c r="F290" s="1"/>
      <c r="G290" s="1"/>
    </row>
    <row r="291">
      <c r="A291" s="168"/>
      <c r="B291" s="168"/>
      <c r="C291" s="168"/>
      <c r="D291" s="168"/>
      <c r="E291" s="168"/>
      <c r="F291" s="1"/>
      <c r="G291" s="1"/>
    </row>
    <row r="292">
      <c r="A292" s="168"/>
      <c r="B292" s="168"/>
      <c r="C292" s="168"/>
      <c r="D292" s="168"/>
      <c r="E292" s="168"/>
      <c r="F292" s="1"/>
      <c r="G292" s="1"/>
    </row>
    <row r="293">
      <c r="A293" s="168"/>
      <c r="B293" s="168"/>
      <c r="C293" s="168"/>
      <c r="D293" s="168"/>
      <c r="E293" s="168"/>
      <c r="F293" s="1"/>
      <c r="G293" s="1"/>
    </row>
    <row r="294">
      <c r="A294" s="168"/>
      <c r="B294" s="168"/>
      <c r="C294" s="168"/>
      <c r="D294" s="168"/>
      <c r="E294" s="168"/>
      <c r="F294" s="1"/>
      <c r="G294" s="1"/>
    </row>
    <row r="295">
      <c r="A295" s="168"/>
      <c r="B295" s="168"/>
      <c r="C295" s="168"/>
      <c r="D295" s="168"/>
      <c r="E295" s="168"/>
      <c r="F295" s="1"/>
      <c r="G295" s="1"/>
    </row>
    <row r="296">
      <c r="A296" s="168"/>
      <c r="B296" s="168"/>
      <c r="C296" s="168"/>
      <c r="D296" s="168"/>
      <c r="E296" s="168"/>
      <c r="F296" s="1"/>
      <c r="G296" s="1"/>
    </row>
    <row r="297">
      <c r="A297" s="168"/>
      <c r="B297" s="168"/>
      <c r="C297" s="168"/>
      <c r="D297" s="168"/>
      <c r="E297" s="168"/>
      <c r="F297" s="1"/>
      <c r="G297" s="1"/>
    </row>
    <row r="298">
      <c r="A298" s="168"/>
      <c r="B298" s="168"/>
      <c r="C298" s="168"/>
      <c r="D298" s="168"/>
      <c r="E298" s="168"/>
      <c r="F298" s="1"/>
      <c r="G298" s="1"/>
    </row>
    <row r="299">
      <c r="A299" s="168"/>
      <c r="B299" s="168"/>
      <c r="C299" s="168"/>
      <c r="D299" s="168"/>
      <c r="E299" s="168"/>
      <c r="F299" s="1"/>
      <c r="G299" s="1"/>
    </row>
    <row r="300">
      <c r="A300" s="168"/>
      <c r="B300" s="168"/>
      <c r="C300" s="168"/>
      <c r="D300" s="168"/>
      <c r="E300" s="168"/>
      <c r="F300" s="1"/>
      <c r="G300" s="1"/>
    </row>
    <row r="301">
      <c r="A301" s="168"/>
      <c r="B301" s="168"/>
      <c r="C301" s="168"/>
      <c r="D301" s="168"/>
      <c r="E301" s="168"/>
      <c r="F301" s="1"/>
      <c r="G301" s="1"/>
    </row>
    <row r="302">
      <c r="A302" s="168"/>
      <c r="B302" s="168"/>
      <c r="C302" s="168"/>
      <c r="D302" s="168"/>
      <c r="E302" s="168"/>
      <c r="F302" s="1"/>
      <c r="G302" s="1"/>
    </row>
    <row r="303">
      <c r="A303" s="168"/>
      <c r="B303" s="168"/>
      <c r="C303" s="168"/>
      <c r="D303" s="168"/>
      <c r="E303" s="168"/>
      <c r="F303" s="1"/>
      <c r="G303" s="1"/>
    </row>
    <row r="304">
      <c r="A304" s="168"/>
      <c r="B304" s="168"/>
      <c r="C304" s="168"/>
      <c r="D304" s="168"/>
      <c r="E304" s="168"/>
      <c r="F304" s="1"/>
      <c r="G304" s="1"/>
    </row>
    <row r="305">
      <c r="A305" s="168"/>
      <c r="B305" s="168"/>
      <c r="C305" s="168"/>
      <c r="D305" s="168"/>
      <c r="E305" s="168"/>
      <c r="F305" s="1"/>
      <c r="G305" s="1"/>
    </row>
    <row r="306">
      <c r="A306" s="168"/>
      <c r="B306" s="168"/>
      <c r="C306" s="168"/>
      <c r="D306" s="168"/>
      <c r="E306" s="168"/>
      <c r="F306" s="1"/>
      <c r="G306" s="1"/>
    </row>
    <row r="307">
      <c r="A307" s="168"/>
      <c r="B307" s="168"/>
      <c r="C307" s="168"/>
      <c r="D307" s="168"/>
      <c r="E307" s="168"/>
      <c r="F307" s="1"/>
      <c r="G307" s="1"/>
    </row>
    <row r="308">
      <c r="A308" s="168"/>
      <c r="B308" s="168"/>
      <c r="C308" s="168"/>
      <c r="D308" s="168"/>
      <c r="E308" s="168"/>
      <c r="F308" s="1"/>
      <c r="G308" s="1"/>
    </row>
    <row r="309">
      <c r="A309" s="168"/>
      <c r="B309" s="168"/>
      <c r="C309" s="168"/>
      <c r="D309" s="168"/>
      <c r="E309" s="168"/>
      <c r="F309" s="1"/>
      <c r="G309" s="1"/>
    </row>
    <row r="310">
      <c r="A310" s="168"/>
      <c r="B310" s="168"/>
      <c r="C310" s="168"/>
      <c r="D310" s="168"/>
      <c r="E310" s="168"/>
      <c r="F310" s="1"/>
      <c r="G310" s="1"/>
    </row>
    <row r="311">
      <c r="A311" s="168"/>
      <c r="B311" s="168"/>
      <c r="C311" s="168"/>
      <c r="D311" s="168"/>
      <c r="E311" s="168"/>
      <c r="F311" s="1"/>
      <c r="G311" s="1"/>
    </row>
    <row r="312">
      <c r="A312" s="168"/>
      <c r="B312" s="168"/>
      <c r="C312" s="168"/>
      <c r="D312" s="168"/>
      <c r="E312" s="168"/>
      <c r="F312" s="1"/>
      <c r="G312" s="1"/>
    </row>
    <row r="313">
      <c r="A313" s="168"/>
      <c r="B313" s="168"/>
      <c r="C313" s="168"/>
      <c r="D313" s="168"/>
      <c r="E313" s="168"/>
      <c r="F313" s="1"/>
      <c r="G313" s="1"/>
    </row>
    <row r="314">
      <c r="A314" s="168"/>
      <c r="B314" s="168"/>
      <c r="C314" s="168"/>
      <c r="D314" s="168"/>
      <c r="E314" s="168"/>
      <c r="F314" s="1"/>
      <c r="G314" s="1"/>
    </row>
    <row r="315">
      <c r="A315" s="168"/>
      <c r="B315" s="168"/>
      <c r="C315" s="168"/>
      <c r="D315" s="168"/>
      <c r="E315" s="168"/>
      <c r="F315" s="1"/>
      <c r="G315" s="1"/>
    </row>
    <row r="316">
      <c r="A316" s="168"/>
      <c r="B316" s="168"/>
      <c r="C316" s="168"/>
      <c r="D316" s="168"/>
      <c r="E316" s="168"/>
      <c r="F316" s="1"/>
      <c r="G316" s="1"/>
    </row>
    <row r="317">
      <c r="A317" s="168"/>
      <c r="B317" s="168"/>
      <c r="C317" s="168"/>
      <c r="D317" s="168"/>
      <c r="E317" s="168"/>
      <c r="F317" s="1"/>
      <c r="G317" s="1"/>
    </row>
    <row r="318">
      <c r="A318" s="168"/>
      <c r="B318" s="168"/>
      <c r="C318" s="168"/>
      <c r="D318" s="168"/>
      <c r="E318" s="168"/>
      <c r="F318" s="1"/>
      <c r="G318" s="1"/>
    </row>
    <row r="319">
      <c r="A319" s="168"/>
      <c r="B319" s="168"/>
      <c r="C319" s="168"/>
      <c r="D319" s="168"/>
      <c r="E319" s="168"/>
      <c r="F319" s="1"/>
      <c r="G319" s="1"/>
    </row>
    <row r="320">
      <c r="A320" s="168"/>
      <c r="B320" s="168"/>
      <c r="C320" s="168"/>
      <c r="D320" s="168"/>
      <c r="E320" s="168"/>
      <c r="F320" s="1"/>
      <c r="G320" s="1"/>
    </row>
    <row r="321">
      <c r="A321" s="168"/>
      <c r="B321" s="168"/>
      <c r="C321" s="168"/>
      <c r="D321" s="168"/>
      <c r="E321" s="168"/>
      <c r="F321" s="1"/>
      <c r="G321" s="1"/>
    </row>
    <row r="322">
      <c r="A322" s="168"/>
      <c r="B322" s="168"/>
      <c r="C322" s="168"/>
      <c r="D322" s="168"/>
      <c r="E322" s="168"/>
      <c r="F322" s="1"/>
      <c r="G322" s="1"/>
    </row>
    <row r="323">
      <c r="A323" s="168"/>
      <c r="B323" s="168"/>
      <c r="C323" s="168"/>
      <c r="D323" s="168"/>
      <c r="E323" s="168"/>
      <c r="F323" s="1"/>
      <c r="G323" s="1"/>
    </row>
    <row r="324">
      <c r="A324" s="168"/>
      <c r="B324" s="168"/>
      <c r="C324" s="168"/>
      <c r="D324" s="168"/>
      <c r="E324" s="168"/>
      <c r="F324" s="1"/>
      <c r="G324" s="1"/>
    </row>
    <row r="325">
      <c r="A325" s="168"/>
      <c r="B325" s="168"/>
      <c r="C325" s="168"/>
      <c r="D325" s="168"/>
      <c r="E325" s="168"/>
      <c r="F325" s="1"/>
      <c r="G325" s="1"/>
    </row>
    <row r="326">
      <c r="A326" s="168"/>
      <c r="B326" s="168"/>
      <c r="C326" s="168"/>
      <c r="D326" s="168"/>
      <c r="E326" s="168"/>
      <c r="F326" s="1"/>
      <c r="G326" s="1"/>
    </row>
    <row r="327">
      <c r="A327" s="168"/>
      <c r="B327" s="168"/>
      <c r="C327" s="168"/>
      <c r="D327" s="168"/>
      <c r="E327" s="168"/>
      <c r="F327" s="1"/>
      <c r="G327" s="1"/>
    </row>
    <row r="328">
      <c r="A328" s="168"/>
      <c r="B328" s="168"/>
      <c r="C328" s="168"/>
      <c r="D328" s="168"/>
      <c r="E328" s="168"/>
      <c r="F328" s="1"/>
      <c r="G328" s="1"/>
    </row>
    <row r="329">
      <c r="A329" s="168"/>
      <c r="B329" s="168"/>
      <c r="C329" s="168"/>
      <c r="D329" s="168"/>
      <c r="E329" s="168"/>
      <c r="F329" s="1"/>
      <c r="G329" s="1"/>
    </row>
    <row r="330">
      <c r="A330" s="168"/>
      <c r="B330" s="168"/>
      <c r="C330" s="168"/>
      <c r="D330" s="168"/>
      <c r="E330" s="168"/>
      <c r="F330" s="1"/>
      <c r="G330" s="1"/>
    </row>
    <row r="331">
      <c r="A331" s="168"/>
      <c r="B331" s="168"/>
      <c r="C331" s="168"/>
      <c r="D331" s="168"/>
      <c r="E331" s="168"/>
      <c r="F331" s="1"/>
      <c r="G331" s="1"/>
    </row>
    <row r="332">
      <c r="A332" s="168"/>
      <c r="B332" s="168"/>
      <c r="C332" s="168"/>
      <c r="D332" s="168"/>
      <c r="E332" s="168"/>
      <c r="F332" s="1"/>
      <c r="G332" s="1"/>
    </row>
    <row r="333">
      <c r="A333" s="168"/>
      <c r="B333" s="168"/>
      <c r="C333" s="168"/>
      <c r="D333" s="168"/>
      <c r="E333" s="168"/>
      <c r="F333" s="1"/>
      <c r="G333" s="1"/>
    </row>
    <row r="334">
      <c r="A334" s="168"/>
      <c r="B334" s="168"/>
      <c r="C334" s="168"/>
      <c r="D334" s="168"/>
      <c r="E334" s="168"/>
      <c r="F334" s="1"/>
      <c r="G334" s="1"/>
    </row>
    <row r="335">
      <c r="A335" s="168"/>
      <c r="B335" s="168"/>
      <c r="C335" s="168"/>
      <c r="D335" s="168"/>
      <c r="E335" s="168"/>
      <c r="F335" s="1"/>
      <c r="G335" s="1"/>
    </row>
    <row r="336">
      <c r="A336" s="168"/>
      <c r="B336" s="168"/>
      <c r="C336" s="168"/>
      <c r="D336" s="168"/>
      <c r="E336" s="168"/>
      <c r="F336" s="1"/>
      <c r="G336" s="1"/>
    </row>
    <row r="337">
      <c r="A337" s="168"/>
      <c r="B337" s="168"/>
      <c r="C337" s="168"/>
      <c r="D337" s="168"/>
      <c r="E337" s="168"/>
      <c r="F337" s="1"/>
      <c r="G337" s="1"/>
    </row>
    <row r="338">
      <c r="A338" s="168"/>
      <c r="B338" s="168"/>
      <c r="C338" s="168"/>
      <c r="D338" s="168"/>
      <c r="E338" s="168"/>
      <c r="F338" s="1"/>
      <c r="G338" s="1"/>
    </row>
    <row r="339">
      <c r="A339" s="168"/>
      <c r="B339" s="168"/>
      <c r="C339" s="168"/>
      <c r="D339" s="168"/>
      <c r="E339" s="168"/>
      <c r="F339" s="1"/>
      <c r="G339" s="1"/>
    </row>
    <row r="340">
      <c r="A340" s="168"/>
      <c r="B340" s="168"/>
      <c r="C340" s="168"/>
      <c r="D340" s="168"/>
      <c r="E340" s="168"/>
      <c r="F340" s="1"/>
      <c r="G340" s="1"/>
    </row>
    <row r="341">
      <c r="A341" s="168"/>
      <c r="B341" s="168"/>
      <c r="C341" s="168"/>
      <c r="D341" s="168"/>
      <c r="E341" s="168"/>
      <c r="F341" s="1"/>
      <c r="G341" s="1"/>
    </row>
    <row r="342">
      <c r="A342" s="168"/>
      <c r="B342" s="168"/>
      <c r="C342" s="168"/>
      <c r="D342" s="168"/>
      <c r="E342" s="168"/>
      <c r="F342" s="1"/>
      <c r="G342" s="1"/>
    </row>
    <row r="343">
      <c r="A343" s="168"/>
      <c r="B343" s="168"/>
      <c r="C343" s="168"/>
      <c r="D343" s="168"/>
      <c r="E343" s="168"/>
      <c r="F343" s="1"/>
      <c r="G343" s="1"/>
    </row>
    <row r="344">
      <c r="A344" s="168"/>
      <c r="B344" s="168"/>
      <c r="C344" s="168"/>
      <c r="D344" s="168"/>
      <c r="E344" s="168"/>
      <c r="F344" s="1"/>
      <c r="G344" s="1"/>
    </row>
    <row r="345">
      <c r="A345" s="168"/>
      <c r="B345" s="168"/>
      <c r="C345" s="168"/>
      <c r="D345" s="168"/>
      <c r="E345" s="168"/>
      <c r="F345" s="1"/>
      <c r="G345" s="1"/>
    </row>
    <row r="346">
      <c r="A346" s="168"/>
      <c r="B346" s="168"/>
      <c r="C346" s="168"/>
      <c r="D346" s="168"/>
      <c r="E346" s="168"/>
      <c r="F346" s="1"/>
      <c r="G346" s="1"/>
    </row>
    <row r="347">
      <c r="A347" s="168"/>
      <c r="B347" s="168"/>
      <c r="C347" s="168"/>
      <c r="D347" s="168"/>
      <c r="E347" s="168"/>
      <c r="F347" s="1"/>
      <c r="G347" s="1"/>
    </row>
    <row r="348">
      <c r="A348" s="168"/>
      <c r="B348" s="168"/>
      <c r="C348" s="168"/>
      <c r="D348" s="168"/>
      <c r="E348" s="168"/>
      <c r="F348" s="1"/>
      <c r="G348" s="1"/>
    </row>
    <row r="349">
      <c r="A349" s="168"/>
      <c r="B349" s="168"/>
      <c r="C349" s="168"/>
      <c r="D349" s="168"/>
      <c r="E349" s="168"/>
      <c r="F349" s="1"/>
      <c r="G349" s="1"/>
    </row>
    <row r="350">
      <c r="A350" s="168"/>
      <c r="B350" s="168"/>
      <c r="C350" s="168"/>
      <c r="D350" s="168"/>
      <c r="E350" s="168"/>
      <c r="F350" s="1"/>
      <c r="G350" s="1"/>
    </row>
    <row r="351">
      <c r="A351" s="168"/>
      <c r="B351" s="168"/>
      <c r="C351" s="168"/>
      <c r="D351" s="168"/>
      <c r="E351" s="168"/>
      <c r="F351" s="1"/>
      <c r="G351" s="1"/>
    </row>
    <row r="352">
      <c r="A352" s="168"/>
      <c r="B352" s="168"/>
      <c r="C352" s="168"/>
      <c r="D352" s="168"/>
      <c r="E352" s="168"/>
      <c r="F352" s="1"/>
      <c r="G352" s="1"/>
    </row>
    <row r="353">
      <c r="A353" s="168"/>
      <c r="B353" s="168"/>
      <c r="C353" s="168"/>
      <c r="D353" s="168"/>
      <c r="E353" s="168"/>
      <c r="F353" s="1"/>
      <c r="G353" s="1"/>
    </row>
    <row r="354">
      <c r="A354" s="168"/>
      <c r="B354" s="168"/>
      <c r="C354" s="168"/>
      <c r="D354" s="168"/>
      <c r="E354" s="168"/>
      <c r="F354" s="1"/>
      <c r="G354" s="1"/>
    </row>
    <row r="355">
      <c r="A355" s="168"/>
      <c r="B355" s="168"/>
      <c r="C355" s="168"/>
      <c r="D355" s="168"/>
      <c r="E355" s="168"/>
      <c r="F355" s="1"/>
      <c r="G355" s="1"/>
    </row>
    <row r="356">
      <c r="A356" s="168"/>
      <c r="B356" s="168"/>
      <c r="C356" s="168"/>
      <c r="D356" s="168"/>
      <c r="E356" s="168"/>
      <c r="F356" s="1"/>
      <c r="G356" s="1"/>
    </row>
    <row r="357">
      <c r="A357" s="168"/>
      <c r="B357" s="168"/>
      <c r="C357" s="168"/>
      <c r="D357" s="168"/>
      <c r="E357" s="168"/>
      <c r="F357" s="1"/>
      <c r="G357" s="1"/>
    </row>
    <row r="358">
      <c r="A358" s="168"/>
      <c r="B358" s="168"/>
      <c r="C358" s="168"/>
      <c r="D358" s="168"/>
      <c r="E358" s="168"/>
      <c r="F358" s="1"/>
      <c r="G358" s="1"/>
    </row>
    <row r="359">
      <c r="A359" s="168"/>
      <c r="B359" s="168"/>
      <c r="C359" s="168"/>
      <c r="D359" s="168"/>
      <c r="E359" s="168"/>
      <c r="F359" s="1"/>
      <c r="G359" s="1"/>
    </row>
    <row r="360">
      <c r="A360" s="168"/>
      <c r="B360" s="168"/>
      <c r="C360" s="168"/>
      <c r="D360" s="168"/>
      <c r="E360" s="168"/>
      <c r="F360" s="1"/>
      <c r="G360" s="1"/>
    </row>
    <row r="361">
      <c r="A361" s="168"/>
      <c r="B361" s="168"/>
      <c r="C361" s="168"/>
      <c r="D361" s="168"/>
      <c r="E361" s="168"/>
      <c r="F361" s="1"/>
      <c r="G361" s="1"/>
    </row>
    <row r="362">
      <c r="A362" s="168"/>
      <c r="B362" s="168"/>
      <c r="C362" s="168"/>
      <c r="D362" s="168"/>
      <c r="E362" s="168"/>
      <c r="F362" s="1"/>
      <c r="G362" s="1"/>
    </row>
    <row r="363">
      <c r="A363" s="168"/>
      <c r="B363" s="168"/>
      <c r="C363" s="168"/>
      <c r="D363" s="168"/>
      <c r="E363" s="168"/>
      <c r="F363" s="1"/>
      <c r="G363" s="1"/>
    </row>
    <row r="364">
      <c r="A364" s="168"/>
      <c r="B364" s="168"/>
      <c r="C364" s="168"/>
      <c r="D364" s="168"/>
      <c r="E364" s="168"/>
      <c r="F364" s="1"/>
      <c r="G364" s="1"/>
    </row>
    <row r="365">
      <c r="A365" s="168"/>
      <c r="B365" s="168"/>
      <c r="C365" s="168"/>
      <c r="D365" s="168"/>
      <c r="E365" s="168"/>
      <c r="F365" s="1"/>
      <c r="G365" s="1"/>
    </row>
    <row r="366">
      <c r="A366" s="168"/>
      <c r="B366" s="168"/>
      <c r="C366" s="168"/>
      <c r="D366" s="168"/>
      <c r="E366" s="168"/>
      <c r="F366" s="1"/>
      <c r="G366" s="1"/>
    </row>
    <row r="367">
      <c r="A367" s="168"/>
      <c r="B367" s="168"/>
      <c r="C367" s="168"/>
      <c r="D367" s="168"/>
      <c r="E367" s="168"/>
      <c r="F367" s="1"/>
      <c r="G367" s="1"/>
    </row>
    <row r="368">
      <c r="A368" s="168"/>
      <c r="B368" s="168"/>
      <c r="C368" s="168"/>
      <c r="D368" s="168"/>
      <c r="E368" s="168"/>
      <c r="F368" s="1"/>
      <c r="G368" s="1"/>
    </row>
    <row r="369">
      <c r="A369" s="168"/>
      <c r="B369" s="168"/>
      <c r="C369" s="168"/>
      <c r="D369" s="168"/>
      <c r="E369" s="168"/>
      <c r="F369" s="1"/>
      <c r="G369" s="1"/>
    </row>
    <row r="370">
      <c r="A370" s="168"/>
      <c r="B370" s="168"/>
      <c r="C370" s="168"/>
      <c r="D370" s="168"/>
      <c r="E370" s="168"/>
      <c r="F370" s="1"/>
      <c r="G370" s="1"/>
    </row>
    <row r="371">
      <c r="A371" s="168"/>
      <c r="B371" s="168"/>
      <c r="C371" s="168"/>
      <c r="D371" s="168"/>
      <c r="E371" s="168"/>
      <c r="F371" s="1"/>
      <c r="G371" s="1"/>
    </row>
    <row r="372">
      <c r="A372" s="168"/>
      <c r="B372" s="168"/>
      <c r="C372" s="168"/>
      <c r="D372" s="168"/>
      <c r="E372" s="168"/>
      <c r="F372" s="1"/>
      <c r="G372" s="1"/>
    </row>
    <row r="373">
      <c r="A373" s="168"/>
      <c r="B373" s="168"/>
      <c r="C373" s="168"/>
      <c r="D373" s="168"/>
      <c r="E373" s="168"/>
      <c r="F373" s="1"/>
      <c r="G373" s="1"/>
    </row>
    <row r="374">
      <c r="A374" s="168"/>
      <c r="B374" s="168"/>
      <c r="C374" s="168"/>
      <c r="D374" s="168"/>
      <c r="E374" s="168"/>
      <c r="F374" s="1"/>
      <c r="G374" s="1"/>
    </row>
    <row r="375">
      <c r="A375" s="168"/>
      <c r="B375" s="168"/>
      <c r="C375" s="168"/>
      <c r="D375" s="168"/>
      <c r="E375" s="168"/>
      <c r="F375" s="1"/>
      <c r="G375" s="1"/>
    </row>
    <row r="376">
      <c r="A376" s="168"/>
      <c r="B376" s="168"/>
      <c r="C376" s="168"/>
      <c r="D376" s="168"/>
      <c r="E376" s="168"/>
      <c r="F376" s="1"/>
      <c r="G376" s="1"/>
    </row>
    <row r="377">
      <c r="A377" s="168"/>
      <c r="B377" s="168"/>
      <c r="C377" s="168"/>
      <c r="D377" s="168"/>
      <c r="E377" s="168"/>
      <c r="F377" s="1"/>
      <c r="G377" s="1"/>
    </row>
    <row r="378">
      <c r="A378" s="168"/>
      <c r="B378" s="168"/>
      <c r="C378" s="168"/>
      <c r="D378" s="168"/>
      <c r="E378" s="168"/>
      <c r="F378" s="1"/>
      <c r="G378" s="1"/>
    </row>
    <row r="379">
      <c r="A379" s="168"/>
      <c r="B379" s="168"/>
      <c r="C379" s="168"/>
      <c r="D379" s="168"/>
      <c r="E379" s="168"/>
      <c r="F379" s="1"/>
      <c r="G379" s="1"/>
    </row>
    <row r="380">
      <c r="A380" s="168"/>
      <c r="B380" s="168"/>
      <c r="C380" s="168"/>
      <c r="D380" s="168"/>
      <c r="E380" s="168"/>
      <c r="F380" s="1"/>
      <c r="G380" s="1"/>
    </row>
    <row r="381">
      <c r="A381" s="168"/>
      <c r="B381" s="168"/>
      <c r="C381" s="168"/>
      <c r="D381" s="168"/>
      <c r="E381" s="168"/>
      <c r="F381" s="1"/>
      <c r="G381" s="1"/>
    </row>
    <row r="382">
      <c r="A382" s="168"/>
      <c r="B382" s="168"/>
      <c r="C382" s="168"/>
      <c r="D382" s="168"/>
      <c r="E382" s="168"/>
      <c r="F382" s="1"/>
      <c r="G382" s="1"/>
    </row>
    <row r="383">
      <c r="A383" s="168"/>
      <c r="B383" s="168"/>
      <c r="C383" s="168"/>
      <c r="D383" s="168"/>
      <c r="E383" s="168"/>
      <c r="F383" s="1"/>
      <c r="G383" s="1"/>
    </row>
    <row r="384">
      <c r="A384" s="168"/>
      <c r="B384" s="168"/>
      <c r="C384" s="168"/>
      <c r="D384" s="168"/>
      <c r="E384" s="168"/>
      <c r="F384" s="1"/>
      <c r="G384" s="1"/>
    </row>
    <row r="385">
      <c r="A385" s="168"/>
      <c r="B385" s="168"/>
      <c r="C385" s="168"/>
      <c r="D385" s="168"/>
      <c r="E385" s="168"/>
      <c r="F385" s="1"/>
      <c r="G385" s="1"/>
    </row>
    <row r="386">
      <c r="A386" s="168"/>
      <c r="B386" s="168"/>
      <c r="C386" s="168"/>
      <c r="D386" s="168"/>
      <c r="E386" s="168"/>
      <c r="F386" s="1"/>
      <c r="G386" s="1"/>
    </row>
    <row r="387">
      <c r="A387" s="168"/>
      <c r="B387" s="168"/>
      <c r="C387" s="168"/>
      <c r="D387" s="168"/>
      <c r="E387" s="168"/>
      <c r="F387" s="1"/>
      <c r="G387" s="1"/>
    </row>
    <row r="388">
      <c r="A388" s="168"/>
      <c r="B388" s="168"/>
      <c r="C388" s="168"/>
      <c r="D388" s="168"/>
      <c r="E388" s="168"/>
      <c r="F388" s="1"/>
      <c r="G388" s="1"/>
    </row>
    <row r="389">
      <c r="A389" s="168"/>
      <c r="B389" s="168"/>
      <c r="C389" s="168"/>
      <c r="D389" s="168"/>
      <c r="E389" s="168"/>
      <c r="F389" s="1"/>
      <c r="G389" s="1"/>
    </row>
    <row r="390">
      <c r="A390" s="168"/>
      <c r="B390" s="168"/>
      <c r="C390" s="168"/>
      <c r="D390" s="168"/>
      <c r="E390" s="168"/>
      <c r="F390" s="1"/>
      <c r="G390" s="1"/>
    </row>
    <row r="391">
      <c r="A391" s="168"/>
      <c r="B391" s="168"/>
      <c r="C391" s="168"/>
      <c r="D391" s="168"/>
      <c r="E391" s="168"/>
      <c r="F391" s="1"/>
      <c r="G391" s="1"/>
    </row>
    <row r="392">
      <c r="A392" s="168"/>
      <c r="B392" s="168"/>
      <c r="C392" s="168"/>
      <c r="D392" s="168"/>
      <c r="E392" s="168"/>
      <c r="F392" s="1"/>
      <c r="G392" s="1"/>
    </row>
    <row r="393">
      <c r="A393" s="168"/>
      <c r="B393" s="168"/>
      <c r="C393" s="168"/>
      <c r="D393" s="168"/>
      <c r="E393" s="168"/>
      <c r="F393" s="1"/>
      <c r="G393" s="1"/>
    </row>
    <row r="394">
      <c r="A394" s="168"/>
      <c r="B394" s="168"/>
      <c r="C394" s="168"/>
      <c r="D394" s="168"/>
      <c r="E394" s="168"/>
      <c r="F394" s="1"/>
      <c r="G394" s="1"/>
    </row>
    <row r="395">
      <c r="A395" s="168"/>
      <c r="B395" s="168"/>
      <c r="C395" s="168"/>
      <c r="D395" s="168"/>
      <c r="E395" s="168"/>
      <c r="F395" s="1"/>
      <c r="G395" s="1"/>
    </row>
    <row r="396">
      <c r="A396" s="168"/>
      <c r="B396" s="168"/>
      <c r="C396" s="168"/>
      <c r="D396" s="168"/>
      <c r="E396" s="168"/>
      <c r="F396" s="1"/>
      <c r="G396" s="1"/>
    </row>
    <row r="397">
      <c r="A397" s="168"/>
      <c r="B397" s="168"/>
      <c r="C397" s="168"/>
      <c r="D397" s="168"/>
      <c r="E397" s="168"/>
      <c r="F397" s="1"/>
      <c r="G397" s="1"/>
    </row>
    <row r="398">
      <c r="A398" s="168"/>
      <c r="B398" s="168"/>
      <c r="C398" s="168"/>
      <c r="D398" s="168"/>
      <c r="E398" s="168"/>
      <c r="F398" s="1"/>
      <c r="G398" s="1"/>
    </row>
    <row r="399">
      <c r="A399" s="168"/>
      <c r="B399" s="168"/>
      <c r="C399" s="168"/>
      <c r="D399" s="168"/>
      <c r="E399" s="168"/>
      <c r="F399" s="1"/>
      <c r="G399" s="1"/>
    </row>
    <row r="400">
      <c r="A400" s="168"/>
      <c r="B400" s="168"/>
      <c r="C400" s="168"/>
      <c r="D400" s="168"/>
      <c r="E400" s="168"/>
      <c r="F400" s="1"/>
      <c r="G400" s="1"/>
    </row>
    <row r="401">
      <c r="A401" s="168"/>
      <c r="B401" s="168"/>
      <c r="C401" s="168"/>
      <c r="D401" s="168"/>
      <c r="E401" s="168"/>
      <c r="F401" s="1"/>
      <c r="G401" s="1"/>
    </row>
    <row r="402">
      <c r="A402" s="168"/>
      <c r="B402" s="168"/>
      <c r="C402" s="168"/>
      <c r="D402" s="168"/>
      <c r="E402" s="168"/>
      <c r="F402" s="1"/>
      <c r="G402" s="1"/>
    </row>
    <row r="403">
      <c r="A403" s="168"/>
      <c r="B403" s="168"/>
      <c r="C403" s="168"/>
      <c r="D403" s="168"/>
      <c r="E403" s="168"/>
      <c r="F403" s="1"/>
      <c r="G403" s="1"/>
    </row>
    <row r="404">
      <c r="A404" s="168"/>
      <c r="B404" s="168"/>
      <c r="C404" s="168"/>
      <c r="D404" s="168"/>
      <c r="E404" s="168"/>
      <c r="F404" s="1"/>
      <c r="G404" s="1"/>
    </row>
    <row r="405">
      <c r="A405" s="168"/>
      <c r="B405" s="168"/>
      <c r="C405" s="168"/>
      <c r="D405" s="168"/>
      <c r="E405" s="168"/>
      <c r="F405" s="1"/>
      <c r="G405" s="1"/>
    </row>
    <row r="406">
      <c r="A406" s="168"/>
      <c r="B406" s="168"/>
      <c r="C406" s="168"/>
      <c r="D406" s="168"/>
      <c r="E406" s="168"/>
      <c r="F406" s="1"/>
      <c r="G406" s="1"/>
    </row>
    <row r="407">
      <c r="A407" s="168"/>
      <c r="B407" s="168"/>
      <c r="C407" s="168"/>
      <c r="D407" s="168"/>
      <c r="E407" s="168"/>
      <c r="F407" s="1"/>
      <c r="G407" s="1"/>
    </row>
    <row r="408">
      <c r="A408" s="168"/>
      <c r="B408" s="168"/>
      <c r="C408" s="168"/>
      <c r="D408" s="168"/>
      <c r="E408" s="168"/>
      <c r="F408" s="1"/>
      <c r="G408" s="1"/>
    </row>
    <row r="409">
      <c r="A409" s="168"/>
      <c r="B409" s="168"/>
      <c r="C409" s="168"/>
      <c r="D409" s="168"/>
      <c r="E409" s="168"/>
      <c r="F409" s="1"/>
      <c r="G409" s="1"/>
    </row>
    <row r="410">
      <c r="A410" s="168"/>
      <c r="B410" s="168"/>
      <c r="C410" s="168"/>
      <c r="D410" s="168"/>
      <c r="E410" s="168"/>
      <c r="F410" s="1"/>
      <c r="G410" s="1"/>
    </row>
    <row r="411">
      <c r="A411" s="168"/>
      <c r="B411" s="168"/>
      <c r="C411" s="168"/>
      <c r="D411" s="168"/>
      <c r="E411" s="168"/>
      <c r="F411" s="1"/>
      <c r="G411" s="1"/>
    </row>
    <row r="412">
      <c r="A412" s="168"/>
      <c r="B412" s="168"/>
      <c r="C412" s="168"/>
      <c r="D412" s="168"/>
      <c r="E412" s="168"/>
      <c r="F412" s="1"/>
      <c r="G412" s="1"/>
    </row>
    <row r="413">
      <c r="A413" s="168"/>
      <c r="B413" s="168"/>
      <c r="C413" s="168"/>
      <c r="D413" s="168"/>
      <c r="E413" s="168"/>
      <c r="F413" s="1"/>
      <c r="G413" s="1"/>
    </row>
    <row r="414">
      <c r="A414" s="168"/>
      <c r="B414" s="168"/>
      <c r="C414" s="168"/>
      <c r="D414" s="168"/>
      <c r="E414" s="168"/>
      <c r="F414" s="1"/>
      <c r="G414" s="1"/>
    </row>
    <row r="415">
      <c r="A415" s="168"/>
      <c r="B415" s="168"/>
      <c r="C415" s="168"/>
      <c r="D415" s="168"/>
      <c r="E415" s="168"/>
      <c r="F415" s="1"/>
      <c r="G415" s="1"/>
    </row>
    <row r="416">
      <c r="A416" s="168"/>
      <c r="B416" s="168"/>
      <c r="C416" s="168"/>
      <c r="D416" s="168"/>
      <c r="E416" s="168"/>
      <c r="F416" s="1"/>
      <c r="G416" s="1"/>
    </row>
    <row r="417">
      <c r="A417" s="168"/>
      <c r="B417" s="168"/>
      <c r="C417" s="168"/>
      <c r="D417" s="168"/>
      <c r="E417" s="168"/>
      <c r="F417" s="1"/>
      <c r="G417" s="1"/>
    </row>
    <row r="418">
      <c r="A418" s="168"/>
      <c r="B418" s="168"/>
      <c r="C418" s="168"/>
      <c r="D418" s="168"/>
      <c r="E418" s="168"/>
      <c r="F418" s="1"/>
      <c r="G418" s="1"/>
    </row>
    <row r="419">
      <c r="A419" s="168"/>
      <c r="B419" s="168"/>
      <c r="C419" s="168"/>
      <c r="D419" s="168"/>
      <c r="E419" s="168"/>
      <c r="F419" s="1"/>
      <c r="G419" s="1"/>
    </row>
    <row r="420">
      <c r="A420" s="168"/>
      <c r="B420" s="168"/>
      <c r="C420" s="168"/>
      <c r="D420" s="168"/>
      <c r="E420" s="168"/>
      <c r="F420" s="1"/>
      <c r="G420" s="1"/>
    </row>
    <row r="421">
      <c r="A421" s="168"/>
      <c r="B421" s="168"/>
      <c r="C421" s="168"/>
      <c r="D421" s="168"/>
      <c r="E421" s="168"/>
      <c r="F421" s="1"/>
      <c r="G421" s="1"/>
    </row>
    <row r="422">
      <c r="A422" s="168"/>
      <c r="B422" s="168"/>
      <c r="C422" s="168"/>
      <c r="D422" s="168"/>
      <c r="E422" s="168"/>
      <c r="F422" s="1"/>
      <c r="G422" s="1"/>
    </row>
    <row r="423">
      <c r="A423" s="168"/>
      <c r="B423" s="168"/>
      <c r="C423" s="168"/>
      <c r="D423" s="168"/>
      <c r="E423" s="168"/>
      <c r="F423" s="1"/>
      <c r="G423" s="1"/>
    </row>
    <row r="424">
      <c r="A424" s="168"/>
      <c r="B424" s="168"/>
      <c r="C424" s="168"/>
      <c r="D424" s="168"/>
      <c r="E424" s="168"/>
      <c r="F424" s="1"/>
      <c r="G424" s="1"/>
    </row>
    <row r="425">
      <c r="A425" s="168"/>
      <c r="B425" s="168"/>
      <c r="C425" s="168"/>
      <c r="D425" s="168"/>
      <c r="E425" s="168"/>
      <c r="F425" s="1"/>
      <c r="G425" s="1"/>
    </row>
    <row r="426">
      <c r="A426" s="168"/>
      <c r="B426" s="168"/>
      <c r="C426" s="168"/>
      <c r="D426" s="168"/>
      <c r="E426" s="168"/>
      <c r="F426" s="1"/>
      <c r="G426" s="1"/>
    </row>
    <row r="427">
      <c r="A427" s="168"/>
      <c r="B427" s="168"/>
      <c r="C427" s="168"/>
      <c r="D427" s="168"/>
      <c r="E427" s="168"/>
      <c r="F427" s="1"/>
      <c r="G427" s="1"/>
    </row>
    <row r="428">
      <c r="A428" s="168"/>
      <c r="B428" s="168"/>
      <c r="C428" s="168"/>
      <c r="D428" s="168"/>
      <c r="E428" s="168"/>
      <c r="F428" s="1"/>
      <c r="G428" s="1"/>
    </row>
    <row r="429">
      <c r="A429" s="168"/>
      <c r="B429" s="168"/>
      <c r="C429" s="168"/>
      <c r="D429" s="168"/>
      <c r="E429" s="168"/>
      <c r="F429" s="1"/>
      <c r="G429" s="1"/>
    </row>
    <row r="430">
      <c r="A430" s="168"/>
      <c r="B430" s="168"/>
      <c r="C430" s="168"/>
      <c r="D430" s="168"/>
      <c r="E430" s="168"/>
      <c r="F430" s="1"/>
      <c r="G430" s="1"/>
    </row>
    <row r="431">
      <c r="A431" s="168"/>
      <c r="B431" s="168"/>
      <c r="C431" s="168"/>
      <c r="D431" s="168"/>
      <c r="E431" s="168"/>
      <c r="F431" s="1"/>
      <c r="G431" s="1"/>
    </row>
    <row r="432">
      <c r="A432" s="168"/>
      <c r="B432" s="168"/>
      <c r="C432" s="168"/>
      <c r="D432" s="168"/>
      <c r="E432" s="168"/>
      <c r="F432" s="1"/>
      <c r="G432" s="1"/>
    </row>
    <row r="433">
      <c r="A433" s="168"/>
      <c r="B433" s="168"/>
      <c r="C433" s="168"/>
      <c r="D433" s="168"/>
      <c r="E433" s="168"/>
      <c r="F433" s="1"/>
      <c r="G433" s="1"/>
    </row>
    <row r="434">
      <c r="A434" s="168"/>
      <c r="B434" s="168"/>
      <c r="C434" s="168"/>
      <c r="D434" s="168"/>
      <c r="E434" s="168"/>
      <c r="F434" s="1"/>
      <c r="G434" s="1"/>
    </row>
    <row r="435">
      <c r="A435" s="168"/>
      <c r="B435" s="168"/>
      <c r="C435" s="168"/>
      <c r="D435" s="168"/>
      <c r="E435" s="168"/>
      <c r="F435" s="1"/>
      <c r="G435" s="1"/>
    </row>
    <row r="436">
      <c r="A436" s="168"/>
      <c r="B436" s="168"/>
      <c r="C436" s="168"/>
      <c r="D436" s="168"/>
      <c r="E436" s="168"/>
      <c r="F436" s="1"/>
      <c r="G436" s="1"/>
    </row>
    <row r="437">
      <c r="A437" s="168"/>
      <c r="B437" s="168"/>
      <c r="C437" s="168"/>
      <c r="D437" s="168"/>
      <c r="E437" s="168"/>
      <c r="F437" s="1"/>
      <c r="G437" s="1"/>
    </row>
    <row r="438">
      <c r="A438" s="168"/>
      <c r="B438" s="168"/>
      <c r="C438" s="168"/>
      <c r="D438" s="168"/>
      <c r="E438" s="168"/>
      <c r="F438" s="1"/>
      <c r="G438" s="1"/>
    </row>
    <row r="439">
      <c r="A439" s="168"/>
      <c r="B439" s="168"/>
      <c r="C439" s="168"/>
      <c r="D439" s="168"/>
      <c r="E439" s="168"/>
      <c r="F439" s="1"/>
      <c r="G439" s="1"/>
    </row>
    <row r="440">
      <c r="A440" s="168"/>
      <c r="B440" s="168"/>
      <c r="C440" s="168"/>
      <c r="D440" s="168"/>
      <c r="E440" s="168"/>
      <c r="F440" s="1"/>
      <c r="G440" s="1"/>
    </row>
    <row r="441">
      <c r="A441" s="168"/>
      <c r="B441" s="168"/>
      <c r="C441" s="168"/>
      <c r="D441" s="168"/>
      <c r="E441" s="168"/>
      <c r="F441" s="1"/>
      <c r="G441" s="1"/>
    </row>
    <row r="442">
      <c r="A442" s="168"/>
      <c r="B442" s="168"/>
      <c r="C442" s="168"/>
      <c r="D442" s="168"/>
      <c r="E442" s="168"/>
      <c r="F442" s="1"/>
      <c r="G442" s="1"/>
    </row>
    <row r="443">
      <c r="A443" s="168"/>
      <c r="B443" s="168"/>
      <c r="C443" s="168"/>
      <c r="D443" s="168"/>
      <c r="E443" s="168"/>
      <c r="F443" s="1"/>
      <c r="G443" s="1"/>
    </row>
    <row r="444">
      <c r="A444" s="168"/>
      <c r="B444" s="168"/>
      <c r="C444" s="168"/>
      <c r="D444" s="168"/>
      <c r="E444" s="168"/>
      <c r="F444" s="1"/>
      <c r="G444" s="1"/>
    </row>
    <row r="445">
      <c r="A445" s="168"/>
      <c r="B445" s="168"/>
      <c r="C445" s="168"/>
      <c r="D445" s="168"/>
      <c r="E445" s="168"/>
      <c r="F445" s="1"/>
      <c r="G445" s="1"/>
    </row>
    <row r="446">
      <c r="A446" s="168"/>
      <c r="B446" s="168"/>
      <c r="C446" s="168"/>
      <c r="D446" s="168"/>
      <c r="E446" s="168"/>
      <c r="F446" s="1"/>
      <c r="G446" s="1"/>
    </row>
    <row r="447">
      <c r="A447" s="168"/>
      <c r="B447" s="168"/>
      <c r="C447" s="168"/>
      <c r="D447" s="168"/>
      <c r="E447" s="168"/>
      <c r="F447" s="1"/>
      <c r="G447" s="1"/>
    </row>
    <row r="448">
      <c r="A448" s="168"/>
      <c r="B448" s="168"/>
      <c r="C448" s="168"/>
      <c r="D448" s="168"/>
      <c r="E448" s="168"/>
      <c r="F448" s="1"/>
      <c r="G448" s="1"/>
    </row>
    <row r="449">
      <c r="A449" s="168"/>
      <c r="B449" s="168"/>
      <c r="C449" s="168"/>
      <c r="D449" s="168"/>
      <c r="E449" s="168"/>
      <c r="F449" s="1"/>
      <c r="G449" s="1"/>
    </row>
    <row r="450">
      <c r="A450" s="168"/>
      <c r="B450" s="168"/>
      <c r="C450" s="168"/>
      <c r="D450" s="168"/>
      <c r="E450" s="168"/>
      <c r="F450" s="1"/>
      <c r="G450" s="1"/>
    </row>
    <row r="451">
      <c r="A451" s="168"/>
      <c r="B451" s="168"/>
      <c r="C451" s="168"/>
      <c r="D451" s="168"/>
      <c r="E451" s="168"/>
      <c r="F451" s="1"/>
      <c r="G451" s="1"/>
    </row>
    <row r="452">
      <c r="A452" s="168"/>
      <c r="B452" s="168"/>
      <c r="C452" s="168"/>
      <c r="D452" s="168"/>
      <c r="E452" s="168"/>
      <c r="F452" s="1"/>
      <c r="G452" s="1"/>
    </row>
    <row r="453">
      <c r="A453" s="168"/>
      <c r="B453" s="168"/>
      <c r="C453" s="168"/>
      <c r="D453" s="168"/>
      <c r="E453" s="168"/>
      <c r="F453" s="1"/>
      <c r="G453" s="1"/>
    </row>
    <row r="454">
      <c r="A454" s="168"/>
      <c r="B454" s="168"/>
      <c r="C454" s="168"/>
      <c r="D454" s="168"/>
      <c r="E454" s="168"/>
      <c r="F454" s="1"/>
      <c r="G454" s="1"/>
    </row>
    <row r="455">
      <c r="A455" s="168"/>
      <c r="B455" s="168"/>
      <c r="C455" s="168"/>
      <c r="D455" s="168"/>
      <c r="E455" s="168"/>
      <c r="F455" s="1"/>
      <c r="G455" s="1"/>
    </row>
    <row r="456">
      <c r="A456" s="168"/>
      <c r="B456" s="168"/>
      <c r="C456" s="168"/>
      <c r="D456" s="168"/>
      <c r="E456" s="168"/>
      <c r="F456" s="1"/>
      <c r="G456" s="1"/>
    </row>
    <row r="457">
      <c r="A457" s="168"/>
      <c r="B457" s="168"/>
      <c r="C457" s="168"/>
      <c r="D457" s="168"/>
      <c r="E457" s="168"/>
      <c r="F457" s="1"/>
      <c r="G457" s="1"/>
    </row>
    <row r="458">
      <c r="A458" s="168"/>
      <c r="B458" s="168"/>
      <c r="C458" s="168"/>
      <c r="D458" s="168"/>
      <c r="E458" s="168"/>
      <c r="F458" s="1"/>
      <c r="G458" s="1"/>
    </row>
    <row r="459">
      <c r="A459" s="168"/>
      <c r="B459" s="168"/>
      <c r="C459" s="168"/>
      <c r="D459" s="168"/>
      <c r="E459" s="168"/>
      <c r="F459" s="1"/>
      <c r="G459" s="1"/>
    </row>
    <row r="460">
      <c r="A460" s="168"/>
      <c r="B460" s="168"/>
      <c r="C460" s="168"/>
      <c r="D460" s="168"/>
      <c r="E460" s="168"/>
      <c r="F460" s="1"/>
      <c r="G460" s="1"/>
    </row>
    <row r="461">
      <c r="A461" s="168"/>
      <c r="B461" s="168"/>
      <c r="C461" s="168"/>
      <c r="D461" s="168"/>
      <c r="E461" s="168"/>
      <c r="F461" s="1"/>
      <c r="G461" s="1"/>
    </row>
    <row r="462">
      <c r="A462" s="168"/>
      <c r="B462" s="168"/>
      <c r="C462" s="168"/>
      <c r="D462" s="168"/>
      <c r="E462" s="168"/>
      <c r="F462" s="1"/>
      <c r="G462" s="1"/>
    </row>
    <row r="463">
      <c r="A463" s="168"/>
      <c r="B463" s="168"/>
      <c r="C463" s="168"/>
      <c r="D463" s="168"/>
      <c r="E463" s="168"/>
      <c r="F463" s="1"/>
      <c r="G463" s="1"/>
    </row>
    <row r="464">
      <c r="A464" s="168"/>
      <c r="B464" s="168"/>
      <c r="C464" s="168"/>
      <c r="D464" s="168"/>
      <c r="E464" s="168"/>
      <c r="F464" s="1"/>
      <c r="G464" s="1"/>
    </row>
    <row r="465">
      <c r="A465" s="168"/>
      <c r="B465" s="168"/>
      <c r="C465" s="168"/>
      <c r="D465" s="168"/>
      <c r="E465" s="168"/>
      <c r="F465" s="1"/>
      <c r="G465" s="1"/>
    </row>
    <row r="466">
      <c r="A466" s="168"/>
      <c r="B466" s="168"/>
      <c r="C466" s="168"/>
      <c r="D466" s="168"/>
      <c r="E466" s="168"/>
      <c r="F466" s="1"/>
      <c r="G466" s="1"/>
    </row>
    <row r="467">
      <c r="A467" s="168"/>
      <c r="B467" s="168"/>
      <c r="C467" s="168"/>
      <c r="D467" s="168"/>
      <c r="E467" s="168"/>
      <c r="F467" s="1"/>
      <c r="G467" s="1"/>
    </row>
    <row r="468">
      <c r="A468" s="168"/>
      <c r="B468" s="168"/>
      <c r="C468" s="168"/>
      <c r="D468" s="168"/>
      <c r="E468" s="168"/>
      <c r="F468" s="1"/>
      <c r="G468" s="1"/>
    </row>
    <row r="469">
      <c r="A469" s="168"/>
      <c r="B469" s="168"/>
      <c r="C469" s="168"/>
      <c r="D469" s="168"/>
      <c r="E469" s="168"/>
      <c r="F469" s="1"/>
      <c r="G469" s="1"/>
    </row>
    <row r="470">
      <c r="A470" s="168"/>
      <c r="B470" s="168"/>
      <c r="C470" s="168"/>
      <c r="D470" s="168"/>
      <c r="E470" s="168"/>
      <c r="F470" s="1"/>
      <c r="G470" s="1"/>
    </row>
    <row r="471">
      <c r="A471" s="168"/>
      <c r="B471" s="168"/>
      <c r="C471" s="168"/>
      <c r="D471" s="168"/>
      <c r="E471" s="168"/>
      <c r="F471" s="1"/>
      <c r="G471" s="1"/>
    </row>
    <row r="472">
      <c r="A472" s="168"/>
      <c r="B472" s="168"/>
      <c r="C472" s="168"/>
      <c r="D472" s="168"/>
      <c r="E472" s="168"/>
      <c r="F472" s="1"/>
      <c r="G472" s="1"/>
    </row>
    <row r="473">
      <c r="A473" s="168"/>
      <c r="B473" s="168"/>
      <c r="C473" s="168"/>
      <c r="D473" s="168"/>
      <c r="E473" s="168"/>
      <c r="F473" s="1"/>
      <c r="G473" s="1"/>
    </row>
    <row r="474">
      <c r="A474" s="168"/>
      <c r="B474" s="168"/>
      <c r="C474" s="168"/>
      <c r="D474" s="168"/>
      <c r="E474" s="168"/>
      <c r="F474" s="1"/>
      <c r="G474" s="1"/>
    </row>
    <row r="475">
      <c r="A475" s="168"/>
      <c r="B475" s="168"/>
      <c r="C475" s="168"/>
      <c r="D475" s="168"/>
      <c r="E475" s="168"/>
      <c r="F475" s="1"/>
      <c r="G475" s="1"/>
    </row>
    <row r="476">
      <c r="A476" s="168"/>
      <c r="B476" s="168"/>
      <c r="C476" s="168"/>
      <c r="D476" s="168"/>
      <c r="E476" s="168"/>
      <c r="F476" s="1"/>
      <c r="G476" s="1"/>
    </row>
    <row r="477">
      <c r="A477" s="168"/>
      <c r="B477" s="168"/>
      <c r="C477" s="168"/>
      <c r="D477" s="168"/>
      <c r="E477" s="168"/>
      <c r="F477" s="1"/>
      <c r="G477" s="1"/>
    </row>
    <row r="478">
      <c r="A478" s="168"/>
      <c r="B478" s="168"/>
      <c r="C478" s="168"/>
      <c r="D478" s="168"/>
      <c r="E478" s="168"/>
      <c r="F478" s="1"/>
      <c r="G478" s="1"/>
    </row>
    <row r="479">
      <c r="A479" s="168"/>
      <c r="B479" s="168"/>
      <c r="C479" s="168"/>
      <c r="D479" s="168"/>
      <c r="E479" s="168"/>
      <c r="F479" s="1"/>
      <c r="G479" s="1"/>
    </row>
    <row r="480">
      <c r="A480" s="168"/>
      <c r="B480" s="168"/>
      <c r="C480" s="168"/>
      <c r="D480" s="168"/>
      <c r="E480" s="168"/>
      <c r="F480" s="1"/>
      <c r="G480" s="1"/>
    </row>
    <row r="481">
      <c r="A481" s="168"/>
      <c r="B481" s="168"/>
      <c r="C481" s="168"/>
      <c r="D481" s="168"/>
      <c r="E481" s="168"/>
      <c r="F481" s="1"/>
      <c r="G481" s="1"/>
    </row>
    <row r="482">
      <c r="A482" s="168"/>
      <c r="B482" s="168"/>
      <c r="C482" s="168"/>
      <c r="D482" s="168"/>
      <c r="E482" s="168"/>
      <c r="F482" s="1"/>
      <c r="G482" s="1"/>
    </row>
    <row r="483">
      <c r="A483" s="168"/>
      <c r="B483" s="168"/>
      <c r="C483" s="168"/>
      <c r="D483" s="168"/>
      <c r="E483" s="168"/>
      <c r="F483" s="1"/>
      <c r="G483" s="1"/>
    </row>
    <row r="484">
      <c r="A484" s="168"/>
      <c r="B484" s="168"/>
      <c r="C484" s="168"/>
      <c r="D484" s="168"/>
      <c r="E484" s="168"/>
      <c r="F484" s="1"/>
      <c r="G484" s="1"/>
    </row>
    <row r="485">
      <c r="A485" s="168"/>
      <c r="B485" s="168"/>
      <c r="C485" s="168"/>
      <c r="D485" s="168"/>
      <c r="E485" s="168"/>
      <c r="F485" s="1"/>
      <c r="G485" s="1"/>
    </row>
    <row r="486">
      <c r="A486" s="168"/>
      <c r="B486" s="168"/>
      <c r="C486" s="168"/>
      <c r="D486" s="168"/>
      <c r="E486" s="168"/>
      <c r="F486" s="1"/>
      <c r="G486" s="1"/>
    </row>
    <row r="487">
      <c r="A487" s="168"/>
      <c r="B487" s="168"/>
      <c r="C487" s="168"/>
      <c r="D487" s="168"/>
      <c r="E487" s="168"/>
      <c r="F487" s="1"/>
      <c r="G487" s="1"/>
    </row>
    <row r="488">
      <c r="A488" s="168"/>
      <c r="B488" s="168"/>
      <c r="C488" s="168"/>
      <c r="D488" s="168"/>
      <c r="E488" s="168"/>
      <c r="F488" s="1"/>
      <c r="G488" s="1"/>
    </row>
    <row r="489">
      <c r="A489" s="168"/>
      <c r="B489" s="168"/>
      <c r="C489" s="168"/>
      <c r="D489" s="168"/>
      <c r="E489" s="168"/>
      <c r="F489" s="1"/>
      <c r="G489" s="1"/>
    </row>
    <row r="490">
      <c r="A490" s="168"/>
      <c r="B490" s="168"/>
      <c r="C490" s="168"/>
      <c r="D490" s="168"/>
      <c r="E490" s="168"/>
      <c r="F490" s="1"/>
      <c r="G490" s="1"/>
    </row>
    <row r="491">
      <c r="A491" s="168"/>
      <c r="B491" s="168"/>
      <c r="C491" s="168"/>
      <c r="D491" s="168"/>
      <c r="E491" s="168"/>
      <c r="F491" s="1"/>
      <c r="G491" s="1"/>
    </row>
    <row r="492">
      <c r="A492" s="168"/>
      <c r="B492" s="168"/>
      <c r="C492" s="168"/>
      <c r="D492" s="168"/>
      <c r="E492" s="168"/>
      <c r="F492" s="1"/>
      <c r="G492" s="1"/>
    </row>
    <row r="493">
      <c r="A493" s="168"/>
      <c r="B493" s="168"/>
      <c r="C493" s="168"/>
      <c r="D493" s="168"/>
      <c r="E493" s="168"/>
      <c r="F493" s="1"/>
      <c r="G493" s="1"/>
    </row>
    <row r="494">
      <c r="A494" s="168"/>
      <c r="B494" s="168"/>
      <c r="C494" s="168"/>
      <c r="D494" s="168"/>
      <c r="E494" s="168"/>
      <c r="F494" s="1"/>
      <c r="G494" s="1"/>
    </row>
    <row r="495">
      <c r="A495" s="168"/>
      <c r="B495" s="168"/>
      <c r="C495" s="168"/>
      <c r="D495" s="168"/>
      <c r="E495" s="168"/>
      <c r="F495" s="1"/>
      <c r="G495" s="1"/>
    </row>
    <row r="496">
      <c r="A496" s="168"/>
      <c r="B496" s="168"/>
      <c r="C496" s="168"/>
      <c r="D496" s="168"/>
      <c r="E496" s="168"/>
      <c r="F496" s="1"/>
      <c r="G496" s="1"/>
    </row>
    <row r="497">
      <c r="A497" s="168"/>
      <c r="B497" s="168"/>
      <c r="C497" s="168"/>
      <c r="D497" s="168"/>
      <c r="E497" s="168"/>
      <c r="F497" s="1"/>
      <c r="G497" s="1"/>
    </row>
    <row r="498">
      <c r="A498" s="168"/>
      <c r="B498" s="168"/>
      <c r="C498" s="168"/>
      <c r="D498" s="168"/>
      <c r="E498" s="168"/>
      <c r="F498" s="1"/>
      <c r="G498" s="1"/>
    </row>
    <row r="499">
      <c r="A499" s="168"/>
      <c r="B499" s="168"/>
      <c r="C499" s="168"/>
      <c r="D499" s="168"/>
      <c r="E499" s="168"/>
      <c r="F499" s="1"/>
      <c r="G499" s="1"/>
    </row>
    <row r="500">
      <c r="A500" s="168"/>
      <c r="B500" s="168"/>
      <c r="C500" s="168"/>
      <c r="D500" s="168"/>
      <c r="E500" s="168"/>
      <c r="F500" s="1"/>
      <c r="G500" s="1"/>
    </row>
    <row r="501">
      <c r="A501" s="168"/>
      <c r="B501" s="168"/>
      <c r="C501" s="168"/>
      <c r="D501" s="168"/>
      <c r="E501" s="168"/>
      <c r="F501" s="1"/>
      <c r="G501" s="1"/>
    </row>
    <row r="502">
      <c r="A502" s="168"/>
      <c r="B502" s="168"/>
      <c r="C502" s="168"/>
      <c r="D502" s="168"/>
      <c r="E502" s="168"/>
      <c r="F502" s="1"/>
      <c r="G502" s="1"/>
    </row>
    <row r="503">
      <c r="A503" s="168"/>
      <c r="B503" s="168"/>
      <c r="C503" s="168"/>
      <c r="D503" s="168"/>
      <c r="E503" s="168"/>
      <c r="F503" s="1"/>
      <c r="G503" s="1"/>
    </row>
    <row r="504">
      <c r="A504" s="168"/>
      <c r="B504" s="168"/>
      <c r="C504" s="168"/>
      <c r="D504" s="168"/>
      <c r="E504" s="168"/>
      <c r="F504" s="1"/>
      <c r="G504" s="1"/>
    </row>
    <row r="505">
      <c r="A505" s="168"/>
      <c r="B505" s="168"/>
      <c r="C505" s="168"/>
      <c r="D505" s="168"/>
      <c r="E505" s="168"/>
      <c r="F505" s="1"/>
      <c r="G505" s="1"/>
    </row>
    <row r="506">
      <c r="A506" s="168"/>
      <c r="B506" s="168"/>
      <c r="C506" s="168"/>
      <c r="D506" s="168"/>
      <c r="E506" s="168"/>
      <c r="F506" s="1"/>
      <c r="G506" s="1"/>
    </row>
    <row r="507">
      <c r="A507" s="168"/>
      <c r="B507" s="168"/>
      <c r="C507" s="168"/>
      <c r="D507" s="168"/>
      <c r="E507" s="168"/>
      <c r="F507" s="1"/>
      <c r="G507" s="1"/>
    </row>
    <row r="508">
      <c r="A508" s="168"/>
      <c r="B508" s="168"/>
      <c r="C508" s="168"/>
      <c r="D508" s="168"/>
      <c r="E508" s="168"/>
      <c r="F508" s="1"/>
      <c r="G508" s="1"/>
    </row>
    <row r="509">
      <c r="A509" s="168"/>
      <c r="B509" s="168"/>
      <c r="C509" s="168"/>
      <c r="D509" s="168"/>
      <c r="E509" s="168"/>
      <c r="F509" s="1"/>
      <c r="G509" s="1"/>
    </row>
    <row r="510">
      <c r="A510" s="168"/>
      <c r="B510" s="168"/>
      <c r="C510" s="168"/>
      <c r="D510" s="168"/>
      <c r="E510" s="168"/>
      <c r="F510" s="1"/>
      <c r="G510" s="1"/>
    </row>
    <row r="511">
      <c r="A511" s="168"/>
      <c r="B511" s="168"/>
      <c r="C511" s="168"/>
      <c r="D511" s="168"/>
      <c r="E511" s="168"/>
      <c r="F511" s="1"/>
      <c r="G511" s="1"/>
    </row>
    <row r="512">
      <c r="A512" s="168"/>
      <c r="B512" s="168"/>
      <c r="C512" s="168"/>
      <c r="D512" s="168"/>
      <c r="E512" s="168"/>
      <c r="F512" s="1"/>
      <c r="G512" s="1"/>
    </row>
    <row r="513">
      <c r="A513" s="168"/>
      <c r="B513" s="168"/>
      <c r="C513" s="168"/>
      <c r="D513" s="168"/>
      <c r="E513" s="168"/>
      <c r="F513" s="1"/>
      <c r="G513" s="1"/>
    </row>
    <row r="514">
      <c r="A514" s="168"/>
      <c r="B514" s="168"/>
      <c r="C514" s="168"/>
      <c r="D514" s="168"/>
      <c r="E514" s="168"/>
      <c r="F514" s="1"/>
      <c r="G514" s="1"/>
    </row>
    <row r="515">
      <c r="A515" s="168"/>
      <c r="B515" s="168"/>
      <c r="C515" s="168"/>
      <c r="D515" s="168"/>
      <c r="E515" s="168"/>
      <c r="F515" s="1"/>
      <c r="G515" s="1"/>
    </row>
    <row r="516">
      <c r="A516" s="168"/>
      <c r="B516" s="168"/>
      <c r="C516" s="168"/>
      <c r="D516" s="168"/>
      <c r="E516" s="168"/>
      <c r="F516" s="1"/>
      <c r="G516" s="1"/>
    </row>
    <row r="517">
      <c r="A517" s="168"/>
      <c r="B517" s="168"/>
      <c r="C517" s="168"/>
      <c r="D517" s="168"/>
      <c r="E517" s="168"/>
      <c r="F517" s="1"/>
      <c r="G517" s="1"/>
    </row>
    <row r="518">
      <c r="A518" s="168"/>
      <c r="B518" s="168"/>
      <c r="C518" s="168"/>
      <c r="D518" s="168"/>
      <c r="E518" s="168"/>
      <c r="F518" s="1"/>
      <c r="G518" s="1"/>
    </row>
    <row r="519">
      <c r="A519" s="168"/>
      <c r="B519" s="168"/>
      <c r="C519" s="168"/>
      <c r="D519" s="168"/>
      <c r="E519" s="168"/>
      <c r="F519" s="1"/>
      <c r="G519" s="1"/>
    </row>
    <row r="520">
      <c r="A520" s="168"/>
      <c r="B520" s="168"/>
      <c r="C520" s="168"/>
      <c r="D520" s="168"/>
      <c r="E520" s="168"/>
      <c r="F520" s="1"/>
      <c r="G520" s="1"/>
    </row>
    <row r="521">
      <c r="A521" s="168"/>
      <c r="B521" s="168"/>
      <c r="C521" s="168"/>
      <c r="D521" s="168"/>
      <c r="E521" s="168"/>
      <c r="F521" s="1"/>
      <c r="G521" s="1"/>
    </row>
    <row r="522">
      <c r="A522" s="168"/>
      <c r="B522" s="168"/>
      <c r="C522" s="168"/>
      <c r="D522" s="168"/>
      <c r="E522" s="168"/>
      <c r="F522" s="1"/>
      <c r="G522" s="1"/>
    </row>
    <row r="523">
      <c r="A523" s="168"/>
      <c r="B523" s="168"/>
      <c r="C523" s="168"/>
      <c r="D523" s="168"/>
      <c r="E523" s="168"/>
      <c r="F523" s="1"/>
      <c r="G523" s="1"/>
    </row>
    <row r="524">
      <c r="A524" s="168"/>
      <c r="B524" s="168"/>
      <c r="C524" s="168"/>
      <c r="D524" s="168"/>
      <c r="E524" s="168"/>
      <c r="F524" s="1"/>
      <c r="G524" s="1"/>
    </row>
    <row r="525">
      <c r="A525" s="168"/>
      <c r="B525" s="168"/>
      <c r="C525" s="168"/>
      <c r="D525" s="168"/>
      <c r="E525" s="168"/>
      <c r="F525" s="1"/>
      <c r="G525" s="1"/>
    </row>
    <row r="526">
      <c r="A526" s="168"/>
      <c r="B526" s="168"/>
      <c r="C526" s="168"/>
      <c r="D526" s="168"/>
      <c r="E526" s="168"/>
      <c r="F526" s="1"/>
      <c r="G526" s="1"/>
    </row>
    <row r="527">
      <c r="A527" s="168"/>
      <c r="B527" s="168"/>
      <c r="C527" s="168"/>
      <c r="D527" s="168"/>
      <c r="E527" s="168"/>
      <c r="F527" s="1"/>
      <c r="G527" s="1"/>
    </row>
    <row r="528">
      <c r="A528" s="168"/>
      <c r="B528" s="168"/>
      <c r="C528" s="168"/>
      <c r="D528" s="168"/>
      <c r="E528" s="168"/>
      <c r="F528" s="1"/>
      <c r="G528" s="1"/>
    </row>
    <row r="529">
      <c r="A529" s="168"/>
      <c r="B529" s="168"/>
      <c r="C529" s="168"/>
      <c r="D529" s="168"/>
      <c r="E529" s="168"/>
      <c r="F529" s="1"/>
      <c r="G529" s="1"/>
    </row>
    <row r="530">
      <c r="A530" s="168"/>
      <c r="B530" s="168"/>
      <c r="C530" s="168"/>
      <c r="D530" s="168"/>
      <c r="E530" s="168"/>
      <c r="F530" s="1"/>
      <c r="G530" s="1"/>
    </row>
    <row r="531">
      <c r="A531" s="168"/>
      <c r="B531" s="168"/>
      <c r="C531" s="168"/>
      <c r="D531" s="168"/>
      <c r="E531" s="168"/>
      <c r="F531" s="1"/>
      <c r="G531" s="1"/>
    </row>
    <row r="532">
      <c r="A532" s="168"/>
      <c r="B532" s="168"/>
      <c r="C532" s="168"/>
      <c r="D532" s="168"/>
      <c r="E532" s="168"/>
      <c r="F532" s="1"/>
      <c r="G532" s="1"/>
    </row>
    <row r="533">
      <c r="A533" s="168"/>
      <c r="B533" s="168"/>
      <c r="C533" s="168"/>
      <c r="D533" s="168"/>
      <c r="E533" s="168"/>
      <c r="F533" s="1"/>
      <c r="G533" s="1"/>
    </row>
    <row r="534">
      <c r="A534" s="168"/>
      <c r="B534" s="168"/>
      <c r="C534" s="168"/>
      <c r="D534" s="168"/>
      <c r="E534" s="168"/>
      <c r="F534" s="1"/>
      <c r="G534" s="1"/>
    </row>
    <row r="535">
      <c r="A535" s="168"/>
      <c r="B535" s="168"/>
      <c r="C535" s="168"/>
      <c r="D535" s="168"/>
      <c r="E535" s="168"/>
      <c r="F535" s="1"/>
      <c r="G535" s="1"/>
    </row>
    <row r="536">
      <c r="A536" s="168"/>
      <c r="B536" s="168"/>
      <c r="C536" s="168"/>
      <c r="D536" s="168"/>
      <c r="E536" s="168"/>
      <c r="F536" s="1"/>
      <c r="G536" s="1"/>
    </row>
    <row r="537">
      <c r="A537" s="168"/>
      <c r="B537" s="168"/>
      <c r="C537" s="168"/>
      <c r="D537" s="168"/>
      <c r="E537" s="168"/>
      <c r="F537" s="1"/>
      <c r="G537" s="1"/>
    </row>
    <row r="538">
      <c r="A538" s="168"/>
      <c r="B538" s="168"/>
      <c r="C538" s="168"/>
      <c r="D538" s="168"/>
      <c r="E538" s="168"/>
      <c r="F538" s="1"/>
      <c r="G538" s="1"/>
    </row>
    <row r="539">
      <c r="A539" s="168"/>
      <c r="B539" s="168"/>
      <c r="C539" s="168"/>
      <c r="D539" s="168"/>
      <c r="E539" s="168"/>
      <c r="F539" s="1"/>
      <c r="G539" s="1"/>
    </row>
    <row r="540">
      <c r="A540" s="168"/>
      <c r="B540" s="168"/>
      <c r="C540" s="168"/>
      <c r="D540" s="168"/>
      <c r="E540" s="168"/>
      <c r="F540" s="1"/>
      <c r="G540" s="1"/>
    </row>
    <row r="541">
      <c r="A541" s="168"/>
      <c r="B541" s="168"/>
      <c r="C541" s="168"/>
      <c r="D541" s="168"/>
      <c r="E541" s="168"/>
      <c r="F541" s="1"/>
      <c r="G541" s="1"/>
    </row>
    <row r="542">
      <c r="A542" s="168"/>
      <c r="B542" s="168"/>
      <c r="C542" s="168"/>
      <c r="D542" s="168"/>
      <c r="E542" s="168"/>
      <c r="F542" s="1"/>
      <c r="G542" s="1"/>
    </row>
    <row r="543">
      <c r="A543" s="168"/>
      <c r="B543" s="168"/>
      <c r="C543" s="168"/>
      <c r="D543" s="168"/>
      <c r="E543" s="168"/>
      <c r="F543" s="1"/>
      <c r="G543" s="1"/>
    </row>
    <row r="544">
      <c r="A544" s="168"/>
      <c r="B544" s="168"/>
      <c r="C544" s="168"/>
      <c r="D544" s="168"/>
      <c r="E544" s="168"/>
      <c r="F544" s="1"/>
      <c r="G544" s="1"/>
    </row>
    <row r="545">
      <c r="A545" s="168"/>
      <c r="B545" s="168"/>
      <c r="C545" s="168"/>
      <c r="D545" s="168"/>
      <c r="E545" s="168"/>
      <c r="F545" s="1"/>
      <c r="G545" s="1"/>
    </row>
    <row r="546">
      <c r="A546" s="168"/>
      <c r="B546" s="168"/>
      <c r="C546" s="168"/>
      <c r="D546" s="168"/>
      <c r="E546" s="168"/>
      <c r="F546" s="1"/>
      <c r="G546" s="1"/>
    </row>
    <row r="547">
      <c r="A547" s="168"/>
      <c r="B547" s="168"/>
      <c r="C547" s="168"/>
      <c r="D547" s="168"/>
      <c r="E547" s="168"/>
      <c r="F547" s="1"/>
      <c r="G547" s="1"/>
    </row>
    <row r="548">
      <c r="A548" s="168"/>
      <c r="B548" s="168"/>
      <c r="C548" s="168"/>
      <c r="D548" s="168"/>
      <c r="E548" s="168"/>
      <c r="F548" s="1"/>
      <c r="G548" s="1"/>
    </row>
    <row r="549">
      <c r="A549" s="168"/>
      <c r="B549" s="168"/>
      <c r="C549" s="168"/>
      <c r="D549" s="168"/>
      <c r="E549" s="168"/>
      <c r="F549" s="1"/>
      <c r="G549" s="1"/>
    </row>
    <row r="550">
      <c r="A550" s="168"/>
      <c r="B550" s="168"/>
      <c r="C550" s="168"/>
      <c r="D550" s="168"/>
      <c r="E550" s="168"/>
      <c r="F550" s="1"/>
      <c r="G550" s="1"/>
    </row>
    <row r="551">
      <c r="A551" s="168"/>
      <c r="B551" s="168"/>
      <c r="C551" s="168"/>
      <c r="D551" s="168"/>
      <c r="E551" s="168"/>
      <c r="F551" s="1"/>
      <c r="G551" s="1"/>
    </row>
    <row r="552">
      <c r="A552" s="168"/>
      <c r="B552" s="168"/>
      <c r="C552" s="168"/>
      <c r="D552" s="168"/>
      <c r="E552" s="168"/>
      <c r="F552" s="1"/>
      <c r="G552" s="1"/>
    </row>
    <row r="553">
      <c r="A553" s="168"/>
      <c r="B553" s="168"/>
      <c r="C553" s="168"/>
      <c r="D553" s="168"/>
      <c r="E553" s="168"/>
      <c r="F553" s="1"/>
      <c r="G553" s="1"/>
    </row>
    <row r="554">
      <c r="A554" s="168"/>
      <c r="B554" s="168"/>
      <c r="C554" s="168"/>
      <c r="D554" s="168"/>
      <c r="E554" s="168"/>
      <c r="F554" s="1"/>
      <c r="G554" s="1"/>
    </row>
    <row r="555">
      <c r="A555" s="168"/>
      <c r="B555" s="168"/>
      <c r="C555" s="168"/>
      <c r="D555" s="168"/>
      <c r="E555" s="168"/>
      <c r="F555" s="1"/>
      <c r="G555" s="1"/>
    </row>
    <row r="556">
      <c r="A556" s="168"/>
      <c r="B556" s="168"/>
      <c r="C556" s="168"/>
      <c r="D556" s="168"/>
      <c r="E556" s="168"/>
      <c r="F556" s="1"/>
      <c r="G556" s="1"/>
    </row>
    <row r="557">
      <c r="A557" s="168"/>
      <c r="B557" s="168"/>
      <c r="C557" s="168"/>
      <c r="D557" s="168"/>
      <c r="E557" s="168"/>
      <c r="F557" s="1"/>
      <c r="G557" s="1"/>
    </row>
    <row r="558">
      <c r="A558" s="168"/>
      <c r="B558" s="168"/>
      <c r="C558" s="168"/>
      <c r="D558" s="168"/>
      <c r="E558" s="168"/>
      <c r="F558" s="1"/>
      <c r="G558" s="1"/>
    </row>
    <row r="559">
      <c r="A559" s="168"/>
      <c r="B559" s="168"/>
      <c r="C559" s="168"/>
      <c r="D559" s="168"/>
      <c r="E559" s="168"/>
      <c r="F559" s="1"/>
      <c r="G559" s="1"/>
    </row>
    <row r="560">
      <c r="A560" s="168"/>
      <c r="B560" s="168"/>
      <c r="C560" s="168"/>
      <c r="D560" s="168"/>
      <c r="E560" s="168"/>
      <c r="F560" s="1"/>
      <c r="G560" s="1"/>
    </row>
    <row r="561">
      <c r="A561" s="168"/>
      <c r="B561" s="168"/>
      <c r="C561" s="168"/>
      <c r="D561" s="168"/>
      <c r="E561" s="168"/>
      <c r="F561" s="1"/>
      <c r="G561" s="1"/>
    </row>
    <row r="562">
      <c r="A562" s="168"/>
      <c r="B562" s="168"/>
      <c r="C562" s="168"/>
      <c r="D562" s="168"/>
      <c r="E562" s="168"/>
      <c r="F562" s="1"/>
      <c r="G562" s="1"/>
    </row>
    <row r="563">
      <c r="A563" s="168"/>
      <c r="B563" s="168"/>
      <c r="C563" s="168"/>
      <c r="D563" s="168"/>
      <c r="E563" s="168"/>
      <c r="F563" s="1"/>
      <c r="G563" s="1"/>
    </row>
    <row r="564">
      <c r="A564" s="168"/>
      <c r="B564" s="168"/>
      <c r="C564" s="168"/>
      <c r="D564" s="168"/>
      <c r="E564" s="168"/>
      <c r="F564" s="1"/>
      <c r="G564" s="1"/>
    </row>
    <row r="565">
      <c r="A565" s="168"/>
      <c r="B565" s="168"/>
      <c r="C565" s="168"/>
      <c r="D565" s="168"/>
      <c r="E565" s="168"/>
      <c r="F565" s="1"/>
      <c r="G565" s="1"/>
    </row>
    <row r="566">
      <c r="A566" s="168"/>
      <c r="B566" s="168"/>
      <c r="C566" s="168"/>
      <c r="D566" s="168"/>
      <c r="E566" s="168"/>
      <c r="F566" s="1"/>
      <c r="G566" s="1"/>
    </row>
    <row r="567">
      <c r="A567" s="168"/>
      <c r="B567" s="168"/>
      <c r="C567" s="168"/>
      <c r="D567" s="168"/>
      <c r="E567" s="168"/>
      <c r="F567" s="1"/>
      <c r="G567" s="1"/>
    </row>
    <row r="568">
      <c r="A568" s="168"/>
      <c r="B568" s="168"/>
      <c r="C568" s="168"/>
      <c r="D568" s="168"/>
      <c r="E568" s="168"/>
      <c r="F568" s="1"/>
      <c r="G568" s="1"/>
    </row>
    <row r="569">
      <c r="A569" s="168"/>
      <c r="B569" s="168"/>
      <c r="C569" s="168"/>
      <c r="D569" s="168"/>
      <c r="E569" s="168"/>
      <c r="F569" s="1"/>
      <c r="G569" s="1"/>
    </row>
    <row r="570">
      <c r="A570" s="168"/>
      <c r="B570" s="168"/>
      <c r="C570" s="168"/>
      <c r="D570" s="168"/>
      <c r="E570" s="168"/>
      <c r="F570" s="1"/>
      <c r="G570" s="1"/>
    </row>
    <row r="571">
      <c r="A571" s="168"/>
      <c r="B571" s="168"/>
      <c r="C571" s="168"/>
      <c r="D571" s="168"/>
      <c r="E571" s="168"/>
      <c r="F571" s="1"/>
      <c r="G571" s="1"/>
    </row>
    <row r="572">
      <c r="A572" s="168"/>
      <c r="B572" s="168"/>
      <c r="C572" s="168"/>
      <c r="D572" s="168"/>
      <c r="E572" s="168"/>
      <c r="F572" s="1"/>
      <c r="G572" s="1"/>
    </row>
    <row r="573">
      <c r="A573" s="168"/>
      <c r="B573" s="168"/>
      <c r="C573" s="168"/>
      <c r="D573" s="168"/>
      <c r="E573" s="168"/>
      <c r="F573" s="1"/>
      <c r="G573" s="1"/>
    </row>
    <row r="574">
      <c r="A574" s="168"/>
      <c r="B574" s="168"/>
      <c r="C574" s="168"/>
      <c r="D574" s="168"/>
      <c r="E574" s="168"/>
      <c r="F574" s="1"/>
      <c r="G574" s="1"/>
    </row>
    <row r="575">
      <c r="A575" s="168"/>
      <c r="B575" s="168"/>
      <c r="C575" s="168"/>
      <c r="D575" s="168"/>
      <c r="E575" s="168"/>
      <c r="F575" s="1"/>
      <c r="G575" s="1"/>
    </row>
    <row r="576">
      <c r="A576" s="168"/>
      <c r="B576" s="168"/>
      <c r="C576" s="168"/>
      <c r="D576" s="168"/>
      <c r="E576" s="168"/>
      <c r="F576" s="1"/>
      <c r="G576" s="1"/>
    </row>
    <row r="577">
      <c r="A577" s="168"/>
      <c r="B577" s="168"/>
      <c r="C577" s="168"/>
      <c r="D577" s="168"/>
      <c r="E577" s="168"/>
      <c r="F577" s="1"/>
      <c r="G577" s="1"/>
    </row>
    <row r="578">
      <c r="A578" s="168"/>
      <c r="B578" s="168"/>
      <c r="C578" s="168"/>
      <c r="D578" s="168"/>
      <c r="E578" s="168"/>
      <c r="F578" s="1"/>
      <c r="G578" s="1"/>
    </row>
    <row r="579">
      <c r="A579" s="168"/>
      <c r="B579" s="168"/>
      <c r="C579" s="168"/>
      <c r="D579" s="168"/>
      <c r="E579" s="168"/>
      <c r="F579" s="1"/>
      <c r="G579" s="1"/>
    </row>
    <row r="580">
      <c r="A580" s="168"/>
      <c r="B580" s="168"/>
      <c r="C580" s="168"/>
      <c r="D580" s="168"/>
      <c r="E580" s="168"/>
      <c r="F580" s="1"/>
      <c r="G580" s="1"/>
    </row>
    <row r="581">
      <c r="A581" s="168"/>
      <c r="B581" s="168"/>
      <c r="C581" s="168"/>
      <c r="D581" s="168"/>
      <c r="E581" s="168"/>
      <c r="F581" s="1"/>
      <c r="G581" s="1"/>
    </row>
    <row r="582">
      <c r="A582" s="168"/>
      <c r="B582" s="168"/>
      <c r="C582" s="168"/>
      <c r="D582" s="168"/>
      <c r="E582" s="168"/>
      <c r="F582" s="1"/>
      <c r="G582" s="1"/>
    </row>
    <row r="583">
      <c r="A583" s="168"/>
      <c r="B583" s="168"/>
      <c r="C583" s="168"/>
      <c r="D583" s="168"/>
      <c r="E583" s="168"/>
      <c r="F583" s="1"/>
      <c r="G583" s="1"/>
    </row>
    <row r="584">
      <c r="A584" s="168"/>
      <c r="B584" s="168"/>
      <c r="C584" s="168"/>
      <c r="D584" s="168"/>
      <c r="E584" s="168"/>
      <c r="F584" s="1"/>
      <c r="G584" s="1"/>
    </row>
    <row r="585">
      <c r="A585" s="168"/>
      <c r="B585" s="168"/>
      <c r="C585" s="168"/>
      <c r="D585" s="168"/>
      <c r="E585" s="168"/>
      <c r="F585" s="1"/>
      <c r="G585" s="1"/>
    </row>
    <row r="586">
      <c r="A586" s="168"/>
      <c r="B586" s="168"/>
      <c r="C586" s="168"/>
      <c r="D586" s="168"/>
      <c r="E586" s="168"/>
      <c r="F586" s="1"/>
      <c r="G586" s="1"/>
    </row>
    <row r="587">
      <c r="A587" s="168"/>
      <c r="B587" s="168"/>
      <c r="C587" s="168"/>
      <c r="D587" s="168"/>
      <c r="E587" s="168"/>
      <c r="F587" s="1"/>
      <c r="G587" s="1"/>
    </row>
    <row r="588">
      <c r="A588" s="168"/>
      <c r="B588" s="168"/>
      <c r="C588" s="168"/>
      <c r="D588" s="168"/>
      <c r="E588" s="168"/>
      <c r="F588" s="1"/>
      <c r="G588" s="1"/>
    </row>
    <row r="589">
      <c r="A589" s="168"/>
      <c r="B589" s="168"/>
      <c r="C589" s="168"/>
      <c r="D589" s="168"/>
      <c r="E589" s="168"/>
      <c r="F589" s="1"/>
      <c r="G589" s="1"/>
    </row>
    <row r="590">
      <c r="A590" s="168"/>
      <c r="B590" s="168"/>
      <c r="C590" s="168"/>
      <c r="D590" s="168"/>
      <c r="E590" s="168"/>
      <c r="F590" s="1"/>
      <c r="G590" s="1"/>
    </row>
    <row r="591">
      <c r="A591" s="168"/>
      <c r="B591" s="168"/>
      <c r="C591" s="168"/>
      <c r="D591" s="168"/>
      <c r="E591" s="168"/>
      <c r="F591" s="1"/>
      <c r="G591" s="1"/>
    </row>
    <row r="592">
      <c r="A592" s="168"/>
      <c r="B592" s="168"/>
      <c r="C592" s="168"/>
      <c r="D592" s="168"/>
      <c r="E592" s="168"/>
      <c r="F592" s="1"/>
      <c r="G592" s="1"/>
    </row>
    <row r="593">
      <c r="A593" s="168"/>
      <c r="B593" s="168"/>
      <c r="C593" s="168"/>
      <c r="D593" s="168"/>
      <c r="E593" s="168"/>
      <c r="F593" s="1"/>
      <c r="G593" s="1"/>
    </row>
    <row r="594">
      <c r="A594" s="168"/>
      <c r="B594" s="168"/>
      <c r="C594" s="168"/>
      <c r="D594" s="168"/>
      <c r="E594" s="168"/>
      <c r="F594" s="1"/>
      <c r="G594" s="1"/>
    </row>
    <row r="595">
      <c r="A595" s="168"/>
      <c r="B595" s="168"/>
      <c r="C595" s="168"/>
      <c r="D595" s="168"/>
      <c r="E595" s="168"/>
      <c r="F595" s="1"/>
      <c r="G595" s="1"/>
    </row>
    <row r="596">
      <c r="A596" s="168"/>
      <c r="B596" s="168"/>
      <c r="C596" s="168"/>
      <c r="D596" s="168"/>
      <c r="E596" s="168"/>
      <c r="F596" s="1"/>
      <c r="G596" s="1"/>
    </row>
    <row r="597">
      <c r="A597" s="168"/>
      <c r="B597" s="168"/>
      <c r="C597" s="168"/>
      <c r="D597" s="168"/>
      <c r="E597" s="168"/>
      <c r="F597" s="1"/>
      <c r="G597" s="1"/>
    </row>
    <row r="598">
      <c r="A598" s="168"/>
      <c r="B598" s="168"/>
      <c r="C598" s="168"/>
      <c r="D598" s="168"/>
      <c r="E598" s="168"/>
      <c r="F598" s="1"/>
      <c r="G598" s="1"/>
    </row>
    <row r="599">
      <c r="A599" s="168"/>
      <c r="B599" s="168"/>
      <c r="C599" s="168"/>
      <c r="D599" s="168"/>
      <c r="E599" s="168"/>
      <c r="F599" s="1"/>
      <c r="G599" s="1"/>
    </row>
    <row r="600">
      <c r="A600" s="168"/>
      <c r="B600" s="168"/>
      <c r="C600" s="168"/>
      <c r="D600" s="168"/>
      <c r="E600" s="168"/>
      <c r="F600" s="1"/>
      <c r="G600" s="1"/>
    </row>
    <row r="601">
      <c r="A601" s="168"/>
      <c r="B601" s="168"/>
      <c r="C601" s="168"/>
      <c r="D601" s="168"/>
      <c r="E601" s="168"/>
      <c r="F601" s="1"/>
      <c r="G601" s="1"/>
    </row>
    <row r="602">
      <c r="A602" s="168"/>
      <c r="B602" s="168"/>
      <c r="C602" s="168"/>
      <c r="D602" s="168"/>
      <c r="E602" s="168"/>
      <c r="F602" s="1"/>
      <c r="G602" s="1"/>
    </row>
    <row r="603">
      <c r="A603" s="168"/>
      <c r="B603" s="168"/>
      <c r="C603" s="168"/>
      <c r="D603" s="168"/>
      <c r="E603" s="168"/>
      <c r="F603" s="1"/>
      <c r="G603" s="1"/>
    </row>
    <row r="604">
      <c r="A604" s="168"/>
      <c r="B604" s="168"/>
      <c r="C604" s="168"/>
      <c r="D604" s="168"/>
      <c r="E604" s="168"/>
      <c r="F604" s="1"/>
      <c r="G604" s="1"/>
    </row>
    <row r="605">
      <c r="A605" s="168"/>
      <c r="B605" s="168"/>
      <c r="C605" s="168"/>
      <c r="D605" s="168"/>
      <c r="E605" s="168"/>
      <c r="F605" s="1"/>
      <c r="G605" s="1"/>
    </row>
    <row r="606">
      <c r="A606" s="168"/>
      <c r="B606" s="168"/>
      <c r="C606" s="168"/>
      <c r="D606" s="168"/>
      <c r="E606" s="168"/>
      <c r="F606" s="1"/>
      <c r="G606" s="1"/>
    </row>
    <row r="607">
      <c r="A607" s="168"/>
      <c r="B607" s="168"/>
      <c r="C607" s="168"/>
      <c r="D607" s="168"/>
      <c r="E607" s="168"/>
      <c r="F607" s="1"/>
      <c r="G607" s="1"/>
    </row>
    <row r="608">
      <c r="A608" s="168"/>
      <c r="B608" s="168"/>
      <c r="C608" s="168"/>
      <c r="D608" s="168"/>
      <c r="E608" s="168"/>
      <c r="F608" s="1"/>
      <c r="G608" s="1"/>
    </row>
    <row r="609">
      <c r="A609" s="168"/>
      <c r="B609" s="168"/>
      <c r="C609" s="168"/>
      <c r="D609" s="168"/>
      <c r="E609" s="168"/>
      <c r="F609" s="1"/>
      <c r="G609" s="1"/>
    </row>
    <row r="610">
      <c r="A610" s="168"/>
      <c r="B610" s="168"/>
      <c r="C610" s="168"/>
      <c r="D610" s="168"/>
      <c r="E610" s="168"/>
      <c r="F610" s="1"/>
      <c r="G610" s="1"/>
    </row>
    <row r="611">
      <c r="A611" s="168"/>
      <c r="B611" s="168"/>
      <c r="C611" s="168"/>
      <c r="D611" s="168"/>
      <c r="E611" s="168"/>
      <c r="F611" s="1"/>
      <c r="G611" s="1"/>
    </row>
    <row r="612">
      <c r="A612" s="168"/>
      <c r="B612" s="168"/>
      <c r="C612" s="168"/>
      <c r="D612" s="168"/>
      <c r="E612" s="168"/>
      <c r="F612" s="1"/>
      <c r="G612" s="1"/>
    </row>
    <row r="613">
      <c r="A613" s="168"/>
      <c r="B613" s="168"/>
      <c r="C613" s="168"/>
      <c r="D613" s="168"/>
      <c r="E613" s="168"/>
      <c r="F613" s="1"/>
      <c r="G613" s="1"/>
    </row>
    <row r="614">
      <c r="A614" s="168"/>
      <c r="B614" s="168"/>
      <c r="C614" s="168"/>
      <c r="D614" s="168"/>
      <c r="E614" s="168"/>
      <c r="F614" s="1"/>
      <c r="G614" s="1"/>
    </row>
    <row r="615">
      <c r="A615" s="168"/>
      <c r="B615" s="168"/>
      <c r="C615" s="168"/>
      <c r="D615" s="168"/>
      <c r="E615" s="168"/>
      <c r="F615" s="1"/>
      <c r="G615" s="1"/>
    </row>
    <row r="616">
      <c r="A616" s="168"/>
      <c r="B616" s="168"/>
      <c r="C616" s="168"/>
      <c r="D616" s="168"/>
      <c r="E616" s="168"/>
      <c r="F616" s="1"/>
      <c r="G616" s="1"/>
    </row>
    <row r="617">
      <c r="A617" s="168"/>
      <c r="B617" s="168"/>
      <c r="C617" s="168"/>
      <c r="D617" s="168"/>
      <c r="E617" s="168"/>
      <c r="F617" s="1"/>
      <c r="G617" s="1"/>
    </row>
    <row r="618">
      <c r="A618" s="168"/>
      <c r="B618" s="168"/>
      <c r="C618" s="168"/>
      <c r="D618" s="168"/>
      <c r="E618" s="168"/>
      <c r="F618" s="1"/>
      <c r="G618" s="1"/>
    </row>
    <row r="619">
      <c r="A619" s="168"/>
      <c r="B619" s="168"/>
      <c r="C619" s="168"/>
      <c r="D619" s="168"/>
      <c r="E619" s="168"/>
      <c r="F619" s="1"/>
      <c r="G619" s="1"/>
    </row>
    <row r="620">
      <c r="A620" s="168"/>
      <c r="B620" s="168"/>
      <c r="C620" s="168"/>
      <c r="D620" s="168"/>
      <c r="E620" s="168"/>
      <c r="F620" s="1"/>
      <c r="G620" s="1"/>
    </row>
    <row r="621">
      <c r="A621" s="168"/>
      <c r="B621" s="168"/>
      <c r="C621" s="168"/>
      <c r="D621" s="168"/>
      <c r="E621" s="168"/>
      <c r="F621" s="1"/>
      <c r="G621" s="1"/>
    </row>
    <row r="622">
      <c r="A622" s="168"/>
      <c r="B622" s="168"/>
      <c r="C622" s="168"/>
      <c r="D622" s="168"/>
      <c r="E622" s="168"/>
      <c r="F622" s="1"/>
      <c r="G622" s="1"/>
    </row>
    <row r="623">
      <c r="A623" s="168"/>
      <c r="B623" s="168"/>
      <c r="C623" s="168"/>
      <c r="D623" s="168"/>
      <c r="E623" s="168"/>
      <c r="F623" s="1"/>
      <c r="G623" s="1"/>
    </row>
    <row r="624">
      <c r="A624" s="168"/>
      <c r="B624" s="168"/>
      <c r="C624" s="168"/>
      <c r="D624" s="168"/>
      <c r="E624" s="168"/>
      <c r="F624" s="1"/>
      <c r="G624" s="1"/>
    </row>
    <row r="625">
      <c r="A625" s="168"/>
      <c r="B625" s="168"/>
      <c r="C625" s="168"/>
      <c r="D625" s="168"/>
      <c r="E625" s="168"/>
      <c r="F625" s="1"/>
      <c r="G625" s="1"/>
    </row>
    <row r="626">
      <c r="A626" s="168"/>
      <c r="B626" s="168"/>
      <c r="C626" s="168"/>
      <c r="D626" s="168"/>
      <c r="E626" s="168"/>
      <c r="F626" s="1"/>
      <c r="G626" s="1"/>
    </row>
    <row r="627">
      <c r="A627" s="168"/>
      <c r="B627" s="168"/>
      <c r="C627" s="168"/>
      <c r="D627" s="168"/>
      <c r="E627" s="168"/>
      <c r="F627" s="1"/>
      <c r="G627" s="1"/>
    </row>
    <row r="628">
      <c r="A628" s="168"/>
      <c r="B628" s="168"/>
      <c r="C628" s="168"/>
      <c r="D628" s="168"/>
      <c r="E628" s="168"/>
      <c r="F628" s="1"/>
      <c r="G628" s="1"/>
    </row>
    <row r="629">
      <c r="A629" s="168"/>
      <c r="B629" s="168"/>
      <c r="C629" s="168"/>
      <c r="D629" s="168"/>
      <c r="E629" s="168"/>
      <c r="F629" s="1"/>
      <c r="G629" s="1"/>
    </row>
    <row r="630">
      <c r="A630" s="168"/>
      <c r="B630" s="168"/>
      <c r="C630" s="168"/>
      <c r="D630" s="168"/>
      <c r="E630" s="168"/>
      <c r="F630" s="1"/>
      <c r="G630" s="1"/>
    </row>
    <row r="631">
      <c r="A631" s="168"/>
      <c r="B631" s="168"/>
      <c r="C631" s="168"/>
      <c r="D631" s="168"/>
      <c r="E631" s="168"/>
      <c r="F631" s="1"/>
      <c r="G631" s="1"/>
    </row>
    <row r="632">
      <c r="A632" s="168"/>
      <c r="B632" s="168"/>
      <c r="C632" s="168"/>
      <c r="D632" s="168"/>
      <c r="E632" s="168"/>
      <c r="F632" s="1"/>
      <c r="G632" s="1"/>
    </row>
    <row r="633">
      <c r="A633" s="168"/>
      <c r="B633" s="168"/>
      <c r="C633" s="168"/>
      <c r="D633" s="168"/>
      <c r="E633" s="168"/>
      <c r="F633" s="1"/>
      <c r="G633" s="1"/>
    </row>
    <row r="634">
      <c r="A634" s="168"/>
      <c r="B634" s="168"/>
      <c r="C634" s="168"/>
      <c r="D634" s="168"/>
      <c r="E634" s="168"/>
      <c r="F634" s="1"/>
      <c r="G634" s="1"/>
    </row>
    <row r="635">
      <c r="A635" s="168"/>
      <c r="B635" s="168"/>
      <c r="C635" s="168"/>
      <c r="D635" s="168"/>
      <c r="E635" s="168"/>
      <c r="F635" s="1"/>
      <c r="G635" s="1"/>
    </row>
    <row r="636">
      <c r="A636" s="168"/>
      <c r="B636" s="168"/>
      <c r="C636" s="168"/>
      <c r="D636" s="168"/>
      <c r="E636" s="168"/>
      <c r="F636" s="1"/>
      <c r="G636" s="1"/>
    </row>
    <row r="637">
      <c r="A637" s="168"/>
      <c r="B637" s="168"/>
      <c r="C637" s="168"/>
      <c r="D637" s="168"/>
      <c r="E637" s="168"/>
      <c r="F637" s="1"/>
      <c r="G637" s="1"/>
    </row>
    <row r="638">
      <c r="A638" s="168"/>
      <c r="B638" s="168"/>
      <c r="C638" s="168"/>
      <c r="D638" s="168"/>
      <c r="E638" s="168"/>
      <c r="F638" s="1"/>
      <c r="G638" s="1"/>
    </row>
    <row r="639">
      <c r="A639" s="168"/>
      <c r="B639" s="168"/>
      <c r="C639" s="168"/>
      <c r="D639" s="168"/>
      <c r="E639" s="168"/>
      <c r="F639" s="1"/>
      <c r="G639" s="1"/>
    </row>
    <row r="640">
      <c r="A640" s="168"/>
      <c r="B640" s="168"/>
      <c r="C640" s="168"/>
      <c r="D640" s="168"/>
      <c r="E640" s="168"/>
      <c r="F640" s="1"/>
      <c r="G640" s="1"/>
    </row>
    <row r="641">
      <c r="A641" s="168"/>
      <c r="B641" s="168"/>
      <c r="C641" s="168"/>
      <c r="D641" s="168"/>
      <c r="E641" s="168"/>
      <c r="F641" s="1"/>
      <c r="G641" s="1"/>
    </row>
    <row r="642">
      <c r="A642" s="168"/>
      <c r="B642" s="168"/>
      <c r="C642" s="168"/>
      <c r="D642" s="168"/>
      <c r="E642" s="168"/>
      <c r="F642" s="1"/>
      <c r="G642" s="1"/>
    </row>
    <row r="643">
      <c r="A643" s="168"/>
      <c r="B643" s="168"/>
      <c r="C643" s="168"/>
      <c r="D643" s="168"/>
      <c r="E643" s="168"/>
      <c r="F643" s="1"/>
      <c r="G643" s="1"/>
    </row>
    <row r="644">
      <c r="A644" s="168"/>
      <c r="B644" s="168"/>
      <c r="C644" s="168"/>
      <c r="D644" s="168"/>
      <c r="E644" s="168"/>
      <c r="F644" s="1"/>
      <c r="G644" s="1"/>
    </row>
    <row r="645">
      <c r="A645" s="168"/>
      <c r="B645" s="168"/>
      <c r="C645" s="168"/>
      <c r="D645" s="168"/>
      <c r="E645" s="168"/>
      <c r="F645" s="1"/>
      <c r="G645" s="1"/>
    </row>
    <row r="646">
      <c r="A646" s="168"/>
      <c r="B646" s="168"/>
      <c r="C646" s="168"/>
      <c r="D646" s="168"/>
      <c r="E646" s="168"/>
      <c r="F646" s="1"/>
      <c r="G646" s="1"/>
    </row>
    <row r="647">
      <c r="A647" s="168"/>
      <c r="B647" s="168"/>
      <c r="C647" s="168"/>
      <c r="D647" s="168"/>
      <c r="E647" s="168"/>
      <c r="F647" s="1"/>
      <c r="G647" s="1"/>
    </row>
    <row r="648">
      <c r="A648" s="168"/>
      <c r="B648" s="168"/>
      <c r="C648" s="168"/>
      <c r="D648" s="168"/>
      <c r="E648" s="168"/>
      <c r="F648" s="1"/>
      <c r="G648" s="1"/>
    </row>
    <row r="649">
      <c r="A649" s="168"/>
      <c r="B649" s="168"/>
      <c r="C649" s="168"/>
      <c r="D649" s="168"/>
      <c r="E649" s="168"/>
      <c r="F649" s="1"/>
      <c r="G649" s="1"/>
    </row>
    <row r="650">
      <c r="A650" s="168"/>
      <c r="B650" s="168"/>
      <c r="C650" s="168"/>
      <c r="D650" s="168"/>
      <c r="E650" s="168"/>
      <c r="F650" s="1"/>
      <c r="G650" s="1"/>
    </row>
    <row r="651">
      <c r="A651" s="168"/>
      <c r="B651" s="168"/>
      <c r="C651" s="168"/>
      <c r="D651" s="168"/>
      <c r="E651" s="168"/>
      <c r="F651" s="1"/>
      <c r="G651" s="1"/>
    </row>
    <row r="652">
      <c r="A652" s="168"/>
      <c r="B652" s="168"/>
      <c r="C652" s="168"/>
      <c r="D652" s="168"/>
      <c r="E652" s="168"/>
      <c r="F652" s="1"/>
      <c r="G652" s="1"/>
    </row>
    <row r="653">
      <c r="A653" s="168"/>
      <c r="B653" s="168"/>
      <c r="C653" s="168"/>
      <c r="D653" s="168"/>
      <c r="E653" s="168"/>
      <c r="F653" s="1"/>
      <c r="G653" s="1"/>
    </row>
    <row r="654">
      <c r="A654" s="168"/>
      <c r="B654" s="168"/>
      <c r="C654" s="168"/>
      <c r="D654" s="168"/>
      <c r="E654" s="168"/>
      <c r="F654" s="1"/>
      <c r="G654" s="1"/>
    </row>
    <row r="655">
      <c r="A655" s="168"/>
      <c r="B655" s="168"/>
      <c r="C655" s="168"/>
      <c r="D655" s="168"/>
      <c r="E655" s="168"/>
      <c r="F655" s="1"/>
      <c r="G655" s="1"/>
    </row>
    <row r="656">
      <c r="A656" s="168"/>
      <c r="B656" s="168"/>
      <c r="C656" s="168"/>
      <c r="D656" s="168"/>
      <c r="E656" s="168"/>
      <c r="F656" s="1"/>
      <c r="G656" s="1"/>
    </row>
    <row r="657">
      <c r="A657" s="168"/>
      <c r="B657" s="168"/>
      <c r="C657" s="168"/>
      <c r="D657" s="168"/>
      <c r="E657" s="168"/>
      <c r="F657" s="1"/>
      <c r="G657" s="1"/>
    </row>
    <row r="658">
      <c r="A658" s="168"/>
      <c r="B658" s="168"/>
      <c r="C658" s="168"/>
      <c r="D658" s="168"/>
      <c r="E658" s="168"/>
      <c r="F658" s="1"/>
      <c r="G658" s="1"/>
    </row>
    <row r="659">
      <c r="A659" s="168"/>
      <c r="B659" s="168"/>
      <c r="C659" s="168"/>
      <c r="D659" s="168"/>
      <c r="E659" s="168"/>
      <c r="F659" s="1"/>
      <c r="G659" s="1"/>
    </row>
    <row r="660">
      <c r="A660" s="168"/>
      <c r="B660" s="168"/>
      <c r="C660" s="168"/>
      <c r="D660" s="168"/>
      <c r="E660" s="168"/>
      <c r="F660" s="1"/>
      <c r="G660" s="1"/>
    </row>
    <row r="661">
      <c r="A661" s="168"/>
      <c r="B661" s="168"/>
      <c r="C661" s="168"/>
      <c r="D661" s="168"/>
      <c r="E661" s="168"/>
      <c r="F661" s="1"/>
      <c r="G661" s="1"/>
    </row>
    <row r="662">
      <c r="A662" s="168"/>
      <c r="B662" s="168"/>
      <c r="C662" s="168"/>
      <c r="D662" s="168"/>
      <c r="E662" s="168"/>
      <c r="F662" s="1"/>
      <c r="G662" s="1"/>
    </row>
    <row r="663">
      <c r="A663" s="168"/>
      <c r="B663" s="168"/>
      <c r="C663" s="168"/>
      <c r="D663" s="168"/>
      <c r="E663" s="168"/>
      <c r="F663" s="1"/>
      <c r="G663" s="1"/>
    </row>
    <row r="664">
      <c r="A664" s="168"/>
      <c r="B664" s="168"/>
      <c r="C664" s="168"/>
      <c r="D664" s="168"/>
      <c r="E664" s="168"/>
      <c r="F664" s="1"/>
      <c r="G664" s="1"/>
    </row>
    <row r="665">
      <c r="A665" s="168"/>
      <c r="B665" s="168"/>
      <c r="C665" s="168"/>
      <c r="D665" s="168"/>
      <c r="E665" s="168"/>
      <c r="F665" s="1"/>
      <c r="G665" s="1"/>
    </row>
    <row r="666">
      <c r="A666" s="168"/>
      <c r="B666" s="168"/>
      <c r="C666" s="168"/>
      <c r="D666" s="168"/>
      <c r="E666" s="168"/>
      <c r="F666" s="1"/>
      <c r="G666" s="1"/>
    </row>
    <row r="667">
      <c r="A667" s="168"/>
      <c r="B667" s="168"/>
      <c r="C667" s="168"/>
      <c r="D667" s="168"/>
      <c r="E667" s="168"/>
      <c r="F667" s="1"/>
      <c r="G667" s="1"/>
    </row>
    <row r="668">
      <c r="A668" s="168"/>
      <c r="B668" s="168"/>
      <c r="C668" s="168"/>
      <c r="D668" s="168"/>
      <c r="E668" s="168"/>
      <c r="F668" s="1"/>
      <c r="G668" s="1"/>
    </row>
    <row r="669">
      <c r="A669" s="168"/>
      <c r="B669" s="168"/>
      <c r="C669" s="168"/>
      <c r="D669" s="168"/>
      <c r="E669" s="168"/>
      <c r="F669" s="1"/>
      <c r="G669" s="1"/>
    </row>
    <row r="670">
      <c r="A670" s="168"/>
      <c r="B670" s="168"/>
      <c r="C670" s="168"/>
      <c r="D670" s="168"/>
      <c r="E670" s="168"/>
      <c r="F670" s="1"/>
      <c r="G670" s="1"/>
    </row>
    <row r="671">
      <c r="A671" s="168"/>
      <c r="B671" s="168"/>
      <c r="C671" s="168"/>
      <c r="D671" s="168"/>
      <c r="E671" s="168"/>
      <c r="F671" s="1"/>
      <c r="G671" s="1"/>
    </row>
    <row r="672">
      <c r="A672" s="168"/>
      <c r="B672" s="168"/>
      <c r="C672" s="168"/>
      <c r="D672" s="168"/>
      <c r="E672" s="168"/>
      <c r="F672" s="1"/>
      <c r="G672" s="1"/>
    </row>
    <row r="673">
      <c r="A673" s="168"/>
      <c r="B673" s="168"/>
      <c r="C673" s="168"/>
      <c r="D673" s="168"/>
      <c r="E673" s="168"/>
      <c r="F673" s="1"/>
      <c r="G673" s="1"/>
    </row>
    <row r="674">
      <c r="A674" s="168"/>
      <c r="B674" s="168"/>
      <c r="C674" s="168"/>
      <c r="D674" s="168"/>
      <c r="E674" s="168"/>
      <c r="F674" s="1"/>
      <c r="G674" s="1"/>
    </row>
    <row r="675">
      <c r="A675" s="168"/>
      <c r="B675" s="168"/>
      <c r="C675" s="168"/>
      <c r="D675" s="168"/>
      <c r="E675" s="168"/>
      <c r="F675" s="1"/>
      <c r="G675" s="1"/>
    </row>
    <row r="676">
      <c r="A676" s="168"/>
      <c r="B676" s="168"/>
      <c r="C676" s="168"/>
      <c r="D676" s="168"/>
      <c r="E676" s="168"/>
      <c r="F676" s="1"/>
      <c r="G676" s="1"/>
    </row>
    <row r="677">
      <c r="A677" s="168"/>
      <c r="B677" s="168"/>
      <c r="C677" s="168"/>
      <c r="D677" s="168"/>
      <c r="E677" s="168"/>
      <c r="F677" s="1"/>
      <c r="G677" s="1"/>
    </row>
    <row r="678">
      <c r="A678" s="168"/>
      <c r="B678" s="168"/>
      <c r="C678" s="168"/>
      <c r="D678" s="168"/>
      <c r="E678" s="168"/>
      <c r="F678" s="1"/>
      <c r="G678" s="1"/>
    </row>
    <row r="679">
      <c r="A679" s="168"/>
      <c r="B679" s="168"/>
      <c r="C679" s="168"/>
      <c r="D679" s="168"/>
      <c r="E679" s="168"/>
      <c r="F679" s="1"/>
      <c r="G679" s="1"/>
    </row>
    <row r="680">
      <c r="A680" s="168"/>
      <c r="B680" s="168"/>
      <c r="C680" s="168"/>
      <c r="D680" s="168"/>
      <c r="E680" s="168"/>
      <c r="F680" s="1"/>
      <c r="G680" s="1"/>
    </row>
    <row r="681">
      <c r="A681" s="168"/>
      <c r="B681" s="168"/>
      <c r="C681" s="168"/>
      <c r="D681" s="168"/>
      <c r="E681" s="168"/>
      <c r="F681" s="1"/>
      <c r="G681" s="1"/>
    </row>
    <row r="682">
      <c r="A682" s="168"/>
      <c r="B682" s="168"/>
      <c r="C682" s="168"/>
      <c r="D682" s="168"/>
      <c r="E682" s="168"/>
      <c r="F682" s="1"/>
      <c r="G682" s="1"/>
    </row>
    <row r="683">
      <c r="A683" s="168"/>
      <c r="B683" s="168"/>
      <c r="C683" s="168"/>
      <c r="D683" s="168"/>
      <c r="E683" s="168"/>
      <c r="F683" s="1"/>
      <c r="G683" s="1"/>
    </row>
    <row r="684">
      <c r="A684" s="168"/>
      <c r="B684" s="168"/>
      <c r="C684" s="168"/>
      <c r="D684" s="168"/>
      <c r="E684" s="168"/>
      <c r="F684" s="1"/>
      <c r="G684" s="1"/>
    </row>
    <row r="685">
      <c r="A685" s="168"/>
      <c r="B685" s="168"/>
      <c r="C685" s="168"/>
      <c r="D685" s="168"/>
      <c r="E685" s="168"/>
      <c r="F685" s="1"/>
      <c r="G685" s="1"/>
    </row>
    <row r="686">
      <c r="A686" s="168"/>
      <c r="B686" s="168"/>
      <c r="C686" s="168"/>
      <c r="D686" s="168"/>
      <c r="E686" s="168"/>
      <c r="F686" s="1"/>
      <c r="G686" s="1"/>
    </row>
    <row r="687">
      <c r="A687" s="168"/>
      <c r="B687" s="168"/>
      <c r="C687" s="168"/>
      <c r="D687" s="168"/>
      <c r="E687" s="168"/>
      <c r="F687" s="1"/>
      <c r="G687" s="1"/>
    </row>
    <row r="688">
      <c r="A688" s="168"/>
      <c r="B688" s="168"/>
      <c r="C688" s="168"/>
      <c r="D688" s="168"/>
      <c r="E688" s="168"/>
      <c r="F688" s="1"/>
      <c r="G688" s="1"/>
    </row>
    <row r="689">
      <c r="A689" s="168"/>
      <c r="B689" s="168"/>
      <c r="C689" s="168"/>
      <c r="D689" s="168"/>
      <c r="E689" s="168"/>
      <c r="F689" s="1"/>
      <c r="G689" s="1"/>
    </row>
    <row r="690">
      <c r="A690" s="168"/>
      <c r="B690" s="168"/>
      <c r="C690" s="168"/>
      <c r="D690" s="168"/>
      <c r="E690" s="168"/>
      <c r="F690" s="1"/>
      <c r="G690" s="1"/>
    </row>
    <row r="691">
      <c r="A691" s="168"/>
      <c r="B691" s="168"/>
      <c r="C691" s="168"/>
      <c r="D691" s="168"/>
      <c r="E691" s="168"/>
      <c r="F691" s="1"/>
      <c r="G691" s="1"/>
    </row>
    <row r="692">
      <c r="A692" s="168"/>
      <c r="B692" s="168"/>
      <c r="C692" s="168"/>
      <c r="D692" s="168"/>
      <c r="E692" s="168"/>
      <c r="F692" s="1"/>
      <c r="G692" s="1"/>
    </row>
    <row r="693">
      <c r="A693" s="168"/>
      <c r="B693" s="168"/>
      <c r="C693" s="168"/>
      <c r="D693" s="168"/>
      <c r="E693" s="168"/>
      <c r="F693" s="1"/>
      <c r="G693" s="1"/>
    </row>
    <row r="694">
      <c r="A694" s="168"/>
      <c r="B694" s="168"/>
      <c r="C694" s="168"/>
      <c r="D694" s="168"/>
      <c r="E694" s="168"/>
      <c r="F694" s="1"/>
      <c r="G694" s="1"/>
    </row>
    <row r="695">
      <c r="A695" s="168"/>
      <c r="B695" s="168"/>
      <c r="C695" s="168"/>
      <c r="D695" s="168"/>
      <c r="E695" s="168"/>
      <c r="F695" s="1"/>
      <c r="G695" s="1"/>
    </row>
    <row r="696">
      <c r="A696" s="168"/>
      <c r="B696" s="168"/>
      <c r="C696" s="168"/>
      <c r="D696" s="168"/>
      <c r="E696" s="168"/>
      <c r="F696" s="1"/>
      <c r="G696" s="1"/>
    </row>
    <row r="697">
      <c r="A697" s="168"/>
      <c r="B697" s="168"/>
      <c r="C697" s="168"/>
      <c r="D697" s="168"/>
      <c r="E697" s="168"/>
      <c r="F697" s="1"/>
      <c r="G697" s="1"/>
    </row>
    <row r="698">
      <c r="A698" s="168"/>
      <c r="B698" s="168"/>
      <c r="C698" s="168"/>
      <c r="D698" s="168"/>
      <c r="E698" s="168"/>
      <c r="F698" s="1"/>
      <c r="G698" s="1"/>
    </row>
    <row r="699">
      <c r="A699" s="168"/>
      <c r="B699" s="168"/>
      <c r="C699" s="168"/>
      <c r="D699" s="168"/>
      <c r="E699" s="168"/>
      <c r="F699" s="1"/>
      <c r="G699" s="1"/>
    </row>
    <row r="700">
      <c r="A700" s="168"/>
      <c r="B700" s="168"/>
      <c r="C700" s="168"/>
      <c r="D700" s="168"/>
      <c r="E700" s="168"/>
      <c r="F700" s="1"/>
      <c r="G700" s="1"/>
    </row>
    <row r="701">
      <c r="A701" s="168"/>
      <c r="B701" s="168"/>
      <c r="C701" s="168"/>
      <c r="D701" s="168"/>
      <c r="E701" s="168"/>
      <c r="F701" s="1"/>
      <c r="G701" s="1"/>
    </row>
    <row r="702">
      <c r="A702" s="168"/>
      <c r="B702" s="168"/>
      <c r="C702" s="168"/>
      <c r="D702" s="168"/>
      <c r="E702" s="168"/>
      <c r="F702" s="1"/>
      <c r="G702" s="1"/>
    </row>
    <row r="703">
      <c r="A703" s="168"/>
      <c r="B703" s="168"/>
      <c r="C703" s="168"/>
      <c r="D703" s="168"/>
      <c r="E703" s="168"/>
      <c r="F703" s="1"/>
      <c r="G703" s="1"/>
    </row>
    <row r="704">
      <c r="A704" s="168"/>
      <c r="B704" s="168"/>
      <c r="C704" s="168"/>
      <c r="D704" s="168"/>
      <c r="E704" s="168"/>
      <c r="F704" s="1"/>
      <c r="G704" s="1"/>
    </row>
    <row r="705">
      <c r="A705" s="168"/>
      <c r="B705" s="168"/>
      <c r="C705" s="168"/>
      <c r="D705" s="168"/>
      <c r="E705" s="168"/>
      <c r="F705" s="1"/>
      <c r="G705" s="1"/>
    </row>
    <row r="706">
      <c r="A706" s="168"/>
      <c r="B706" s="168"/>
      <c r="C706" s="168"/>
      <c r="D706" s="168"/>
      <c r="E706" s="168"/>
      <c r="F706" s="1"/>
      <c r="G706" s="1"/>
    </row>
    <row r="707">
      <c r="A707" s="168"/>
      <c r="B707" s="168"/>
      <c r="C707" s="168"/>
      <c r="D707" s="168"/>
      <c r="E707" s="168"/>
      <c r="F707" s="1"/>
      <c r="G707" s="1"/>
    </row>
    <row r="708">
      <c r="A708" s="168"/>
      <c r="B708" s="168"/>
      <c r="C708" s="168"/>
      <c r="D708" s="168"/>
      <c r="E708" s="168"/>
      <c r="F708" s="1"/>
      <c r="G708" s="1"/>
    </row>
    <row r="709">
      <c r="A709" s="168"/>
      <c r="B709" s="168"/>
      <c r="C709" s="168"/>
      <c r="D709" s="168"/>
      <c r="E709" s="168"/>
      <c r="F709" s="1"/>
      <c r="G709" s="1"/>
    </row>
    <row r="710">
      <c r="A710" s="168"/>
      <c r="B710" s="168"/>
      <c r="C710" s="168"/>
      <c r="D710" s="168"/>
      <c r="E710" s="168"/>
      <c r="F710" s="1"/>
      <c r="G710" s="1"/>
    </row>
    <row r="711">
      <c r="A711" s="168"/>
      <c r="B711" s="168"/>
      <c r="C711" s="168"/>
      <c r="D711" s="168"/>
      <c r="E711" s="168"/>
      <c r="F711" s="1"/>
      <c r="G711" s="1"/>
    </row>
    <row r="712">
      <c r="A712" s="168"/>
      <c r="B712" s="168"/>
      <c r="C712" s="168"/>
      <c r="D712" s="168"/>
      <c r="E712" s="168"/>
      <c r="F712" s="1"/>
      <c r="G712" s="1"/>
    </row>
    <row r="713">
      <c r="A713" s="168"/>
      <c r="B713" s="168"/>
      <c r="C713" s="168"/>
      <c r="D713" s="168"/>
      <c r="E713" s="168"/>
      <c r="F713" s="1"/>
      <c r="G713" s="1"/>
    </row>
    <row r="714">
      <c r="A714" s="168"/>
      <c r="B714" s="168"/>
      <c r="C714" s="168"/>
      <c r="D714" s="168"/>
      <c r="E714" s="168"/>
      <c r="F714" s="1"/>
      <c r="G714" s="1"/>
    </row>
    <row r="715">
      <c r="A715" s="168"/>
      <c r="B715" s="168"/>
      <c r="C715" s="168"/>
      <c r="D715" s="168"/>
      <c r="E715" s="168"/>
      <c r="F715" s="1"/>
      <c r="G715" s="1"/>
    </row>
    <row r="716">
      <c r="A716" s="168"/>
      <c r="B716" s="168"/>
      <c r="C716" s="168"/>
      <c r="D716" s="168"/>
      <c r="E716" s="168"/>
      <c r="F716" s="1"/>
      <c r="G716" s="1"/>
    </row>
    <row r="717">
      <c r="A717" s="168"/>
      <c r="B717" s="168"/>
      <c r="C717" s="168"/>
      <c r="D717" s="168"/>
      <c r="E717" s="168"/>
      <c r="F717" s="1"/>
      <c r="G717" s="1"/>
    </row>
    <row r="718">
      <c r="A718" s="168"/>
      <c r="B718" s="168"/>
      <c r="C718" s="168"/>
      <c r="D718" s="168"/>
      <c r="E718" s="168"/>
      <c r="F718" s="1"/>
      <c r="G718" s="1"/>
    </row>
    <row r="719">
      <c r="A719" s="168"/>
      <c r="B719" s="168"/>
      <c r="C719" s="168"/>
      <c r="D719" s="168"/>
      <c r="E719" s="168"/>
      <c r="F719" s="1"/>
      <c r="G719" s="1"/>
    </row>
    <row r="720">
      <c r="A720" s="168"/>
      <c r="B720" s="168"/>
      <c r="C720" s="168"/>
      <c r="D720" s="168"/>
      <c r="E720" s="168"/>
      <c r="F720" s="1"/>
      <c r="G720" s="1"/>
    </row>
    <row r="721">
      <c r="A721" s="168"/>
      <c r="B721" s="168"/>
      <c r="C721" s="168"/>
      <c r="D721" s="168"/>
      <c r="E721" s="168"/>
      <c r="F721" s="1"/>
      <c r="G721" s="1"/>
    </row>
    <row r="722">
      <c r="A722" s="168"/>
      <c r="B722" s="168"/>
      <c r="C722" s="168"/>
      <c r="D722" s="168"/>
      <c r="E722" s="168"/>
      <c r="F722" s="1"/>
      <c r="G722" s="1"/>
    </row>
    <row r="723">
      <c r="A723" s="168"/>
      <c r="B723" s="168"/>
      <c r="C723" s="168"/>
      <c r="D723" s="168"/>
      <c r="E723" s="168"/>
      <c r="F723" s="1"/>
      <c r="G723" s="1"/>
    </row>
    <row r="724">
      <c r="A724" s="168"/>
      <c r="B724" s="168"/>
      <c r="C724" s="168"/>
      <c r="D724" s="168"/>
      <c r="E724" s="168"/>
      <c r="F724" s="1"/>
      <c r="G724" s="1"/>
    </row>
    <row r="725">
      <c r="A725" s="168"/>
      <c r="B725" s="168"/>
      <c r="C725" s="168"/>
      <c r="D725" s="168"/>
      <c r="E725" s="168"/>
      <c r="F725" s="1"/>
      <c r="G725" s="1"/>
    </row>
    <row r="726">
      <c r="A726" s="168"/>
      <c r="B726" s="168"/>
      <c r="C726" s="168"/>
      <c r="D726" s="168"/>
      <c r="E726" s="168"/>
      <c r="F726" s="1"/>
      <c r="G726" s="1"/>
    </row>
    <row r="727">
      <c r="A727" s="168"/>
      <c r="B727" s="168"/>
      <c r="C727" s="168"/>
      <c r="D727" s="168"/>
      <c r="E727" s="168"/>
      <c r="F727" s="1"/>
      <c r="G727" s="1"/>
    </row>
    <row r="728">
      <c r="A728" s="168"/>
      <c r="B728" s="168"/>
      <c r="C728" s="168"/>
      <c r="D728" s="168"/>
      <c r="E728" s="168"/>
      <c r="F728" s="1"/>
      <c r="G728" s="1"/>
    </row>
    <row r="729">
      <c r="A729" s="168"/>
      <c r="B729" s="168"/>
      <c r="C729" s="168"/>
      <c r="D729" s="168"/>
      <c r="E729" s="168"/>
      <c r="F729" s="1"/>
      <c r="G729" s="1"/>
    </row>
    <row r="730">
      <c r="A730" s="168"/>
      <c r="B730" s="168"/>
      <c r="C730" s="168"/>
      <c r="D730" s="168"/>
      <c r="E730" s="168"/>
      <c r="F730" s="1"/>
      <c r="G730" s="1"/>
    </row>
    <row r="731">
      <c r="A731" s="168"/>
      <c r="B731" s="168"/>
      <c r="C731" s="168"/>
      <c r="D731" s="168"/>
      <c r="E731" s="168"/>
      <c r="F731" s="1"/>
      <c r="G731" s="1"/>
    </row>
    <row r="732">
      <c r="A732" s="168"/>
      <c r="B732" s="168"/>
      <c r="C732" s="168"/>
      <c r="D732" s="168"/>
      <c r="E732" s="168"/>
      <c r="F732" s="1"/>
      <c r="G732" s="1"/>
    </row>
    <row r="733">
      <c r="A733" s="168"/>
      <c r="B733" s="168"/>
      <c r="C733" s="168"/>
      <c r="D733" s="168"/>
      <c r="E733" s="168"/>
      <c r="F733" s="1"/>
      <c r="G733" s="1"/>
    </row>
    <row r="734">
      <c r="A734" s="168"/>
      <c r="B734" s="168"/>
      <c r="C734" s="168"/>
      <c r="D734" s="168"/>
      <c r="E734" s="168"/>
      <c r="F734" s="1"/>
      <c r="G734" s="1"/>
    </row>
    <row r="735">
      <c r="A735" s="168"/>
      <c r="B735" s="168"/>
      <c r="C735" s="168"/>
      <c r="D735" s="168"/>
      <c r="E735" s="168"/>
      <c r="F735" s="1"/>
      <c r="G735" s="1"/>
    </row>
    <row r="736">
      <c r="A736" s="168"/>
      <c r="B736" s="168"/>
      <c r="C736" s="168"/>
      <c r="D736" s="168"/>
      <c r="E736" s="168"/>
      <c r="F736" s="1"/>
      <c r="G736" s="1"/>
    </row>
    <row r="737">
      <c r="A737" s="168"/>
      <c r="B737" s="168"/>
      <c r="C737" s="168"/>
      <c r="D737" s="168"/>
      <c r="E737" s="168"/>
      <c r="F737" s="1"/>
      <c r="G737" s="1"/>
    </row>
    <row r="738">
      <c r="A738" s="168"/>
      <c r="B738" s="168"/>
      <c r="C738" s="168"/>
      <c r="D738" s="168"/>
      <c r="E738" s="168"/>
      <c r="F738" s="1"/>
      <c r="G738" s="1"/>
    </row>
    <row r="739">
      <c r="A739" s="168"/>
      <c r="B739" s="168"/>
      <c r="C739" s="168"/>
      <c r="D739" s="168"/>
      <c r="E739" s="168"/>
      <c r="F739" s="1"/>
      <c r="G739" s="1"/>
    </row>
    <row r="740">
      <c r="A740" s="168"/>
      <c r="B740" s="168"/>
      <c r="C740" s="168"/>
      <c r="D740" s="168"/>
      <c r="E740" s="168"/>
      <c r="F740" s="1"/>
      <c r="G740" s="1"/>
    </row>
    <row r="741">
      <c r="A741" s="168"/>
      <c r="B741" s="168"/>
      <c r="C741" s="168"/>
      <c r="D741" s="168"/>
      <c r="E741" s="168"/>
      <c r="F741" s="1"/>
      <c r="G741" s="1"/>
    </row>
    <row r="742">
      <c r="A742" s="168"/>
      <c r="B742" s="168"/>
      <c r="C742" s="168"/>
      <c r="D742" s="168"/>
      <c r="E742" s="168"/>
      <c r="F742" s="1"/>
      <c r="G742" s="1"/>
    </row>
    <row r="743">
      <c r="A743" s="168"/>
      <c r="B743" s="168"/>
      <c r="C743" s="168"/>
      <c r="D743" s="168"/>
      <c r="E743" s="168"/>
      <c r="F743" s="1"/>
      <c r="G743" s="1"/>
    </row>
    <row r="744">
      <c r="A744" s="168"/>
      <c r="B744" s="168"/>
      <c r="C744" s="168"/>
      <c r="D744" s="168"/>
      <c r="E744" s="168"/>
      <c r="F744" s="1"/>
      <c r="G744" s="1"/>
    </row>
    <row r="745">
      <c r="A745" s="168"/>
      <c r="B745" s="168"/>
      <c r="C745" s="168"/>
      <c r="D745" s="168"/>
      <c r="E745" s="168"/>
      <c r="F745" s="1"/>
      <c r="G745" s="1"/>
    </row>
    <row r="746">
      <c r="A746" s="168"/>
      <c r="B746" s="168"/>
      <c r="C746" s="168"/>
      <c r="D746" s="168"/>
      <c r="E746" s="168"/>
      <c r="F746" s="1"/>
      <c r="G746" s="1"/>
    </row>
    <row r="747">
      <c r="A747" s="168"/>
      <c r="B747" s="168"/>
      <c r="C747" s="168"/>
      <c r="D747" s="168"/>
      <c r="E747" s="168"/>
      <c r="F747" s="1"/>
      <c r="G747" s="1"/>
    </row>
    <row r="748">
      <c r="A748" s="168"/>
      <c r="B748" s="168"/>
      <c r="C748" s="168"/>
      <c r="D748" s="168"/>
      <c r="E748" s="168"/>
      <c r="F748" s="1"/>
      <c r="G748" s="1"/>
    </row>
    <row r="749">
      <c r="A749" s="168"/>
      <c r="B749" s="168"/>
      <c r="C749" s="168"/>
      <c r="D749" s="168"/>
      <c r="E749" s="168"/>
      <c r="F749" s="1"/>
      <c r="G749" s="1"/>
    </row>
    <row r="750">
      <c r="A750" s="168"/>
      <c r="B750" s="168"/>
      <c r="C750" s="168"/>
      <c r="D750" s="168"/>
      <c r="E750" s="168"/>
      <c r="F750" s="1"/>
      <c r="G750" s="1"/>
    </row>
    <row r="751">
      <c r="A751" s="168"/>
      <c r="B751" s="168"/>
      <c r="C751" s="168"/>
      <c r="D751" s="168"/>
      <c r="E751" s="168"/>
      <c r="F751" s="1"/>
      <c r="G751" s="1"/>
    </row>
    <row r="752">
      <c r="A752" s="168"/>
      <c r="B752" s="168"/>
      <c r="C752" s="168"/>
      <c r="D752" s="168"/>
      <c r="E752" s="168"/>
      <c r="F752" s="1"/>
      <c r="G752" s="1"/>
    </row>
    <row r="753">
      <c r="A753" s="168"/>
      <c r="B753" s="168"/>
      <c r="C753" s="168"/>
      <c r="D753" s="168"/>
      <c r="E753" s="168"/>
      <c r="F753" s="1"/>
      <c r="G753" s="1"/>
    </row>
    <row r="754">
      <c r="A754" s="168"/>
      <c r="B754" s="168"/>
      <c r="C754" s="168"/>
      <c r="D754" s="168"/>
      <c r="E754" s="168"/>
      <c r="F754" s="1"/>
      <c r="G754" s="1"/>
    </row>
    <row r="755">
      <c r="A755" s="168"/>
      <c r="B755" s="168"/>
      <c r="C755" s="168"/>
      <c r="D755" s="168"/>
      <c r="E755" s="168"/>
      <c r="F755" s="1"/>
      <c r="G755" s="1"/>
    </row>
    <row r="756">
      <c r="A756" s="168"/>
      <c r="B756" s="168"/>
      <c r="C756" s="168"/>
      <c r="D756" s="168"/>
      <c r="E756" s="168"/>
      <c r="F756" s="1"/>
      <c r="G756" s="1"/>
    </row>
    <row r="757">
      <c r="A757" s="168"/>
      <c r="B757" s="168"/>
      <c r="C757" s="168"/>
      <c r="D757" s="168"/>
      <c r="E757" s="168"/>
      <c r="F757" s="1"/>
      <c r="G757" s="1"/>
    </row>
    <row r="758">
      <c r="A758" s="168"/>
      <c r="B758" s="168"/>
      <c r="C758" s="168"/>
      <c r="D758" s="168"/>
      <c r="E758" s="168"/>
      <c r="F758" s="1"/>
      <c r="G758" s="1"/>
    </row>
    <row r="759">
      <c r="A759" s="168"/>
      <c r="B759" s="168"/>
      <c r="C759" s="168"/>
      <c r="D759" s="168"/>
      <c r="E759" s="168"/>
      <c r="F759" s="1"/>
      <c r="G759" s="1"/>
    </row>
    <row r="760">
      <c r="A760" s="168"/>
      <c r="B760" s="168"/>
      <c r="C760" s="168"/>
      <c r="D760" s="168"/>
      <c r="E760" s="168"/>
      <c r="F760" s="1"/>
      <c r="G760" s="1"/>
    </row>
    <row r="761">
      <c r="A761" s="168"/>
      <c r="B761" s="168"/>
      <c r="C761" s="168"/>
      <c r="D761" s="168"/>
      <c r="E761" s="168"/>
      <c r="F761" s="1"/>
      <c r="G761" s="1"/>
    </row>
    <row r="762">
      <c r="A762" s="168"/>
      <c r="B762" s="168"/>
      <c r="C762" s="168"/>
      <c r="D762" s="168"/>
      <c r="E762" s="168"/>
      <c r="F762" s="1"/>
      <c r="G762" s="1"/>
    </row>
    <row r="763">
      <c r="A763" s="168"/>
      <c r="B763" s="168"/>
      <c r="C763" s="168"/>
      <c r="D763" s="168"/>
      <c r="E763" s="168"/>
      <c r="F763" s="1"/>
      <c r="G763" s="1"/>
    </row>
    <row r="764">
      <c r="A764" s="168"/>
      <c r="B764" s="168"/>
      <c r="C764" s="168"/>
      <c r="D764" s="168"/>
      <c r="E764" s="168"/>
      <c r="F764" s="1"/>
      <c r="G764" s="1"/>
    </row>
    <row r="765">
      <c r="A765" s="168"/>
      <c r="B765" s="168"/>
      <c r="C765" s="168"/>
      <c r="D765" s="168"/>
      <c r="E765" s="168"/>
      <c r="F765" s="1"/>
      <c r="G765" s="1"/>
    </row>
    <row r="766">
      <c r="A766" s="168"/>
      <c r="B766" s="168"/>
      <c r="C766" s="168"/>
      <c r="D766" s="168"/>
      <c r="E766" s="168"/>
      <c r="F766" s="1"/>
      <c r="G766" s="1"/>
    </row>
    <row r="767">
      <c r="A767" s="168"/>
      <c r="B767" s="168"/>
      <c r="C767" s="168"/>
      <c r="D767" s="168"/>
      <c r="E767" s="168"/>
      <c r="F767" s="1"/>
      <c r="G767" s="1"/>
    </row>
    <row r="768">
      <c r="A768" s="168"/>
      <c r="B768" s="168"/>
      <c r="C768" s="168"/>
      <c r="D768" s="168"/>
      <c r="E768" s="168"/>
      <c r="F768" s="1"/>
      <c r="G768" s="1"/>
    </row>
    <row r="769">
      <c r="A769" s="168"/>
      <c r="B769" s="168"/>
      <c r="C769" s="168"/>
      <c r="D769" s="168"/>
      <c r="E769" s="168"/>
      <c r="F769" s="1"/>
      <c r="G769" s="1"/>
    </row>
    <row r="770">
      <c r="A770" s="168"/>
      <c r="B770" s="168"/>
      <c r="C770" s="168"/>
      <c r="D770" s="168"/>
      <c r="E770" s="168"/>
      <c r="F770" s="1"/>
      <c r="G770" s="1"/>
    </row>
    <row r="771">
      <c r="A771" s="168"/>
      <c r="B771" s="168"/>
      <c r="C771" s="168"/>
      <c r="D771" s="168"/>
      <c r="E771" s="168"/>
      <c r="F771" s="1"/>
      <c r="G771" s="1"/>
    </row>
    <row r="772">
      <c r="A772" s="168"/>
      <c r="B772" s="168"/>
      <c r="C772" s="168"/>
      <c r="D772" s="168"/>
      <c r="E772" s="168"/>
      <c r="F772" s="1"/>
      <c r="G772" s="1"/>
    </row>
    <row r="773">
      <c r="A773" s="168"/>
      <c r="B773" s="168"/>
      <c r="C773" s="168"/>
      <c r="D773" s="168"/>
      <c r="E773" s="168"/>
      <c r="F773" s="1"/>
      <c r="G773" s="1"/>
    </row>
    <row r="774">
      <c r="A774" s="168"/>
      <c r="B774" s="168"/>
      <c r="C774" s="168"/>
      <c r="D774" s="168"/>
      <c r="E774" s="168"/>
      <c r="F774" s="1"/>
      <c r="G774" s="1"/>
    </row>
    <row r="775">
      <c r="A775" s="168"/>
      <c r="B775" s="168"/>
      <c r="C775" s="168"/>
      <c r="D775" s="168"/>
      <c r="E775" s="168"/>
      <c r="F775" s="1"/>
      <c r="G775" s="1"/>
    </row>
    <row r="776">
      <c r="A776" s="168"/>
      <c r="B776" s="168"/>
      <c r="C776" s="168"/>
      <c r="D776" s="168"/>
      <c r="E776" s="168"/>
      <c r="F776" s="1"/>
      <c r="G776" s="1"/>
    </row>
    <row r="777">
      <c r="A777" s="168"/>
      <c r="B777" s="168"/>
      <c r="C777" s="168"/>
      <c r="D777" s="168"/>
      <c r="E777" s="168"/>
      <c r="F777" s="1"/>
      <c r="G777" s="1"/>
    </row>
    <row r="778">
      <c r="A778" s="168"/>
      <c r="B778" s="168"/>
      <c r="C778" s="168"/>
      <c r="D778" s="168"/>
      <c r="E778" s="168"/>
      <c r="F778" s="1"/>
      <c r="G778" s="1"/>
    </row>
    <row r="779">
      <c r="A779" s="168"/>
      <c r="B779" s="168"/>
      <c r="C779" s="168"/>
      <c r="D779" s="168"/>
      <c r="E779" s="168"/>
      <c r="F779" s="1"/>
      <c r="G779" s="1"/>
    </row>
    <row r="780">
      <c r="A780" s="168"/>
      <c r="B780" s="168"/>
      <c r="C780" s="168"/>
      <c r="D780" s="168"/>
      <c r="E780" s="168"/>
      <c r="F780" s="1"/>
      <c r="G780" s="1"/>
    </row>
    <row r="781">
      <c r="A781" s="168"/>
      <c r="B781" s="168"/>
      <c r="C781" s="168"/>
      <c r="D781" s="168"/>
      <c r="E781" s="168"/>
      <c r="F781" s="1"/>
      <c r="G781" s="1"/>
    </row>
    <row r="782">
      <c r="A782" s="168"/>
      <c r="B782" s="168"/>
      <c r="C782" s="168"/>
      <c r="D782" s="168"/>
      <c r="E782" s="168"/>
      <c r="F782" s="1"/>
      <c r="G782" s="1"/>
    </row>
    <row r="783">
      <c r="A783" s="168"/>
      <c r="B783" s="168"/>
      <c r="C783" s="168"/>
      <c r="D783" s="168"/>
      <c r="E783" s="168"/>
      <c r="F783" s="1"/>
      <c r="G783" s="1"/>
    </row>
    <row r="784">
      <c r="A784" s="168"/>
      <c r="B784" s="168"/>
      <c r="C784" s="168"/>
      <c r="D784" s="168"/>
      <c r="E784" s="168"/>
      <c r="F784" s="1"/>
      <c r="G784" s="1"/>
    </row>
    <row r="785">
      <c r="A785" s="168"/>
      <c r="B785" s="168"/>
      <c r="C785" s="168"/>
      <c r="D785" s="168"/>
      <c r="E785" s="168"/>
      <c r="F785" s="1"/>
      <c r="G785" s="1"/>
    </row>
    <row r="786">
      <c r="A786" s="168"/>
      <c r="B786" s="168"/>
      <c r="C786" s="168"/>
      <c r="D786" s="168"/>
      <c r="E786" s="168"/>
      <c r="F786" s="1"/>
      <c r="G786" s="1"/>
    </row>
    <row r="787">
      <c r="A787" s="168"/>
      <c r="B787" s="168"/>
      <c r="C787" s="168"/>
      <c r="D787" s="168"/>
      <c r="E787" s="168"/>
      <c r="F787" s="1"/>
      <c r="G787" s="1"/>
    </row>
    <row r="788">
      <c r="A788" s="168"/>
      <c r="B788" s="168"/>
      <c r="C788" s="168"/>
      <c r="D788" s="168"/>
      <c r="E788" s="168"/>
      <c r="F788" s="1"/>
      <c r="G788" s="1"/>
    </row>
    <row r="789">
      <c r="A789" s="168"/>
      <c r="B789" s="168"/>
      <c r="C789" s="168"/>
      <c r="D789" s="168"/>
      <c r="E789" s="168"/>
      <c r="F789" s="1"/>
      <c r="G789" s="1"/>
    </row>
    <row r="790">
      <c r="A790" s="168"/>
      <c r="B790" s="168"/>
      <c r="C790" s="168"/>
      <c r="D790" s="168"/>
      <c r="E790" s="168"/>
      <c r="F790" s="1"/>
      <c r="G790" s="1"/>
    </row>
    <row r="791">
      <c r="A791" s="168"/>
      <c r="B791" s="168"/>
      <c r="C791" s="168"/>
      <c r="D791" s="168"/>
      <c r="E791" s="168"/>
      <c r="F791" s="1"/>
      <c r="G791" s="1"/>
    </row>
    <row r="792">
      <c r="A792" s="168"/>
      <c r="B792" s="168"/>
      <c r="C792" s="168"/>
      <c r="D792" s="168"/>
      <c r="E792" s="168"/>
      <c r="F792" s="1"/>
      <c r="G792" s="1"/>
    </row>
    <row r="793">
      <c r="A793" s="168"/>
      <c r="B793" s="168"/>
      <c r="C793" s="168"/>
      <c r="D793" s="168"/>
      <c r="E793" s="168"/>
      <c r="F793" s="1"/>
      <c r="G793" s="1"/>
    </row>
    <row r="794">
      <c r="A794" s="168"/>
      <c r="B794" s="168"/>
      <c r="C794" s="168"/>
      <c r="D794" s="168"/>
      <c r="E794" s="168"/>
      <c r="F794" s="1"/>
      <c r="G794" s="1"/>
    </row>
    <row r="795">
      <c r="A795" s="168"/>
      <c r="B795" s="168"/>
      <c r="C795" s="168"/>
      <c r="D795" s="168"/>
      <c r="E795" s="168"/>
      <c r="F795" s="1"/>
      <c r="G795" s="1"/>
    </row>
    <row r="796">
      <c r="A796" s="168"/>
      <c r="B796" s="168"/>
      <c r="C796" s="168"/>
      <c r="D796" s="168"/>
      <c r="E796" s="168"/>
      <c r="F796" s="1"/>
      <c r="G796" s="1"/>
    </row>
    <row r="797">
      <c r="A797" s="168"/>
      <c r="B797" s="168"/>
      <c r="C797" s="168"/>
      <c r="D797" s="168"/>
      <c r="E797" s="168"/>
      <c r="F797" s="1"/>
      <c r="G797" s="1"/>
    </row>
    <row r="798">
      <c r="A798" s="168"/>
      <c r="B798" s="168"/>
      <c r="C798" s="168"/>
      <c r="D798" s="168"/>
      <c r="E798" s="168"/>
      <c r="F798" s="1"/>
      <c r="G798" s="1"/>
    </row>
    <row r="799">
      <c r="A799" s="168"/>
      <c r="B799" s="168"/>
      <c r="C799" s="168"/>
      <c r="D799" s="168"/>
      <c r="E799" s="168"/>
      <c r="F799" s="1"/>
      <c r="G799" s="1"/>
    </row>
    <row r="800">
      <c r="A800" s="168"/>
      <c r="B800" s="168"/>
      <c r="C800" s="168"/>
      <c r="D800" s="168"/>
      <c r="E800" s="168"/>
      <c r="F800" s="1"/>
      <c r="G800" s="1"/>
    </row>
    <row r="801">
      <c r="A801" s="168"/>
      <c r="B801" s="168"/>
      <c r="C801" s="168"/>
      <c r="D801" s="168"/>
      <c r="E801" s="168"/>
      <c r="F801" s="1"/>
      <c r="G801" s="1"/>
    </row>
    <row r="802">
      <c r="A802" s="168"/>
      <c r="B802" s="168"/>
      <c r="C802" s="168"/>
      <c r="D802" s="168"/>
      <c r="E802" s="168"/>
      <c r="F802" s="1"/>
      <c r="G802" s="1"/>
    </row>
    <row r="803">
      <c r="A803" s="168"/>
      <c r="B803" s="168"/>
      <c r="C803" s="168"/>
      <c r="D803" s="168"/>
      <c r="E803" s="168"/>
      <c r="F803" s="1"/>
      <c r="G803" s="1"/>
    </row>
    <row r="804">
      <c r="A804" s="168"/>
      <c r="B804" s="168"/>
      <c r="C804" s="168"/>
      <c r="D804" s="168"/>
      <c r="E804" s="168"/>
      <c r="F804" s="1"/>
      <c r="G804" s="1"/>
    </row>
    <row r="805">
      <c r="A805" s="168"/>
      <c r="B805" s="168"/>
      <c r="C805" s="168"/>
      <c r="D805" s="168"/>
      <c r="E805" s="168"/>
      <c r="F805" s="1"/>
      <c r="G805" s="1"/>
    </row>
    <row r="806">
      <c r="A806" s="168"/>
      <c r="B806" s="168"/>
      <c r="C806" s="168"/>
      <c r="D806" s="168"/>
      <c r="E806" s="168"/>
      <c r="F806" s="1"/>
      <c r="G806" s="1"/>
    </row>
    <row r="807">
      <c r="A807" s="168"/>
      <c r="B807" s="168"/>
      <c r="C807" s="168"/>
      <c r="D807" s="168"/>
      <c r="E807" s="168"/>
      <c r="F807" s="1"/>
      <c r="G807" s="1"/>
    </row>
    <row r="808">
      <c r="A808" s="168"/>
      <c r="B808" s="168"/>
      <c r="C808" s="168"/>
      <c r="D808" s="168"/>
      <c r="E808" s="168"/>
      <c r="F808" s="1"/>
      <c r="G808" s="1"/>
    </row>
    <row r="809">
      <c r="A809" s="168"/>
      <c r="B809" s="168"/>
      <c r="C809" s="168"/>
      <c r="D809" s="168"/>
      <c r="E809" s="168"/>
      <c r="F809" s="1"/>
      <c r="G809" s="1"/>
    </row>
    <row r="810">
      <c r="A810" s="168"/>
      <c r="B810" s="168"/>
      <c r="C810" s="168"/>
      <c r="D810" s="168"/>
      <c r="E810" s="168"/>
      <c r="F810" s="1"/>
      <c r="G810" s="1"/>
    </row>
    <row r="811">
      <c r="A811" s="168"/>
      <c r="B811" s="168"/>
      <c r="C811" s="168"/>
      <c r="D811" s="168"/>
      <c r="E811" s="168"/>
      <c r="F811" s="1"/>
      <c r="G811" s="1"/>
    </row>
    <row r="812">
      <c r="A812" s="168"/>
      <c r="B812" s="168"/>
      <c r="C812" s="168"/>
      <c r="D812" s="168"/>
      <c r="E812" s="168"/>
      <c r="F812" s="1"/>
      <c r="G812" s="1"/>
    </row>
    <row r="813">
      <c r="A813" s="168"/>
      <c r="B813" s="168"/>
      <c r="C813" s="168"/>
      <c r="D813" s="168"/>
      <c r="E813" s="168"/>
      <c r="F813" s="1"/>
      <c r="G813" s="1"/>
    </row>
    <row r="814">
      <c r="A814" s="168"/>
      <c r="B814" s="168"/>
      <c r="C814" s="168"/>
      <c r="D814" s="168"/>
      <c r="E814" s="168"/>
      <c r="F814" s="1"/>
      <c r="G814" s="1"/>
    </row>
    <row r="815">
      <c r="A815" s="168"/>
      <c r="B815" s="168"/>
      <c r="C815" s="168"/>
      <c r="D815" s="168"/>
      <c r="E815" s="168"/>
      <c r="F815" s="1"/>
      <c r="G815" s="1"/>
    </row>
    <row r="816">
      <c r="A816" s="168"/>
      <c r="B816" s="168"/>
      <c r="C816" s="168"/>
      <c r="D816" s="168"/>
      <c r="E816" s="168"/>
      <c r="F816" s="1"/>
      <c r="G816" s="1"/>
    </row>
    <row r="817">
      <c r="A817" s="168"/>
      <c r="B817" s="168"/>
      <c r="C817" s="168"/>
      <c r="D817" s="168"/>
      <c r="E817" s="168"/>
      <c r="F817" s="1"/>
      <c r="G817" s="1"/>
    </row>
    <row r="818">
      <c r="A818" s="168"/>
      <c r="B818" s="168"/>
      <c r="C818" s="168"/>
      <c r="D818" s="168"/>
      <c r="E818" s="168"/>
      <c r="F818" s="1"/>
      <c r="G818" s="1"/>
    </row>
    <row r="819">
      <c r="A819" s="168"/>
      <c r="B819" s="168"/>
      <c r="C819" s="168"/>
      <c r="D819" s="168"/>
      <c r="E819" s="168"/>
      <c r="F819" s="1"/>
      <c r="G819" s="1"/>
    </row>
    <row r="820">
      <c r="A820" s="168"/>
      <c r="B820" s="168"/>
      <c r="C820" s="168"/>
      <c r="D820" s="168"/>
      <c r="E820" s="168"/>
      <c r="F820" s="1"/>
      <c r="G820" s="1"/>
    </row>
    <row r="821">
      <c r="A821" s="168"/>
      <c r="B821" s="168"/>
      <c r="C821" s="168"/>
      <c r="D821" s="168"/>
      <c r="E821" s="168"/>
      <c r="F821" s="1"/>
      <c r="G821" s="1"/>
    </row>
    <row r="822">
      <c r="A822" s="168"/>
      <c r="B822" s="168"/>
      <c r="C822" s="168"/>
      <c r="D822" s="168"/>
      <c r="E822" s="168"/>
      <c r="F822" s="1"/>
      <c r="G822" s="1"/>
    </row>
    <row r="823">
      <c r="A823" s="168"/>
      <c r="B823" s="168"/>
      <c r="C823" s="168"/>
      <c r="D823" s="168"/>
      <c r="E823" s="168"/>
      <c r="F823" s="1"/>
      <c r="G823" s="1"/>
    </row>
    <row r="824">
      <c r="A824" s="168"/>
      <c r="B824" s="168"/>
      <c r="C824" s="168"/>
      <c r="D824" s="168"/>
      <c r="E824" s="168"/>
      <c r="F824" s="1"/>
      <c r="G824" s="1"/>
    </row>
    <row r="825">
      <c r="A825" s="168"/>
      <c r="B825" s="168"/>
      <c r="C825" s="168"/>
      <c r="D825" s="168"/>
      <c r="E825" s="168"/>
      <c r="F825" s="1"/>
      <c r="G825" s="1"/>
    </row>
    <row r="826">
      <c r="A826" s="168"/>
      <c r="B826" s="168"/>
      <c r="C826" s="168"/>
      <c r="D826" s="168"/>
      <c r="E826" s="168"/>
      <c r="F826" s="1"/>
      <c r="G826" s="1"/>
    </row>
    <row r="827">
      <c r="A827" s="168"/>
      <c r="B827" s="168"/>
      <c r="C827" s="168"/>
      <c r="D827" s="168"/>
      <c r="E827" s="168"/>
      <c r="F827" s="1"/>
      <c r="G827" s="1"/>
    </row>
    <row r="828">
      <c r="A828" s="168"/>
      <c r="B828" s="168"/>
      <c r="C828" s="168"/>
      <c r="D828" s="168"/>
      <c r="E828" s="168"/>
      <c r="F828" s="1"/>
      <c r="G828" s="1"/>
    </row>
    <row r="829">
      <c r="A829" s="168"/>
      <c r="B829" s="168"/>
      <c r="C829" s="168"/>
      <c r="D829" s="168"/>
      <c r="E829" s="168"/>
      <c r="F829" s="1"/>
      <c r="G829" s="1"/>
    </row>
    <row r="830">
      <c r="A830" s="168"/>
      <c r="B830" s="168"/>
      <c r="C830" s="168"/>
      <c r="D830" s="168"/>
      <c r="E830" s="168"/>
      <c r="F830" s="1"/>
      <c r="G830" s="1"/>
    </row>
    <row r="831">
      <c r="A831" s="168"/>
      <c r="B831" s="168"/>
      <c r="C831" s="168"/>
      <c r="D831" s="168"/>
      <c r="E831" s="168"/>
      <c r="F831" s="1"/>
      <c r="G831" s="1"/>
    </row>
    <row r="832">
      <c r="A832" s="168"/>
      <c r="B832" s="168"/>
      <c r="C832" s="168"/>
      <c r="D832" s="168"/>
      <c r="E832" s="168"/>
      <c r="F832" s="1"/>
      <c r="G832" s="1"/>
    </row>
    <row r="833">
      <c r="A833" s="168"/>
      <c r="B833" s="168"/>
      <c r="C833" s="168"/>
      <c r="D833" s="168"/>
      <c r="E833" s="168"/>
      <c r="F833" s="1"/>
      <c r="G833" s="1"/>
    </row>
    <row r="834">
      <c r="A834" s="168"/>
      <c r="B834" s="168"/>
      <c r="C834" s="168"/>
      <c r="D834" s="168"/>
      <c r="E834" s="168"/>
      <c r="F834" s="1"/>
      <c r="G834" s="1"/>
    </row>
    <row r="835">
      <c r="A835" s="168"/>
      <c r="B835" s="168"/>
      <c r="C835" s="168"/>
      <c r="D835" s="168"/>
      <c r="E835" s="168"/>
      <c r="F835" s="1"/>
      <c r="G835" s="1"/>
    </row>
    <row r="836">
      <c r="A836" s="168"/>
      <c r="B836" s="168"/>
      <c r="C836" s="168"/>
      <c r="D836" s="168"/>
      <c r="E836" s="168"/>
      <c r="F836" s="1"/>
      <c r="G836" s="1"/>
    </row>
    <row r="837">
      <c r="A837" s="168"/>
      <c r="B837" s="168"/>
      <c r="C837" s="168"/>
      <c r="D837" s="168"/>
      <c r="E837" s="168"/>
      <c r="F837" s="1"/>
      <c r="G837" s="1"/>
    </row>
    <row r="838">
      <c r="A838" s="168"/>
      <c r="B838" s="168"/>
      <c r="C838" s="168"/>
      <c r="D838" s="168"/>
      <c r="E838" s="168"/>
      <c r="F838" s="1"/>
      <c r="G838" s="1"/>
    </row>
    <row r="839">
      <c r="A839" s="168"/>
      <c r="B839" s="168"/>
      <c r="C839" s="168"/>
      <c r="D839" s="168"/>
      <c r="E839" s="168"/>
      <c r="F839" s="1"/>
      <c r="G839" s="1"/>
    </row>
    <row r="840">
      <c r="A840" s="168"/>
      <c r="B840" s="168"/>
      <c r="C840" s="168"/>
      <c r="D840" s="168"/>
      <c r="E840" s="168"/>
      <c r="F840" s="1"/>
      <c r="G840" s="1"/>
    </row>
    <row r="841">
      <c r="A841" s="168"/>
      <c r="B841" s="168"/>
      <c r="C841" s="168"/>
      <c r="D841" s="168"/>
      <c r="E841" s="168"/>
      <c r="F841" s="1"/>
      <c r="G841" s="1"/>
    </row>
    <row r="842">
      <c r="A842" s="168"/>
      <c r="B842" s="168"/>
      <c r="C842" s="168"/>
      <c r="D842" s="168"/>
      <c r="E842" s="168"/>
      <c r="F842" s="1"/>
      <c r="G842" s="1"/>
    </row>
    <row r="843">
      <c r="A843" s="168"/>
      <c r="B843" s="168"/>
      <c r="C843" s="168"/>
      <c r="D843" s="168"/>
      <c r="E843" s="168"/>
      <c r="F843" s="1"/>
      <c r="G843" s="1"/>
    </row>
    <row r="844">
      <c r="A844" s="168"/>
      <c r="B844" s="168"/>
      <c r="C844" s="168"/>
      <c r="D844" s="168"/>
      <c r="E844" s="168"/>
      <c r="F844" s="1"/>
      <c r="G844" s="1"/>
    </row>
    <row r="845">
      <c r="A845" s="168"/>
      <c r="B845" s="168"/>
      <c r="C845" s="168"/>
      <c r="D845" s="168"/>
      <c r="E845" s="168"/>
      <c r="F845" s="1"/>
      <c r="G845" s="1"/>
    </row>
    <row r="846">
      <c r="A846" s="168"/>
      <c r="B846" s="168"/>
      <c r="C846" s="168"/>
      <c r="D846" s="168"/>
      <c r="E846" s="168"/>
      <c r="F846" s="1"/>
      <c r="G846" s="1"/>
    </row>
    <row r="847">
      <c r="A847" s="168"/>
      <c r="B847" s="168"/>
      <c r="C847" s="168"/>
      <c r="D847" s="168"/>
      <c r="E847" s="168"/>
      <c r="F847" s="1"/>
      <c r="G847" s="1"/>
    </row>
    <row r="848">
      <c r="A848" s="168"/>
      <c r="B848" s="168"/>
      <c r="C848" s="168"/>
      <c r="D848" s="168"/>
      <c r="E848" s="168"/>
      <c r="F848" s="1"/>
      <c r="G848" s="1"/>
    </row>
    <row r="849">
      <c r="A849" s="168"/>
      <c r="B849" s="168"/>
      <c r="C849" s="168"/>
      <c r="D849" s="168"/>
      <c r="E849" s="168"/>
      <c r="F849" s="1"/>
      <c r="G849" s="1"/>
    </row>
    <row r="850">
      <c r="A850" s="168"/>
      <c r="B850" s="168"/>
      <c r="C850" s="168"/>
      <c r="D850" s="168"/>
      <c r="E850" s="168"/>
      <c r="F850" s="1"/>
      <c r="G850" s="1"/>
    </row>
    <row r="851">
      <c r="A851" s="168"/>
      <c r="B851" s="168"/>
      <c r="C851" s="168"/>
      <c r="D851" s="168"/>
      <c r="E851" s="168"/>
      <c r="F851" s="1"/>
      <c r="G851" s="1"/>
    </row>
    <row r="852">
      <c r="A852" s="168"/>
      <c r="B852" s="168"/>
      <c r="C852" s="168"/>
      <c r="D852" s="168"/>
      <c r="E852" s="168"/>
      <c r="F852" s="1"/>
      <c r="G852" s="1"/>
    </row>
    <row r="853">
      <c r="A853" s="168"/>
      <c r="B853" s="168"/>
      <c r="C853" s="168"/>
      <c r="D853" s="168"/>
      <c r="E853" s="168"/>
      <c r="F853" s="1"/>
      <c r="G853" s="1"/>
    </row>
    <row r="854">
      <c r="A854" s="168"/>
      <c r="B854" s="168"/>
      <c r="C854" s="168"/>
      <c r="D854" s="168"/>
      <c r="E854" s="168"/>
      <c r="F854" s="1"/>
      <c r="G854" s="1"/>
    </row>
    <row r="855">
      <c r="A855" s="168"/>
      <c r="B855" s="168"/>
      <c r="C855" s="168"/>
      <c r="D855" s="168"/>
      <c r="E855" s="168"/>
      <c r="F855" s="1"/>
      <c r="G855" s="1"/>
    </row>
    <row r="856">
      <c r="A856" s="168"/>
      <c r="B856" s="168"/>
      <c r="C856" s="168"/>
      <c r="D856" s="168"/>
      <c r="E856" s="168"/>
      <c r="F856" s="1"/>
      <c r="G856" s="1"/>
    </row>
    <row r="857">
      <c r="A857" s="168"/>
      <c r="B857" s="168"/>
      <c r="C857" s="168"/>
      <c r="D857" s="168"/>
      <c r="E857" s="168"/>
      <c r="F857" s="1"/>
      <c r="G857" s="1"/>
    </row>
    <row r="858">
      <c r="A858" s="168"/>
      <c r="B858" s="168"/>
      <c r="C858" s="168"/>
      <c r="D858" s="168"/>
      <c r="E858" s="168"/>
      <c r="F858" s="1"/>
      <c r="G858" s="1"/>
    </row>
    <row r="859">
      <c r="A859" s="168"/>
      <c r="B859" s="168"/>
      <c r="C859" s="168"/>
      <c r="D859" s="168"/>
      <c r="E859" s="168"/>
      <c r="F859" s="1"/>
      <c r="G859" s="1"/>
    </row>
    <row r="860">
      <c r="A860" s="168"/>
      <c r="B860" s="168"/>
      <c r="C860" s="168"/>
      <c r="D860" s="168"/>
      <c r="E860" s="168"/>
      <c r="F860" s="1"/>
      <c r="G860" s="1"/>
    </row>
    <row r="861">
      <c r="A861" s="168"/>
      <c r="B861" s="168"/>
      <c r="C861" s="168"/>
      <c r="D861" s="168"/>
      <c r="E861" s="168"/>
      <c r="F861" s="1"/>
      <c r="G861" s="1"/>
    </row>
    <row r="862">
      <c r="A862" s="168"/>
      <c r="B862" s="168"/>
      <c r="C862" s="168"/>
      <c r="D862" s="168"/>
      <c r="E862" s="168"/>
      <c r="F862" s="1"/>
      <c r="G862" s="1"/>
    </row>
    <row r="863">
      <c r="A863" s="168"/>
      <c r="B863" s="168"/>
      <c r="C863" s="168"/>
      <c r="D863" s="168"/>
      <c r="E863" s="168"/>
      <c r="F863" s="1"/>
      <c r="G863" s="1"/>
    </row>
    <row r="864">
      <c r="A864" s="168"/>
      <c r="B864" s="168"/>
      <c r="C864" s="168"/>
      <c r="D864" s="168"/>
      <c r="E864" s="168"/>
      <c r="F864" s="1"/>
      <c r="G864" s="1"/>
    </row>
    <row r="865">
      <c r="A865" s="168"/>
      <c r="B865" s="168"/>
      <c r="C865" s="168"/>
      <c r="D865" s="168"/>
      <c r="E865" s="168"/>
      <c r="F865" s="1"/>
      <c r="G865" s="1"/>
    </row>
    <row r="866">
      <c r="A866" s="168"/>
      <c r="B866" s="168"/>
      <c r="C866" s="168"/>
      <c r="D866" s="168"/>
      <c r="E866" s="168"/>
      <c r="F866" s="1"/>
      <c r="G866" s="1"/>
    </row>
    <row r="867">
      <c r="A867" s="168"/>
      <c r="B867" s="168"/>
      <c r="C867" s="168"/>
      <c r="D867" s="168"/>
      <c r="E867" s="168"/>
      <c r="F867" s="1"/>
      <c r="G867" s="1"/>
    </row>
    <row r="868">
      <c r="A868" s="168"/>
      <c r="B868" s="168"/>
      <c r="C868" s="168"/>
      <c r="D868" s="168"/>
      <c r="E868" s="168"/>
      <c r="F868" s="1"/>
      <c r="G868" s="1"/>
    </row>
    <row r="869">
      <c r="A869" s="168"/>
      <c r="B869" s="168"/>
      <c r="C869" s="168"/>
      <c r="D869" s="168"/>
      <c r="E869" s="168"/>
      <c r="F869" s="1"/>
      <c r="G869" s="1"/>
    </row>
    <row r="870">
      <c r="A870" s="168"/>
      <c r="B870" s="168"/>
      <c r="C870" s="168"/>
      <c r="D870" s="168"/>
      <c r="E870" s="168"/>
      <c r="F870" s="1"/>
      <c r="G870" s="1"/>
    </row>
    <row r="871">
      <c r="A871" s="168"/>
      <c r="B871" s="168"/>
      <c r="C871" s="168"/>
      <c r="D871" s="168"/>
      <c r="E871" s="168"/>
      <c r="F871" s="1"/>
      <c r="G871" s="1"/>
    </row>
    <row r="872">
      <c r="A872" s="168"/>
      <c r="B872" s="168"/>
      <c r="C872" s="168"/>
      <c r="D872" s="168"/>
      <c r="E872" s="168"/>
      <c r="F872" s="1"/>
      <c r="G872" s="1"/>
    </row>
    <row r="873">
      <c r="A873" s="168"/>
      <c r="B873" s="168"/>
      <c r="C873" s="168"/>
      <c r="D873" s="168"/>
      <c r="E873" s="168"/>
      <c r="F873" s="1"/>
      <c r="G873" s="1"/>
    </row>
    <row r="874">
      <c r="A874" s="168"/>
      <c r="B874" s="168"/>
      <c r="C874" s="168"/>
      <c r="D874" s="168"/>
      <c r="E874" s="168"/>
      <c r="F874" s="1"/>
      <c r="G874" s="1"/>
    </row>
    <row r="875">
      <c r="A875" s="168"/>
      <c r="B875" s="168"/>
      <c r="C875" s="168"/>
      <c r="D875" s="168"/>
      <c r="E875" s="168"/>
      <c r="F875" s="1"/>
      <c r="G875" s="1"/>
    </row>
    <row r="876">
      <c r="A876" s="168"/>
      <c r="B876" s="168"/>
      <c r="C876" s="168"/>
      <c r="D876" s="168"/>
      <c r="E876" s="168"/>
      <c r="F876" s="1"/>
      <c r="G876" s="1"/>
    </row>
    <row r="877">
      <c r="A877" s="168"/>
      <c r="B877" s="168"/>
      <c r="C877" s="168"/>
      <c r="D877" s="168"/>
      <c r="E877" s="168"/>
      <c r="F877" s="1"/>
      <c r="G877" s="1"/>
    </row>
    <row r="878">
      <c r="A878" s="168"/>
      <c r="B878" s="168"/>
      <c r="C878" s="168"/>
      <c r="D878" s="168"/>
      <c r="E878" s="168"/>
      <c r="F878" s="1"/>
      <c r="G878" s="1"/>
    </row>
    <row r="879">
      <c r="A879" s="168"/>
      <c r="B879" s="168"/>
      <c r="C879" s="168"/>
      <c r="D879" s="168"/>
      <c r="E879" s="168"/>
      <c r="F879" s="1"/>
      <c r="G879" s="1"/>
    </row>
    <row r="880">
      <c r="A880" s="168"/>
      <c r="B880" s="168"/>
      <c r="C880" s="168"/>
      <c r="D880" s="168"/>
      <c r="E880" s="168"/>
      <c r="F880" s="1"/>
      <c r="G880" s="1"/>
    </row>
    <row r="881">
      <c r="A881" s="168"/>
      <c r="B881" s="168"/>
      <c r="C881" s="168"/>
      <c r="D881" s="168"/>
      <c r="E881" s="168"/>
      <c r="F881" s="1"/>
      <c r="G881" s="1"/>
    </row>
    <row r="882">
      <c r="A882" s="168"/>
      <c r="B882" s="168"/>
      <c r="C882" s="168"/>
      <c r="D882" s="168"/>
      <c r="E882" s="168"/>
      <c r="F882" s="1"/>
      <c r="G882" s="1"/>
    </row>
    <row r="883">
      <c r="A883" s="168"/>
      <c r="B883" s="168"/>
      <c r="C883" s="168"/>
      <c r="D883" s="168"/>
      <c r="E883" s="168"/>
      <c r="F883" s="1"/>
      <c r="G883" s="1"/>
    </row>
    <row r="884">
      <c r="A884" s="168"/>
      <c r="B884" s="168"/>
      <c r="C884" s="168"/>
      <c r="D884" s="168"/>
      <c r="E884" s="168"/>
      <c r="F884" s="1"/>
      <c r="G884" s="1"/>
    </row>
    <row r="885">
      <c r="A885" s="168"/>
      <c r="B885" s="168"/>
      <c r="C885" s="168"/>
      <c r="D885" s="168"/>
      <c r="E885" s="168"/>
      <c r="F885" s="1"/>
      <c r="G885" s="1"/>
    </row>
    <row r="886">
      <c r="A886" s="168"/>
      <c r="B886" s="168"/>
      <c r="C886" s="168"/>
      <c r="D886" s="168"/>
      <c r="E886" s="168"/>
      <c r="F886" s="1"/>
      <c r="G886" s="1"/>
    </row>
    <row r="887">
      <c r="A887" s="168"/>
      <c r="B887" s="168"/>
      <c r="C887" s="168"/>
      <c r="D887" s="168"/>
      <c r="E887" s="168"/>
      <c r="F887" s="1"/>
      <c r="G887" s="1"/>
    </row>
    <row r="888">
      <c r="A888" s="168"/>
      <c r="B888" s="168"/>
      <c r="C888" s="168"/>
      <c r="D888" s="168"/>
      <c r="E888" s="168"/>
      <c r="F888" s="1"/>
      <c r="G888" s="1"/>
    </row>
    <row r="889">
      <c r="A889" s="168"/>
      <c r="B889" s="168"/>
      <c r="C889" s="168"/>
      <c r="D889" s="168"/>
      <c r="E889" s="168"/>
      <c r="F889" s="1"/>
      <c r="G889" s="1"/>
    </row>
    <row r="890">
      <c r="A890" s="168"/>
      <c r="B890" s="168"/>
      <c r="C890" s="168"/>
      <c r="D890" s="168"/>
      <c r="E890" s="168"/>
      <c r="F890" s="1"/>
      <c r="G890" s="1"/>
    </row>
    <row r="891">
      <c r="A891" s="168"/>
      <c r="B891" s="168"/>
      <c r="C891" s="168"/>
      <c r="D891" s="168"/>
      <c r="E891" s="168"/>
      <c r="F891" s="1"/>
      <c r="G891" s="1"/>
    </row>
    <row r="892">
      <c r="A892" s="168"/>
      <c r="B892" s="168"/>
      <c r="C892" s="168"/>
      <c r="D892" s="168"/>
      <c r="E892" s="168"/>
      <c r="F892" s="1"/>
      <c r="G892" s="1"/>
    </row>
    <row r="893">
      <c r="A893" s="168"/>
      <c r="B893" s="168"/>
      <c r="C893" s="168"/>
      <c r="D893" s="168"/>
      <c r="E893" s="168"/>
      <c r="F893" s="1"/>
      <c r="G893" s="1"/>
    </row>
    <row r="894">
      <c r="A894" s="168"/>
      <c r="B894" s="168"/>
      <c r="C894" s="168"/>
      <c r="D894" s="168"/>
      <c r="E894" s="168"/>
      <c r="F894" s="1"/>
      <c r="G894" s="1"/>
    </row>
    <row r="895">
      <c r="A895" s="168"/>
      <c r="B895" s="168"/>
      <c r="C895" s="168"/>
      <c r="D895" s="168"/>
      <c r="E895" s="168"/>
      <c r="F895" s="1"/>
      <c r="G895" s="1"/>
    </row>
    <row r="896">
      <c r="A896" s="168"/>
      <c r="B896" s="168"/>
      <c r="C896" s="168"/>
      <c r="D896" s="168"/>
      <c r="E896" s="168"/>
      <c r="F896" s="1"/>
      <c r="G896" s="1"/>
    </row>
    <row r="897">
      <c r="A897" s="168"/>
      <c r="B897" s="168"/>
      <c r="C897" s="168"/>
      <c r="D897" s="168"/>
      <c r="E897" s="168"/>
      <c r="F897" s="1"/>
      <c r="G897" s="1"/>
    </row>
    <row r="898">
      <c r="A898" s="168"/>
      <c r="B898" s="168"/>
      <c r="C898" s="168"/>
      <c r="D898" s="168"/>
      <c r="E898" s="168"/>
      <c r="F898" s="1"/>
      <c r="G898" s="1"/>
    </row>
    <row r="899">
      <c r="A899" s="168"/>
      <c r="B899" s="168"/>
      <c r="C899" s="168"/>
      <c r="D899" s="168"/>
      <c r="E899" s="168"/>
      <c r="F899" s="1"/>
      <c r="G899" s="1"/>
    </row>
    <row r="900">
      <c r="A900" s="168"/>
      <c r="B900" s="168"/>
      <c r="C900" s="168"/>
      <c r="D900" s="168"/>
      <c r="E900" s="168"/>
      <c r="F900" s="1"/>
      <c r="G900" s="1"/>
    </row>
    <row r="901">
      <c r="A901" s="168"/>
      <c r="B901" s="168"/>
      <c r="C901" s="168"/>
      <c r="D901" s="168"/>
      <c r="E901" s="168"/>
      <c r="F901" s="1"/>
      <c r="G901" s="1"/>
    </row>
    <row r="902">
      <c r="A902" s="168"/>
      <c r="B902" s="168"/>
      <c r="C902" s="168"/>
      <c r="D902" s="168"/>
      <c r="E902" s="168"/>
      <c r="F902" s="1"/>
      <c r="G902" s="1"/>
    </row>
    <row r="903">
      <c r="A903" s="168"/>
      <c r="B903" s="168"/>
      <c r="C903" s="168"/>
      <c r="D903" s="168"/>
      <c r="E903" s="168"/>
      <c r="F903" s="1"/>
      <c r="G903" s="1"/>
    </row>
    <row r="904">
      <c r="A904" s="168"/>
      <c r="B904" s="168"/>
      <c r="C904" s="168"/>
      <c r="D904" s="168"/>
      <c r="E904" s="168"/>
      <c r="F904" s="1"/>
      <c r="G904" s="1"/>
    </row>
    <row r="905">
      <c r="A905" s="168"/>
      <c r="B905" s="168"/>
      <c r="C905" s="168"/>
      <c r="D905" s="168"/>
      <c r="E905" s="168"/>
      <c r="F905" s="1"/>
      <c r="G905" s="1"/>
    </row>
    <row r="906">
      <c r="A906" s="168"/>
      <c r="B906" s="168"/>
      <c r="C906" s="168"/>
      <c r="D906" s="168"/>
      <c r="E906" s="168"/>
      <c r="F906" s="1"/>
      <c r="G906" s="1"/>
    </row>
    <row r="907">
      <c r="A907" s="168"/>
      <c r="B907" s="168"/>
      <c r="C907" s="168"/>
      <c r="D907" s="168"/>
      <c r="E907" s="168"/>
      <c r="F907" s="1"/>
      <c r="G907" s="1"/>
    </row>
    <row r="908">
      <c r="A908" s="168"/>
      <c r="B908" s="168"/>
      <c r="C908" s="168"/>
      <c r="D908" s="168"/>
      <c r="E908" s="168"/>
      <c r="F908" s="1"/>
      <c r="G908" s="1"/>
    </row>
    <row r="909">
      <c r="A909" s="168"/>
      <c r="B909" s="168"/>
      <c r="C909" s="168"/>
      <c r="D909" s="168"/>
      <c r="E909" s="168"/>
      <c r="F909" s="1"/>
      <c r="G909" s="1"/>
    </row>
    <row r="910">
      <c r="A910" s="168"/>
      <c r="B910" s="168"/>
      <c r="C910" s="168"/>
      <c r="D910" s="168"/>
      <c r="E910" s="168"/>
      <c r="F910" s="1"/>
      <c r="G910" s="1"/>
    </row>
    <row r="911">
      <c r="A911" s="168"/>
      <c r="B911" s="168"/>
      <c r="C911" s="168"/>
      <c r="D911" s="168"/>
      <c r="E911" s="168"/>
      <c r="F911" s="1"/>
      <c r="G911" s="1"/>
    </row>
    <row r="912">
      <c r="A912" s="168"/>
      <c r="B912" s="168"/>
      <c r="C912" s="168"/>
      <c r="D912" s="168"/>
      <c r="E912" s="168"/>
      <c r="F912" s="1"/>
      <c r="G912" s="1"/>
    </row>
    <row r="913">
      <c r="A913" s="168"/>
      <c r="B913" s="168"/>
      <c r="C913" s="168"/>
      <c r="D913" s="168"/>
      <c r="E913" s="168"/>
      <c r="F913" s="1"/>
      <c r="G913" s="1"/>
    </row>
    <row r="914">
      <c r="A914" s="168"/>
      <c r="B914" s="168"/>
      <c r="C914" s="168"/>
      <c r="D914" s="168"/>
      <c r="E914" s="168"/>
      <c r="F914" s="1"/>
      <c r="G914" s="1"/>
    </row>
    <row r="915">
      <c r="A915" s="168"/>
      <c r="B915" s="168"/>
      <c r="C915" s="168"/>
      <c r="D915" s="168"/>
      <c r="E915" s="168"/>
      <c r="F915" s="1"/>
      <c r="G915" s="1"/>
    </row>
    <row r="916">
      <c r="A916" s="168"/>
      <c r="B916" s="168"/>
      <c r="C916" s="168"/>
      <c r="D916" s="168"/>
      <c r="E916" s="168"/>
      <c r="F916" s="1"/>
      <c r="G916" s="1"/>
    </row>
    <row r="917">
      <c r="A917" s="168"/>
      <c r="B917" s="168"/>
      <c r="C917" s="168"/>
      <c r="D917" s="168"/>
      <c r="E917" s="168"/>
      <c r="F917" s="1"/>
      <c r="G917" s="1"/>
    </row>
    <row r="918">
      <c r="A918" s="168"/>
      <c r="B918" s="168"/>
      <c r="C918" s="168"/>
      <c r="D918" s="168"/>
      <c r="E918" s="168"/>
      <c r="F918" s="1"/>
      <c r="G918" s="1"/>
    </row>
    <row r="919">
      <c r="A919" s="168"/>
      <c r="B919" s="168"/>
      <c r="C919" s="168"/>
      <c r="D919" s="168"/>
      <c r="E919" s="168"/>
      <c r="F919" s="1"/>
      <c r="G919" s="1"/>
    </row>
    <row r="920">
      <c r="A920" s="168"/>
      <c r="B920" s="168"/>
      <c r="C920" s="168"/>
      <c r="D920" s="168"/>
      <c r="E920" s="168"/>
      <c r="F920" s="1"/>
      <c r="G920" s="1"/>
    </row>
    <row r="921">
      <c r="A921" s="168"/>
      <c r="B921" s="168"/>
      <c r="C921" s="168"/>
      <c r="D921" s="168"/>
      <c r="E921" s="168"/>
      <c r="F921" s="1"/>
      <c r="G921" s="1"/>
    </row>
    <row r="922">
      <c r="A922" s="168"/>
      <c r="B922" s="168"/>
      <c r="C922" s="168"/>
      <c r="D922" s="168"/>
      <c r="E922" s="168"/>
      <c r="F922" s="1"/>
      <c r="G922" s="1"/>
    </row>
    <row r="923">
      <c r="A923" s="168"/>
      <c r="B923" s="168"/>
      <c r="C923" s="168"/>
      <c r="D923" s="168"/>
      <c r="E923" s="168"/>
      <c r="F923" s="1"/>
      <c r="G923" s="1"/>
    </row>
    <row r="924">
      <c r="A924" s="168"/>
      <c r="B924" s="168"/>
      <c r="C924" s="168"/>
      <c r="D924" s="168"/>
      <c r="E924" s="168"/>
      <c r="F924" s="1"/>
      <c r="G924" s="1"/>
    </row>
    <row r="925">
      <c r="A925" s="168"/>
      <c r="B925" s="168"/>
      <c r="C925" s="168"/>
      <c r="D925" s="168"/>
      <c r="E925" s="168"/>
      <c r="F925" s="1"/>
      <c r="G925" s="1"/>
    </row>
    <row r="926">
      <c r="A926" s="168"/>
      <c r="B926" s="168"/>
      <c r="C926" s="168"/>
      <c r="D926" s="168"/>
      <c r="E926" s="168"/>
      <c r="F926" s="1"/>
      <c r="G926" s="1"/>
    </row>
    <row r="927">
      <c r="A927" s="168"/>
      <c r="B927" s="168"/>
      <c r="C927" s="168"/>
      <c r="D927" s="168"/>
      <c r="E927" s="168"/>
      <c r="F927" s="1"/>
      <c r="G927" s="1"/>
    </row>
    <row r="928">
      <c r="A928" s="168"/>
      <c r="B928" s="168"/>
      <c r="C928" s="168"/>
      <c r="D928" s="168"/>
      <c r="E928" s="168"/>
      <c r="F928" s="1"/>
      <c r="G928" s="1"/>
    </row>
    <row r="929">
      <c r="A929" s="168"/>
      <c r="B929" s="168"/>
      <c r="C929" s="168"/>
      <c r="D929" s="168"/>
      <c r="E929" s="168"/>
      <c r="F929" s="1"/>
      <c r="G929" s="1"/>
    </row>
    <row r="930">
      <c r="A930" s="168"/>
      <c r="B930" s="168"/>
      <c r="C930" s="168"/>
      <c r="D930" s="168"/>
      <c r="E930" s="168"/>
      <c r="F930" s="1"/>
      <c r="G930" s="1"/>
    </row>
    <row r="931">
      <c r="A931" s="168"/>
      <c r="B931" s="168"/>
      <c r="C931" s="168"/>
      <c r="D931" s="168"/>
      <c r="E931" s="168"/>
      <c r="F931" s="1"/>
      <c r="G931" s="1"/>
    </row>
    <row r="932">
      <c r="A932" s="168"/>
      <c r="B932" s="168"/>
      <c r="C932" s="168"/>
      <c r="D932" s="168"/>
      <c r="E932" s="168"/>
      <c r="F932" s="1"/>
      <c r="G932" s="1"/>
    </row>
    <row r="933">
      <c r="A933" s="168"/>
      <c r="B933" s="168"/>
      <c r="C933" s="168"/>
      <c r="D933" s="168"/>
      <c r="E933" s="168"/>
      <c r="F933" s="1"/>
      <c r="G933" s="1"/>
    </row>
    <row r="934">
      <c r="A934" s="168"/>
      <c r="B934" s="168"/>
      <c r="C934" s="168"/>
      <c r="D934" s="168"/>
      <c r="E934" s="168"/>
      <c r="F934" s="1"/>
      <c r="G934" s="1"/>
    </row>
    <row r="935">
      <c r="A935" s="168"/>
      <c r="B935" s="168"/>
      <c r="C935" s="168"/>
      <c r="D935" s="168"/>
      <c r="E935" s="168"/>
      <c r="F935" s="1"/>
      <c r="G935" s="1"/>
    </row>
    <row r="936">
      <c r="A936" s="168"/>
      <c r="B936" s="168"/>
      <c r="C936" s="168"/>
      <c r="D936" s="168"/>
      <c r="E936" s="168"/>
      <c r="F936" s="1"/>
      <c r="G936" s="1"/>
    </row>
    <row r="937">
      <c r="A937" s="168"/>
      <c r="B937" s="168"/>
      <c r="C937" s="168"/>
      <c r="D937" s="168"/>
      <c r="E937" s="168"/>
      <c r="F937" s="1"/>
      <c r="G937" s="1"/>
    </row>
    <row r="938">
      <c r="A938" s="168"/>
      <c r="B938" s="168"/>
      <c r="C938" s="168"/>
      <c r="D938" s="168"/>
      <c r="E938" s="168"/>
      <c r="F938" s="1"/>
      <c r="G938" s="1"/>
    </row>
    <row r="939">
      <c r="A939" s="168"/>
      <c r="B939" s="168"/>
      <c r="C939" s="168"/>
      <c r="D939" s="168"/>
      <c r="E939" s="168"/>
      <c r="F939" s="1"/>
      <c r="G939" s="1"/>
    </row>
    <row r="940">
      <c r="A940" s="168"/>
      <c r="B940" s="168"/>
      <c r="C940" s="168"/>
      <c r="D940" s="168"/>
      <c r="E940" s="168"/>
      <c r="F940" s="1"/>
      <c r="G940" s="1"/>
    </row>
    <row r="941">
      <c r="A941" s="168"/>
      <c r="B941" s="168"/>
      <c r="C941" s="168"/>
      <c r="D941" s="168"/>
      <c r="E941" s="168"/>
      <c r="F941" s="1"/>
      <c r="G941" s="1"/>
    </row>
    <row r="942">
      <c r="A942" s="168"/>
      <c r="B942" s="168"/>
      <c r="C942" s="168"/>
      <c r="D942" s="168"/>
      <c r="E942" s="168"/>
      <c r="F942" s="1"/>
      <c r="G942" s="1"/>
    </row>
    <row r="943">
      <c r="A943" s="168"/>
      <c r="B943" s="168"/>
      <c r="C943" s="168"/>
      <c r="D943" s="168"/>
      <c r="E943" s="168"/>
      <c r="F943" s="1"/>
      <c r="G943" s="1"/>
    </row>
    <row r="944">
      <c r="A944" s="168"/>
      <c r="B944" s="168"/>
      <c r="C944" s="168"/>
      <c r="D944" s="168"/>
      <c r="E944" s="168"/>
      <c r="F944" s="1"/>
      <c r="G944" s="1"/>
    </row>
    <row r="945">
      <c r="A945" s="168"/>
      <c r="B945" s="168"/>
      <c r="C945" s="168"/>
      <c r="D945" s="168"/>
      <c r="E945" s="168"/>
      <c r="F945" s="1"/>
      <c r="G945" s="1"/>
    </row>
    <row r="946">
      <c r="A946" s="168"/>
      <c r="B946" s="168"/>
      <c r="C946" s="168"/>
      <c r="D946" s="168"/>
      <c r="E946" s="168"/>
      <c r="F946" s="1"/>
      <c r="G946" s="1"/>
    </row>
    <row r="947">
      <c r="A947" s="168"/>
      <c r="B947" s="168"/>
      <c r="C947" s="168"/>
      <c r="D947" s="168"/>
      <c r="E947" s="168"/>
      <c r="F947" s="1"/>
      <c r="G947" s="1"/>
    </row>
    <row r="948">
      <c r="A948" s="168"/>
      <c r="B948" s="168"/>
      <c r="C948" s="168"/>
      <c r="D948" s="168"/>
      <c r="E948" s="168"/>
      <c r="F948" s="1"/>
      <c r="G948" s="1"/>
    </row>
    <row r="949">
      <c r="A949" s="168"/>
      <c r="B949" s="168"/>
      <c r="C949" s="168"/>
      <c r="D949" s="168"/>
      <c r="E949" s="168"/>
      <c r="F949" s="1"/>
      <c r="G949" s="1"/>
    </row>
    <row r="950">
      <c r="A950" s="168"/>
      <c r="B950" s="168"/>
      <c r="C950" s="168"/>
      <c r="D950" s="168"/>
      <c r="E950" s="168"/>
      <c r="F950" s="1"/>
      <c r="G950" s="1"/>
    </row>
    <row r="951">
      <c r="A951" s="168"/>
      <c r="B951" s="168"/>
      <c r="C951" s="168"/>
      <c r="D951" s="168"/>
      <c r="E951" s="168"/>
      <c r="F951" s="1"/>
      <c r="G951" s="1"/>
    </row>
    <row r="952">
      <c r="A952" s="168"/>
      <c r="B952" s="168"/>
      <c r="C952" s="168"/>
      <c r="D952" s="168"/>
      <c r="E952" s="168"/>
      <c r="F952" s="1"/>
      <c r="G952" s="1"/>
    </row>
    <row r="953">
      <c r="A953" s="168"/>
      <c r="B953" s="168"/>
      <c r="C953" s="168"/>
      <c r="D953" s="168"/>
      <c r="E953" s="168"/>
      <c r="F953" s="1"/>
      <c r="G953" s="1"/>
    </row>
    <row r="954">
      <c r="A954" s="168"/>
      <c r="B954" s="168"/>
      <c r="C954" s="168"/>
      <c r="D954" s="168"/>
      <c r="E954" s="168"/>
      <c r="F954" s="1"/>
      <c r="G954" s="1"/>
    </row>
    <row r="955">
      <c r="A955" s="168"/>
      <c r="B955" s="168"/>
      <c r="C955" s="168"/>
      <c r="D955" s="168"/>
      <c r="E955" s="168"/>
      <c r="F955" s="1"/>
      <c r="G955" s="1"/>
    </row>
    <row r="956">
      <c r="A956" s="168"/>
      <c r="B956" s="168"/>
      <c r="C956" s="168"/>
      <c r="D956" s="168"/>
      <c r="E956" s="168"/>
      <c r="F956" s="1"/>
      <c r="G956" s="1"/>
    </row>
    <row r="957">
      <c r="A957" s="168"/>
      <c r="B957" s="168"/>
      <c r="C957" s="168"/>
      <c r="D957" s="168"/>
      <c r="E957" s="168"/>
      <c r="F957" s="1"/>
      <c r="G957" s="1"/>
    </row>
    <row r="958">
      <c r="A958" s="168"/>
      <c r="B958" s="168"/>
      <c r="C958" s="168"/>
      <c r="D958" s="168"/>
      <c r="E958" s="168"/>
      <c r="F958" s="1"/>
      <c r="G958" s="1"/>
    </row>
    <row r="959">
      <c r="A959" s="168"/>
      <c r="B959" s="168"/>
      <c r="C959" s="168"/>
      <c r="D959" s="168"/>
      <c r="E959" s="168"/>
      <c r="F959" s="1"/>
      <c r="G959" s="1"/>
    </row>
    <row r="960">
      <c r="A960" s="168"/>
      <c r="B960" s="168"/>
      <c r="C960" s="168"/>
      <c r="D960" s="168"/>
      <c r="E960" s="168"/>
      <c r="F960" s="1"/>
      <c r="G960" s="1"/>
    </row>
    <row r="961">
      <c r="A961" s="168"/>
      <c r="B961" s="168"/>
      <c r="C961" s="168"/>
      <c r="D961" s="168"/>
      <c r="E961" s="168"/>
      <c r="F961" s="1"/>
      <c r="G961" s="1"/>
    </row>
    <row r="962">
      <c r="A962" s="168"/>
      <c r="B962" s="168"/>
      <c r="C962" s="168"/>
      <c r="D962" s="168"/>
      <c r="E962" s="168"/>
      <c r="F962" s="1"/>
      <c r="G962" s="1"/>
    </row>
    <row r="963">
      <c r="A963" s="168"/>
      <c r="B963" s="168"/>
      <c r="C963" s="168"/>
      <c r="D963" s="168"/>
      <c r="E963" s="168"/>
      <c r="F963" s="1"/>
      <c r="G963" s="1"/>
    </row>
    <row r="964">
      <c r="A964" s="168"/>
      <c r="B964" s="168"/>
      <c r="C964" s="168"/>
      <c r="D964" s="168"/>
      <c r="E964" s="168"/>
      <c r="F964" s="1"/>
      <c r="G964" s="1"/>
    </row>
    <row r="965">
      <c r="A965" s="168"/>
      <c r="B965" s="168"/>
      <c r="C965" s="168"/>
      <c r="D965" s="168"/>
      <c r="E965" s="168"/>
      <c r="F965" s="1"/>
      <c r="G965" s="1"/>
    </row>
    <row r="966">
      <c r="A966" s="168"/>
      <c r="B966" s="168"/>
      <c r="C966" s="168"/>
      <c r="D966" s="168"/>
      <c r="E966" s="168"/>
      <c r="F966" s="1"/>
      <c r="G966" s="1"/>
    </row>
    <row r="967">
      <c r="A967" s="168"/>
      <c r="B967" s="168"/>
      <c r="C967" s="168"/>
      <c r="D967" s="168"/>
      <c r="E967" s="168"/>
      <c r="F967" s="1"/>
      <c r="G967" s="1"/>
    </row>
    <row r="968">
      <c r="A968" s="168"/>
      <c r="B968" s="168"/>
      <c r="C968" s="168"/>
      <c r="D968" s="168"/>
      <c r="E968" s="168"/>
      <c r="F968" s="1"/>
      <c r="G968" s="1"/>
    </row>
    <row r="969">
      <c r="A969" s="168"/>
      <c r="B969" s="168"/>
      <c r="C969" s="168"/>
      <c r="D969" s="168"/>
      <c r="E969" s="168"/>
      <c r="F969" s="1"/>
      <c r="G969" s="1"/>
    </row>
    <row r="970">
      <c r="A970" s="168"/>
      <c r="B970" s="168"/>
      <c r="C970" s="168"/>
      <c r="D970" s="168"/>
      <c r="E970" s="168"/>
      <c r="F970" s="1"/>
      <c r="G970" s="1"/>
    </row>
    <row r="971">
      <c r="A971" s="168"/>
      <c r="B971" s="168"/>
      <c r="C971" s="168"/>
      <c r="D971" s="168"/>
      <c r="E971" s="168"/>
      <c r="F971" s="1"/>
      <c r="G971" s="1"/>
    </row>
    <row r="972">
      <c r="A972" s="168"/>
      <c r="B972" s="168"/>
      <c r="C972" s="168"/>
      <c r="D972" s="168"/>
      <c r="E972" s="168"/>
      <c r="F972" s="1"/>
      <c r="G972" s="1"/>
    </row>
    <row r="973">
      <c r="A973" s="168"/>
      <c r="B973" s="168"/>
      <c r="C973" s="168"/>
      <c r="D973" s="168"/>
      <c r="E973" s="168"/>
      <c r="F973" s="1"/>
      <c r="G973" s="1"/>
    </row>
    <row r="974">
      <c r="A974" s="168"/>
      <c r="B974" s="168"/>
      <c r="C974" s="168"/>
      <c r="D974" s="168"/>
      <c r="E974" s="168"/>
      <c r="F974" s="1"/>
      <c r="G974" s="1"/>
    </row>
    <row r="975">
      <c r="A975" s="168"/>
      <c r="B975" s="168"/>
      <c r="C975" s="168"/>
      <c r="D975" s="168"/>
      <c r="E975" s="168"/>
      <c r="F975" s="1"/>
      <c r="G975" s="1"/>
    </row>
    <row r="976">
      <c r="A976" s="168"/>
      <c r="B976" s="168"/>
      <c r="C976" s="168"/>
      <c r="D976" s="168"/>
      <c r="E976" s="168"/>
      <c r="F976" s="1"/>
      <c r="G976" s="1"/>
    </row>
    <row r="977">
      <c r="A977" s="168"/>
      <c r="B977" s="168"/>
      <c r="C977" s="168"/>
      <c r="D977" s="168"/>
      <c r="E977" s="168"/>
      <c r="F977" s="1"/>
      <c r="G977" s="1"/>
    </row>
    <row r="978">
      <c r="A978" s="168"/>
      <c r="B978" s="168"/>
      <c r="C978" s="168"/>
      <c r="D978" s="168"/>
      <c r="E978" s="168"/>
      <c r="F978" s="1"/>
      <c r="G978" s="1"/>
    </row>
    <row r="979">
      <c r="A979" s="168"/>
      <c r="B979" s="168"/>
      <c r="C979" s="168"/>
      <c r="D979" s="168"/>
      <c r="E979" s="168"/>
      <c r="F979" s="1"/>
      <c r="G979" s="1"/>
    </row>
    <row r="980">
      <c r="A980" s="168"/>
      <c r="B980" s="168"/>
      <c r="C980" s="168"/>
      <c r="D980" s="168"/>
      <c r="E980" s="168"/>
      <c r="F980" s="1"/>
      <c r="G980" s="1"/>
    </row>
    <row r="981">
      <c r="A981" s="168"/>
      <c r="B981" s="168"/>
      <c r="C981" s="168"/>
      <c r="D981" s="168"/>
      <c r="E981" s="168"/>
      <c r="F981" s="1"/>
      <c r="G981" s="1"/>
    </row>
    <row r="982">
      <c r="A982" s="168"/>
      <c r="B982" s="168"/>
      <c r="C982" s="168"/>
      <c r="D982" s="168"/>
      <c r="E982" s="168"/>
      <c r="F982" s="1"/>
      <c r="G982" s="1"/>
    </row>
    <row r="983">
      <c r="A983" s="168"/>
      <c r="B983" s="168"/>
      <c r="C983" s="168"/>
      <c r="D983" s="168"/>
      <c r="E983" s="168"/>
      <c r="F983" s="1"/>
      <c r="G983" s="1"/>
    </row>
    <row r="984">
      <c r="A984" s="168"/>
      <c r="B984" s="168"/>
      <c r="C984" s="168"/>
      <c r="D984" s="168"/>
      <c r="E984" s="168"/>
      <c r="F984" s="1"/>
      <c r="G984" s="1"/>
    </row>
    <row r="985">
      <c r="A985" s="168"/>
      <c r="B985" s="168"/>
      <c r="C985" s="168"/>
      <c r="D985" s="168"/>
      <c r="E985" s="168"/>
      <c r="F985" s="1"/>
      <c r="G985" s="1"/>
    </row>
    <row r="986">
      <c r="A986" s="168"/>
      <c r="B986" s="168"/>
      <c r="C986" s="168"/>
      <c r="D986" s="168"/>
      <c r="E986" s="168"/>
      <c r="F986" s="1"/>
      <c r="G986" s="1"/>
    </row>
    <row r="987">
      <c r="A987" s="168"/>
      <c r="B987" s="168"/>
      <c r="C987" s="168"/>
      <c r="D987" s="168"/>
      <c r="E987" s="168"/>
      <c r="F987" s="1"/>
      <c r="G987" s="1"/>
    </row>
    <row r="988">
      <c r="A988" s="168"/>
      <c r="B988" s="168"/>
      <c r="C988" s="168"/>
      <c r="D988" s="168"/>
      <c r="E988" s="168"/>
      <c r="F988" s="1"/>
      <c r="G988" s="1"/>
    </row>
    <row r="989">
      <c r="A989" s="168"/>
      <c r="B989" s="168"/>
      <c r="C989" s="168"/>
      <c r="D989" s="168"/>
      <c r="E989" s="168"/>
      <c r="F989" s="1"/>
      <c r="G989" s="1"/>
    </row>
    <row r="990">
      <c r="A990" s="168"/>
      <c r="B990" s="168"/>
      <c r="C990" s="168"/>
      <c r="D990" s="168"/>
      <c r="E990" s="168"/>
      <c r="F990" s="1"/>
      <c r="G990" s="1"/>
    </row>
    <row r="991">
      <c r="A991" s="168"/>
      <c r="B991" s="168"/>
      <c r="C991" s="168"/>
      <c r="D991" s="168"/>
      <c r="E991" s="168"/>
      <c r="F991" s="1"/>
      <c r="G991" s="1"/>
    </row>
    <row r="992">
      <c r="A992" s="168"/>
      <c r="B992" s="168"/>
      <c r="C992" s="168"/>
      <c r="D992" s="168"/>
      <c r="E992" s="168"/>
      <c r="F992" s="1"/>
      <c r="G992" s="1"/>
    </row>
    <row r="993">
      <c r="A993" s="168"/>
      <c r="B993" s="168"/>
      <c r="C993" s="168"/>
      <c r="D993" s="168"/>
      <c r="E993" s="168"/>
      <c r="F993" s="1"/>
      <c r="G993" s="1"/>
    </row>
    <row r="994">
      <c r="A994" s="168"/>
      <c r="B994" s="168"/>
      <c r="C994" s="168"/>
      <c r="D994" s="168"/>
      <c r="E994" s="168"/>
      <c r="F994" s="1"/>
      <c r="G994" s="1"/>
    </row>
    <row r="995">
      <c r="A995" s="168"/>
      <c r="B995" s="168"/>
      <c r="C995" s="168"/>
      <c r="D995" s="168"/>
      <c r="E995" s="168"/>
      <c r="F995" s="1"/>
      <c r="G995" s="1"/>
    </row>
    <row r="996">
      <c r="A996" s="168"/>
      <c r="B996" s="168"/>
      <c r="C996" s="168"/>
      <c r="D996" s="168"/>
      <c r="E996" s="168"/>
      <c r="F996" s="1"/>
      <c r="G996" s="1"/>
    </row>
    <row r="997">
      <c r="A997" s="168"/>
      <c r="B997" s="168"/>
      <c r="C997" s="168"/>
      <c r="D997" s="168"/>
      <c r="E997" s="168"/>
      <c r="F997" s="1"/>
      <c r="G997" s="1"/>
    </row>
    <row r="998">
      <c r="A998" s="168"/>
      <c r="B998" s="168"/>
      <c r="C998" s="168"/>
      <c r="D998" s="168"/>
      <c r="E998" s="168"/>
      <c r="F998" s="1"/>
      <c r="G998" s="1"/>
    </row>
    <row r="999">
      <c r="A999" s="168"/>
      <c r="B999" s="168"/>
      <c r="C999" s="168"/>
      <c r="D999" s="168"/>
      <c r="E999" s="168"/>
      <c r="F999" s="1"/>
      <c r="G999" s="1"/>
    </row>
    <row r="1000">
      <c r="A1000" s="168"/>
      <c r="B1000" s="168"/>
      <c r="C1000" s="168"/>
      <c r="D1000" s="168"/>
      <c r="E1000" s="168"/>
      <c r="F1000" s="1"/>
      <c r="G1000" s="1"/>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4.38"/>
    <col customWidth="1" min="3" max="3" width="10.38"/>
    <col customWidth="1" min="4" max="4" width="16.5"/>
    <col customWidth="1" min="5" max="5" width="18.13"/>
    <col customWidth="1" min="6" max="6" width="20.88"/>
    <col customWidth="1" min="7" max="7" width="45.63"/>
  </cols>
  <sheetData>
    <row r="1">
      <c r="A1" s="24" t="s">
        <v>40</v>
      </c>
      <c r="B1" s="25" t="s">
        <v>41</v>
      </c>
      <c r="C1" s="25" t="s">
        <v>42</v>
      </c>
      <c r="D1" s="25" t="s">
        <v>43</v>
      </c>
      <c r="E1" s="25" t="s">
        <v>44</v>
      </c>
      <c r="F1" s="26" t="s">
        <v>7</v>
      </c>
      <c r="G1" s="26" t="s">
        <v>45</v>
      </c>
      <c r="H1" s="27"/>
    </row>
    <row r="2">
      <c r="A2" s="28" t="s">
        <v>46</v>
      </c>
      <c r="B2" s="29">
        <v>92.180856</v>
      </c>
      <c r="C2" s="29" t="s">
        <v>47</v>
      </c>
      <c r="D2" s="30">
        <f>data_1!F20</f>
        <v>92.180856</v>
      </c>
      <c r="E2" s="31" t="b">
        <f t="shared" ref="E2:E32" si="1">(B2=D2)</f>
        <v>1</v>
      </c>
      <c r="F2" s="32"/>
      <c r="G2" s="33"/>
      <c r="H2" s="33"/>
    </row>
    <row r="3">
      <c r="A3" s="28" t="s">
        <v>48</v>
      </c>
      <c r="B3" s="34">
        <f>30/(73.8 + 46.7 + 1.86 + 25 + 68.66)</f>
        <v>0.13887603</v>
      </c>
      <c r="C3" s="35"/>
      <c r="D3" s="36">
        <f>30/(73.8 + 46.7 + 1.86 + 25 + 68.66)</f>
        <v>0.13887603</v>
      </c>
      <c r="E3" s="31" t="b">
        <f t="shared" si="1"/>
        <v>1</v>
      </c>
      <c r="F3" s="37" t="s">
        <v>49</v>
      </c>
      <c r="G3" s="38" t="s">
        <v>50</v>
      </c>
      <c r="H3" s="39"/>
      <c r="I3" s="1"/>
      <c r="J3" s="1"/>
      <c r="K3" s="1"/>
      <c r="L3" s="1"/>
      <c r="M3" s="1"/>
      <c r="N3" s="1"/>
    </row>
    <row r="4">
      <c r="A4" s="28" t="s">
        <v>51</v>
      </c>
      <c r="B4" s="40">
        <v>0.04600294261893085</v>
      </c>
      <c r="C4" s="31"/>
      <c r="D4" s="41">
        <f>flourish_7!K2</f>
        <v>0.04600294262</v>
      </c>
      <c r="E4" s="31" t="b">
        <f t="shared" si="1"/>
        <v>1</v>
      </c>
      <c r="F4" s="32"/>
      <c r="G4" s="38" t="s">
        <v>52</v>
      </c>
      <c r="H4" s="39"/>
      <c r="I4" s="42"/>
      <c r="J4" s="42"/>
      <c r="K4" s="42"/>
      <c r="L4" s="42"/>
      <c r="M4" s="42"/>
      <c r="N4" s="42"/>
    </row>
    <row r="5">
      <c r="A5" s="28" t="s">
        <v>51</v>
      </c>
      <c r="B5" s="40">
        <v>0.05896404324867991</v>
      </c>
      <c r="C5" s="31"/>
      <c r="D5" s="41">
        <f>flourish_7!K3</f>
        <v>0.05896404325</v>
      </c>
      <c r="E5" s="31" t="b">
        <f t="shared" si="1"/>
        <v>1</v>
      </c>
      <c r="F5" s="32"/>
      <c r="G5" s="38" t="s">
        <v>53</v>
      </c>
      <c r="H5" s="39"/>
      <c r="I5" s="42"/>
      <c r="J5" s="42"/>
      <c r="K5" s="42"/>
      <c r="L5" s="42"/>
      <c r="M5" s="42"/>
      <c r="N5" s="42"/>
    </row>
    <row r="6">
      <c r="A6" s="28" t="s">
        <v>54</v>
      </c>
      <c r="B6" s="40">
        <v>0.1205682675383455</v>
      </c>
      <c r="C6" s="31"/>
      <c r="D6" s="41">
        <f>flourish_7!J3</f>
        <v>0.1205682675</v>
      </c>
      <c r="E6" s="31" t="b">
        <f t="shared" si="1"/>
        <v>1</v>
      </c>
      <c r="F6" s="32"/>
      <c r="G6" s="38" t="s">
        <v>55</v>
      </c>
      <c r="H6" s="39"/>
      <c r="I6" s="42"/>
      <c r="J6" s="42"/>
      <c r="K6" s="42"/>
      <c r="L6" s="42"/>
      <c r="M6" s="42"/>
      <c r="N6" s="42"/>
    </row>
    <row r="7">
      <c r="A7" s="28" t="s">
        <v>56</v>
      </c>
      <c r="B7" s="43">
        <v>70.2</v>
      </c>
      <c r="C7" s="29" t="s">
        <v>47</v>
      </c>
      <c r="D7" s="44">
        <f>data_aviation!G7</f>
        <v>70.2</v>
      </c>
      <c r="E7" s="31" t="b">
        <f t="shared" si="1"/>
        <v>1</v>
      </c>
      <c r="F7" s="32"/>
      <c r="G7" s="33"/>
      <c r="H7" s="33"/>
    </row>
    <row r="8">
      <c r="A8" s="28" t="s">
        <v>57</v>
      </c>
      <c r="B8" s="45">
        <v>50.0</v>
      </c>
      <c r="C8" s="29" t="s">
        <v>47</v>
      </c>
      <c r="D8" s="46">
        <v>50.0</v>
      </c>
      <c r="E8" s="31" t="b">
        <f t="shared" si="1"/>
        <v>1</v>
      </c>
      <c r="F8" s="47" t="s">
        <v>58</v>
      </c>
      <c r="G8" s="32" t="s">
        <v>59</v>
      </c>
      <c r="H8" s="48"/>
    </row>
    <row r="9">
      <c r="A9" s="28" t="s">
        <v>57</v>
      </c>
      <c r="B9" s="35">
        <v>243.0</v>
      </c>
      <c r="C9" s="29" t="s">
        <v>47</v>
      </c>
      <c r="D9" s="46">
        <v>243.0</v>
      </c>
      <c r="E9" s="31" t="b">
        <f t="shared" si="1"/>
        <v>1</v>
      </c>
      <c r="F9" s="47" t="s">
        <v>60</v>
      </c>
      <c r="G9" s="32" t="s">
        <v>59</v>
      </c>
      <c r="H9" s="48"/>
    </row>
    <row r="10">
      <c r="A10" s="49" t="s">
        <v>61</v>
      </c>
      <c r="B10" s="29">
        <v>20.080197999999996</v>
      </c>
      <c r="C10" s="29" t="s">
        <v>47</v>
      </c>
      <c r="D10" s="30">
        <f>data_1_sustainable_biogenic_supply-data_1_sustainable_biogenic_supply_50km_away_from_pipelines</f>
        <v>20.080198</v>
      </c>
      <c r="E10" s="31" t="b">
        <f t="shared" si="1"/>
        <v>1</v>
      </c>
      <c r="F10" s="50" t="s">
        <v>62</v>
      </c>
      <c r="G10" s="32" t="s">
        <v>63</v>
      </c>
      <c r="H10" s="48"/>
    </row>
    <row r="11">
      <c r="A11" s="49" t="s">
        <v>61</v>
      </c>
      <c r="B11" s="29">
        <v>29.696189000000004</v>
      </c>
      <c r="C11" s="29" t="s">
        <v>47</v>
      </c>
      <c r="D11" s="30">
        <f>data_1_sustainable_biogenic_supply-data_1_sustainable_biogenic_supply_100km_away_from_pipelines</f>
        <v>29.696189</v>
      </c>
      <c r="E11" s="31" t="b">
        <f t="shared" si="1"/>
        <v>1</v>
      </c>
      <c r="F11" s="50" t="s">
        <v>62</v>
      </c>
      <c r="G11" s="32" t="s">
        <v>63</v>
      </c>
      <c r="H11" s="48"/>
    </row>
    <row r="12">
      <c r="A12" s="28" t="s">
        <v>64</v>
      </c>
      <c r="B12" s="51">
        <v>828.0</v>
      </c>
      <c r="C12" s="29" t="s">
        <v>47</v>
      </c>
      <c r="D12" s="52">
        <v>828.0</v>
      </c>
      <c r="E12" s="31" t="b">
        <f t="shared" si="1"/>
        <v>1</v>
      </c>
      <c r="F12" s="53" t="s">
        <v>65</v>
      </c>
      <c r="G12" s="38" t="s">
        <v>66</v>
      </c>
      <c r="H12" s="39"/>
      <c r="I12" s="42"/>
      <c r="J12" s="42"/>
      <c r="K12" s="42"/>
      <c r="L12" s="42"/>
      <c r="S12" s="42"/>
      <c r="T12" s="42"/>
    </row>
    <row r="13">
      <c r="A13" s="28" t="s">
        <v>64</v>
      </c>
      <c r="B13" s="51">
        <v>240.0</v>
      </c>
      <c r="C13" s="29" t="s">
        <v>47</v>
      </c>
      <c r="D13" s="52">
        <v>240.0</v>
      </c>
      <c r="E13" s="31" t="b">
        <f t="shared" si="1"/>
        <v>1</v>
      </c>
      <c r="F13" s="53" t="s">
        <v>65</v>
      </c>
      <c r="G13" s="38" t="s">
        <v>66</v>
      </c>
      <c r="H13" s="39"/>
      <c r="I13" s="42"/>
      <c r="J13" s="42"/>
      <c r="K13" s="42"/>
      <c r="L13" s="42"/>
      <c r="S13" s="42"/>
      <c r="T13" s="42"/>
    </row>
    <row r="14">
      <c r="A14" s="28" t="s">
        <v>67</v>
      </c>
      <c r="B14" s="51">
        <v>661.0</v>
      </c>
      <c r="C14" s="29" t="s">
        <v>47</v>
      </c>
      <c r="D14" s="52">
        <v>661.0</v>
      </c>
      <c r="E14" s="31" t="b">
        <f t="shared" si="1"/>
        <v>1</v>
      </c>
      <c r="F14" s="53" t="s">
        <v>65</v>
      </c>
      <c r="G14" s="38" t="s">
        <v>66</v>
      </c>
      <c r="H14" s="39"/>
      <c r="I14" s="42"/>
      <c r="J14" s="42"/>
      <c r="K14" s="42"/>
      <c r="L14" s="42"/>
      <c r="M14" s="42"/>
      <c r="N14" s="42"/>
      <c r="O14" s="42"/>
      <c r="P14" s="42"/>
      <c r="Q14" s="42"/>
      <c r="R14" s="42"/>
      <c r="S14" s="42"/>
      <c r="T14" s="42"/>
    </row>
    <row r="15">
      <c r="A15" s="28" t="s">
        <v>67</v>
      </c>
      <c r="B15" s="51">
        <v>368.0</v>
      </c>
      <c r="C15" s="29" t="s">
        <v>47</v>
      </c>
      <c r="D15" s="52">
        <v>368.0</v>
      </c>
      <c r="E15" s="31" t="b">
        <f t="shared" si="1"/>
        <v>1</v>
      </c>
      <c r="F15" s="53" t="s">
        <v>65</v>
      </c>
      <c r="G15" s="38" t="s">
        <v>66</v>
      </c>
      <c r="H15" s="39"/>
      <c r="I15" s="42"/>
      <c r="J15" s="42"/>
      <c r="K15" s="42"/>
      <c r="L15" s="42"/>
      <c r="M15" s="42"/>
      <c r="N15" s="42"/>
      <c r="O15" s="42"/>
      <c r="P15" s="42"/>
      <c r="Q15" s="42"/>
      <c r="R15" s="42"/>
      <c r="S15" s="42"/>
      <c r="T15" s="42"/>
    </row>
    <row r="16">
      <c r="A16" s="28" t="s">
        <v>68</v>
      </c>
      <c r="B16" s="51">
        <v>112.0</v>
      </c>
      <c r="C16" s="29" t="s">
        <v>47</v>
      </c>
      <c r="D16" s="52">
        <v>112.0</v>
      </c>
      <c r="E16" s="31" t="b">
        <f t="shared" si="1"/>
        <v>1</v>
      </c>
      <c r="F16" s="50" t="s">
        <v>62</v>
      </c>
      <c r="G16" s="32" t="s">
        <v>63</v>
      </c>
      <c r="H16" s="39"/>
      <c r="I16" s="42"/>
      <c r="J16" s="42"/>
      <c r="K16" s="42"/>
      <c r="L16" s="42"/>
      <c r="M16" s="42"/>
      <c r="N16" s="42"/>
      <c r="O16" s="42"/>
      <c r="P16" s="42"/>
      <c r="Q16" s="42"/>
      <c r="R16" s="42"/>
      <c r="S16" s="42"/>
      <c r="T16" s="42"/>
    </row>
    <row r="17">
      <c r="A17" s="28" t="s">
        <v>68</v>
      </c>
      <c r="B17" s="51">
        <v>33.0</v>
      </c>
      <c r="C17" s="29" t="s">
        <v>47</v>
      </c>
      <c r="D17" s="52">
        <v>33.0</v>
      </c>
      <c r="E17" s="31" t="b">
        <f t="shared" si="1"/>
        <v>1</v>
      </c>
      <c r="F17" s="50" t="s">
        <v>62</v>
      </c>
      <c r="G17" s="32" t="s">
        <v>63</v>
      </c>
      <c r="H17" s="39"/>
      <c r="I17" s="42"/>
      <c r="J17" s="42"/>
      <c r="K17" s="42"/>
      <c r="L17" s="42"/>
      <c r="M17" s="42"/>
      <c r="N17" s="42"/>
      <c r="O17" s="42"/>
      <c r="P17" s="42"/>
      <c r="Q17" s="42"/>
      <c r="R17" s="42"/>
      <c r="S17" s="42"/>
      <c r="T17" s="42"/>
    </row>
    <row r="18">
      <c r="A18" s="28" t="s">
        <v>69</v>
      </c>
      <c r="B18" s="51">
        <v>130.0</v>
      </c>
      <c r="C18" s="29" t="s">
        <v>47</v>
      </c>
      <c r="D18" s="52">
        <v>130.0</v>
      </c>
      <c r="E18" s="31" t="b">
        <f t="shared" si="1"/>
        <v>1</v>
      </c>
      <c r="F18" s="53" t="s">
        <v>65</v>
      </c>
      <c r="G18" s="38" t="s">
        <v>70</v>
      </c>
      <c r="H18" s="39"/>
      <c r="I18" s="42"/>
      <c r="J18" s="42"/>
      <c r="K18" s="42"/>
      <c r="L18" s="42"/>
      <c r="M18" s="42"/>
      <c r="N18" s="42"/>
      <c r="O18" s="42"/>
      <c r="P18" s="42"/>
      <c r="Q18" s="42"/>
      <c r="R18" s="42"/>
      <c r="S18" s="42"/>
      <c r="T18" s="42"/>
    </row>
    <row r="19">
      <c r="A19" s="28" t="s">
        <v>69</v>
      </c>
      <c r="B19" s="51">
        <v>36.0</v>
      </c>
      <c r="C19" s="51" t="s">
        <v>71</v>
      </c>
      <c r="D19" s="52">
        <v>36.0</v>
      </c>
      <c r="E19" s="31" t="b">
        <f t="shared" si="1"/>
        <v>1</v>
      </c>
      <c r="F19" s="53" t="s">
        <v>65</v>
      </c>
      <c r="G19" s="38" t="s">
        <v>70</v>
      </c>
      <c r="H19" s="39"/>
      <c r="I19" s="42"/>
      <c r="J19" s="42"/>
      <c r="K19" s="42"/>
      <c r="L19" s="42"/>
      <c r="M19" s="42"/>
      <c r="N19" s="42"/>
      <c r="O19" s="42"/>
      <c r="P19" s="42"/>
      <c r="Q19" s="42"/>
      <c r="R19" s="42"/>
      <c r="S19" s="42"/>
      <c r="T19" s="42"/>
    </row>
    <row r="20">
      <c r="A20" s="28" t="s">
        <v>72</v>
      </c>
      <c r="B20" s="35">
        <v>280.0</v>
      </c>
      <c r="C20" s="35" t="s">
        <v>73</v>
      </c>
      <c r="D20" s="54">
        <f>80*3.5</f>
        <v>280</v>
      </c>
      <c r="E20" s="31" t="b">
        <f t="shared" si="1"/>
        <v>1</v>
      </c>
      <c r="F20" s="50"/>
      <c r="G20" s="32" t="s">
        <v>74</v>
      </c>
      <c r="H20" s="48"/>
    </row>
    <row r="21">
      <c r="A21" s="28" t="s">
        <v>72</v>
      </c>
      <c r="B21" s="35">
        <v>280.0</v>
      </c>
      <c r="C21" s="35" t="s">
        <v>73</v>
      </c>
      <c r="D21" s="54">
        <f>200*1.4</f>
        <v>280</v>
      </c>
      <c r="E21" s="31" t="b">
        <f t="shared" si="1"/>
        <v>1</v>
      </c>
      <c r="F21" s="50"/>
      <c r="G21" s="32" t="s">
        <v>75</v>
      </c>
      <c r="H21" s="48"/>
    </row>
    <row r="22">
      <c r="A22" s="28" t="s">
        <v>76</v>
      </c>
      <c r="B22" s="43">
        <v>398.32698995070416</v>
      </c>
      <c r="C22" s="35" t="s">
        <v>73</v>
      </c>
      <c r="D22" s="55">
        <f>IFERROR(__xludf.DUMMYFUNCTION("AVERAGE(FILTER(data_co2_emissions_biogenic_volume, data_co2_emissions_label = ""Paper, pulp and primary wood products""))*1000"),398.32698995070416)</f>
        <v>398.32699</v>
      </c>
      <c r="E22" s="31" t="b">
        <f t="shared" si="1"/>
        <v>1</v>
      </c>
      <c r="F22" s="50"/>
      <c r="G22" s="33"/>
      <c r="H22" s="33"/>
    </row>
    <row r="23">
      <c r="A23" s="28" t="s">
        <v>77</v>
      </c>
      <c r="B23" s="43">
        <v>49.06774638</v>
      </c>
      <c r="C23" s="35" t="s">
        <v>78</v>
      </c>
      <c r="D23" s="55">
        <f>flourish_6!E5</f>
        <v>49.06774638</v>
      </c>
      <c r="E23" s="31" t="b">
        <f t="shared" si="1"/>
        <v>1</v>
      </c>
      <c r="F23" s="50"/>
      <c r="G23" s="33"/>
      <c r="H23" s="33"/>
    </row>
    <row r="24">
      <c r="A24" s="56" t="s">
        <v>77</v>
      </c>
      <c r="B24" s="57">
        <v>69.79124321</v>
      </c>
      <c r="C24" s="35" t="s">
        <v>78</v>
      </c>
      <c r="D24" s="55">
        <f>flourish_6!E6</f>
        <v>69.79124321</v>
      </c>
      <c r="E24" s="58" t="b">
        <f t="shared" si="1"/>
        <v>1</v>
      </c>
      <c r="F24" s="59"/>
      <c r="G24" s="60"/>
      <c r="H24" s="60"/>
      <c r="I24" s="1"/>
      <c r="J24" s="1"/>
      <c r="K24" s="1"/>
      <c r="L24" s="1"/>
      <c r="M24" s="1"/>
      <c r="N24" s="1"/>
      <c r="O24" s="1"/>
      <c r="P24" s="1"/>
      <c r="Q24" s="1"/>
      <c r="R24" s="1"/>
      <c r="S24" s="1"/>
      <c r="T24" s="1"/>
      <c r="U24" s="1"/>
      <c r="V24" s="1"/>
      <c r="W24" s="1"/>
      <c r="X24" s="1"/>
      <c r="Y24" s="1"/>
      <c r="Z24" s="1"/>
      <c r="AA24" s="1"/>
      <c r="AB24" s="1"/>
      <c r="AC24" s="1"/>
      <c r="AD24" s="1"/>
      <c r="AE24" s="1"/>
    </row>
    <row r="25">
      <c r="A25" s="28" t="s">
        <v>79</v>
      </c>
      <c r="B25" s="29">
        <v>66.92525825</v>
      </c>
      <c r="C25" s="35" t="s">
        <v>78</v>
      </c>
      <c r="D25" s="30">
        <f>flourish_6!D5</f>
        <v>66.92525825</v>
      </c>
      <c r="E25" s="31" t="b">
        <f t="shared" si="1"/>
        <v>1</v>
      </c>
      <c r="F25" s="50"/>
      <c r="G25" s="33"/>
      <c r="H25" s="33"/>
    </row>
    <row r="26">
      <c r="A26" s="28" t="s">
        <v>80</v>
      </c>
      <c r="B26" s="29">
        <v>58.705854142049894</v>
      </c>
      <c r="C26" s="29" t="s">
        <v>47</v>
      </c>
      <c r="D26" s="61">
        <f>data_8!B121</f>
        <v>58.70585414</v>
      </c>
      <c r="E26" s="31" t="b">
        <f t="shared" si="1"/>
        <v>1</v>
      </c>
      <c r="F26" s="50"/>
      <c r="G26" s="32"/>
      <c r="H26" s="48"/>
    </row>
    <row r="27">
      <c r="A27" s="28" t="s">
        <v>80</v>
      </c>
      <c r="B27" s="29">
        <v>10.693218999999985</v>
      </c>
      <c r="C27" s="29" t="s">
        <v>47</v>
      </c>
      <c r="D27" s="61">
        <f>data_8!M97+data_8!M103</f>
        <v>10.693219</v>
      </c>
      <c r="E27" s="31" t="b">
        <f t="shared" si="1"/>
        <v>1</v>
      </c>
      <c r="F27" s="62"/>
      <c r="G27" s="32"/>
      <c r="H27" s="48"/>
    </row>
    <row r="28">
      <c r="A28" s="28" t="s">
        <v>81</v>
      </c>
      <c r="B28" s="63">
        <v>0.62</v>
      </c>
      <c r="C28" s="31"/>
      <c r="D28" s="63">
        <v>0.62</v>
      </c>
      <c r="E28" s="31" t="b">
        <f t="shared" si="1"/>
        <v>1</v>
      </c>
      <c r="F28" s="50" t="s">
        <v>62</v>
      </c>
      <c r="G28" s="32" t="s">
        <v>82</v>
      </c>
      <c r="H28" s="48"/>
    </row>
    <row r="29">
      <c r="A29" s="28" t="s">
        <v>83</v>
      </c>
      <c r="B29" s="29">
        <v>29.696189000000004</v>
      </c>
      <c r="C29" s="29" t="s">
        <v>47</v>
      </c>
      <c r="D29" s="30">
        <f>data_1_sustainable_biogenic_supply-data_1_sustainable_biogenic_supply_100km_away_from_pipelines</f>
        <v>29.696189</v>
      </c>
      <c r="E29" s="31" t="b">
        <f t="shared" si="1"/>
        <v>1</v>
      </c>
      <c r="F29" s="50" t="s">
        <v>62</v>
      </c>
      <c r="G29" s="32" t="s">
        <v>84</v>
      </c>
      <c r="H29" s="48"/>
    </row>
    <row r="30">
      <c r="A30" s="28" t="s">
        <v>85</v>
      </c>
      <c r="B30" s="64">
        <v>0.6375516408140444</v>
      </c>
      <c r="C30" s="65"/>
      <c r="D30" s="66">
        <f>SUM(data_8!O6:O9)/data_8!O37</f>
        <v>0.6375516408</v>
      </c>
      <c r="E30" s="31" t="b">
        <f t="shared" si="1"/>
        <v>1</v>
      </c>
      <c r="F30" s="67"/>
      <c r="G30" s="48"/>
      <c r="H30" s="48"/>
    </row>
    <row r="31" ht="67.5" customHeight="1">
      <c r="A31" s="68" t="s">
        <v>86</v>
      </c>
      <c r="B31" s="69">
        <v>7.6</v>
      </c>
      <c r="C31" s="70" t="s">
        <v>87</v>
      </c>
      <c r="D31" s="71">
        <f>3.8/0.5</f>
        <v>7.6</v>
      </c>
      <c r="E31" s="31" t="b">
        <f t="shared" si="1"/>
        <v>1</v>
      </c>
      <c r="F31" s="67"/>
      <c r="G31" s="32" t="s">
        <v>88</v>
      </c>
      <c r="H31" s="48"/>
    </row>
    <row r="32">
      <c r="A32" s="68" t="s">
        <v>89</v>
      </c>
      <c r="B32" s="69">
        <v>6.999999999999999</v>
      </c>
      <c r="C32" s="70" t="s">
        <v>87</v>
      </c>
      <c r="D32" s="71">
        <f>1.4/0.2</f>
        <v>7</v>
      </c>
      <c r="E32" s="31" t="b">
        <f t="shared" si="1"/>
        <v>1</v>
      </c>
      <c r="F32" s="67"/>
      <c r="G32" s="32" t="s">
        <v>90</v>
      </c>
      <c r="H32" s="48"/>
    </row>
    <row r="33">
      <c r="A33" s="72"/>
      <c r="F33" s="73"/>
      <c r="G33" s="73"/>
    </row>
    <row r="34">
      <c r="A34" s="72"/>
      <c r="F34" s="73"/>
      <c r="G34" s="73"/>
    </row>
    <row r="35">
      <c r="A35" s="72"/>
      <c r="F35" s="73"/>
      <c r="G35" s="73"/>
    </row>
    <row r="36">
      <c r="A36" s="72"/>
      <c r="F36" s="73"/>
      <c r="G36" s="73"/>
    </row>
    <row r="37">
      <c r="A37" s="72"/>
      <c r="F37" s="73"/>
      <c r="G37" s="73"/>
    </row>
    <row r="38">
      <c r="A38" s="72"/>
      <c r="F38" s="73"/>
      <c r="G38" s="73"/>
    </row>
    <row r="39">
      <c r="A39" s="72"/>
      <c r="F39" s="73"/>
      <c r="G39" s="73"/>
    </row>
    <row r="40">
      <c r="A40" s="72"/>
      <c r="F40" s="73"/>
      <c r="G40" s="73"/>
    </row>
    <row r="41">
      <c r="A41" s="72"/>
      <c r="F41" s="73"/>
      <c r="G41" s="73"/>
    </row>
    <row r="42">
      <c r="A42" s="72"/>
      <c r="F42" s="73"/>
      <c r="G42" s="73"/>
    </row>
    <row r="43">
      <c r="A43" s="72"/>
      <c r="F43" s="73"/>
      <c r="G43" s="73"/>
    </row>
    <row r="44">
      <c r="A44" s="72"/>
      <c r="F44" s="73"/>
      <c r="G44" s="73"/>
    </row>
    <row r="45">
      <c r="A45" s="72"/>
      <c r="F45" s="73"/>
      <c r="G45" s="73"/>
    </row>
    <row r="46">
      <c r="A46" s="72"/>
      <c r="F46" s="73"/>
      <c r="G46" s="73"/>
    </row>
    <row r="47">
      <c r="A47" s="72"/>
      <c r="F47" s="73"/>
      <c r="G47" s="73"/>
    </row>
    <row r="48">
      <c r="A48" s="72"/>
      <c r="F48" s="73"/>
      <c r="G48" s="73"/>
    </row>
    <row r="49">
      <c r="A49" s="72"/>
      <c r="F49" s="73"/>
      <c r="G49" s="73"/>
    </row>
    <row r="50">
      <c r="A50" s="72"/>
      <c r="F50" s="73"/>
      <c r="G50" s="73"/>
    </row>
    <row r="51">
      <c r="A51" s="72"/>
      <c r="F51" s="73"/>
      <c r="G51" s="73"/>
    </row>
    <row r="52">
      <c r="A52" s="72"/>
      <c r="F52" s="73"/>
      <c r="G52" s="73"/>
    </row>
    <row r="53">
      <c r="A53" s="72"/>
      <c r="F53" s="73"/>
      <c r="G53" s="73"/>
    </row>
    <row r="54">
      <c r="A54" s="72"/>
      <c r="F54" s="73"/>
      <c r="G54" s="73"/>
    </row>
    <row r="55">
      <c r="A55" s="72"/>
      <c r="F55" s="73"/>
      <c r="G55" s="73"/>
    </row>
    <row r="56">
      <c r="A56" s="72"/>
      <c r="F56" s="73"/>
      <c r="G56" s="73"/>
    </row>
    <row r="57">
      <c r="A57" s="72"/>
      <c r="F57" s="73"/>
      <c r="G57" s="73"/>
    </row>
    <row r="58">
      <c r="A58" s="72"/>
      <c r="F58" s="73"/>
      <c r="G58" s="73"/>
    </row>
    <row r="59">
      <c r="A59" s="72"/>
      <c r="F59" s="73"/>
      <c r="G59" s="73"/>
    </row>
    <row r="60">
      <c r="A60" s="72"/>
      <c r="F60" s="73"/>
      <c r="G60" s="73"/>
    </row>
    <row r="61">
      <c r="A61" s="72"/>
      <c r="F61" s="73"/>
      <c r="G61" s="73"/>
    </row>
    <row r="62">
      <c r="A62" s="72"/>
      <c r="F62" s="73"/>
      <c r="G62" s="73"/>
    </row>
    <row r="63">
      <c r="A63" s="72"/>
      <c r="F63" s="73"/>
      <c r="G63" s="73"/>
    </row>
    <row r="64">
      <c r="A64" s="72"/>
      <c r="F64" s="73"/>
      <c r="G64" s="73"/>
    </row>
    <row r="65">
      <c r="A65" s="72"/>
      <c r="F65" s="73"/>
      <c r="G65" s="73"/>
    </row>
    <row r="66">
      <c r="A66" s="72"/>
      <c r="F66" s="73"/>
      <c r="G66" s="73"/>
    </row>
    <row r="67">
      <c r="A67" s="72"/>
      <c r="F67" s="73"/>
      <c r="G67" s="73"/>
    </row>
    <row r="68">
      <c r="A68" s="72"/>
      <c r="F68" s="73"/>
      <c r="G68" s="73"/>
    </row>
    <row r="69">
      <c r="A69" s="72"/>
      <c r="F69" s="73"/>
      <c r="G69" s="73"/>
    </row>
    <row r="70">
      <c r="A70" s="72"/>
      <c r="F70" s="73"/>
      <c r="G70" s="73"/>
    </row>
    <row r="71">
      <c r="A71" s="72"/>
      <c r="F71" s="73"/>
      <c r="G71" s="73"/>
    </row>
    <row r="72">
      <c r="A72" s="72"/>
      <c r="F72" s="73"/>
      <c r="G72" s="73"/>
    </row>
    <row r="73">
      <c r="A73" s="72"/>
      <c r="F73" s="73"/>
      <c r="G73" s="73"/>
    </row>
    <row r="74">
      <c r="A74" s="72"/>
      <c r="F74" s="73"/>
      <c r="G74" s="73"/>
    </row>
    <row r="75">
      <c r="A75" s="72"/>
      <c r="F75" s="73"/>
      <c r="G75" s="73"/>
    </row>
    <row r="76">
      <c r="A76" s="72"/>
      <c r="F76" s="73"/>
      <c r="G76" s="73"/>
    </row>
    <row r="77">
      <c r="A77" s="72"/>
      <c r="F77" s="73"/>
      <c r="G77" s="73"/>
    </row>
    <row r="78">
      <c r="A78" s="72"/>
      <c r="F78" s="73"/>
      <c r="G78" s="73"/>
    </row>
    <row r="79">
      <c r="A79" s="72"/>
      <c r="F79" s="73"/>
      <c r="G79" s="73"/>
    </row>
    <row r="80">
      <c r="A80" s="72"/>
      <c r="F80" s="73"/>
      <c r="G80" s="73"/>
    </row>
    <row r="81">
      <c r="A81" s="72"/>
      <c r="F81" s="73"/>
      <c r="G81" s="73"/>
    </row>
    <row r="82">
      <c r="A82" s="72"/>
      <c r="F82" s="73"/>
      <c r="G82" s="73"/>
    </row>
    <row r="83">
      <c r="A83" s="72"/>
      <c r="F83" s="73"/>
      <c r="G83" s="73"/>
    </row>
    <row r="84">
      <c r="A84" s="72"/>
      <c r="F84" s="73"/>
      <c r="G84" s="73"/>
    </row>
    <row r="85">
      <c r="A85" s="72"/>
      <c r="F85" s="73"/>
      <c r="G85" s="73"/>
    </row>
    <row r="86">
      <c r="A86" s="72"/>
      <c r="F86" s="73"/>
      <c r="G86" s="73"/>
    </row>
    <row r="87">
      <c r="A87" s="72"/>
      <c r="F87" s="73"/>
      <c r="G87" s="73"/>
    </row>
    <row r="88">
      <c r="A88" s="72"/>
      <c r="F88" s="73"/>
      <c r="G88" s="73"/>
    </row>
    <row r="89">
      <c r="A89" s="72"/>
      <c r="F89" s="73"/>
      <c r="G89" s="73"/>
    </row>
    <row r="90">
      <c r="A90" s="72"/>
      <c r="F90" s="73"/>
      <c r="G90" s="73"/>
    </row>
    <row r="91">
      <c r="A91" s="72"/>
      <c r="F91" s="73"/>
      <c r="G91" s="73"/>
    </row>
    <row r="92">
      <c r="A92" s="72"/>
      <c r="F92" s="73"/>
      <c r="G92" s="73"/>
    </row>
    <row r="93">
      <c r="A93" s="72"/>
      <c r="F93" s="73"/>
      <c r="G93" s="73"/>
    </row>
    <row r="94">
      <c r="A94" s="72"/>
      <c r="F94" s="73"/>
      <c r="G94" s="73"/>
    </row>
    <row r="95">
      <c r="A95" s="72"/>
      <c r="F95" s="73"/>
      <c r="G95" s="73"/>
    </row>
    <row r="96">
      <c r="A96" s="72"/>
      <c r="F96" s="73"/>
      <c r="G96" s="73"/>
    </row>
    <row r="97">
      <c r="A97" s="72"/>
      <c r="F97" s="73"/>
      <c r="G97" s="73"/>
    </row>
    <row r="98">
      <c r="A98" s="72"/>
      <c r="F98" s="73"/>
      <c r="G98" s="73"/>
    </row>
    <row r="99">
      <c r="A99" s="72"/>
      <c r="F99" s="73"/>
      <c r="G99" s="73"/>
    </row>
    <row r="100">
      <c r="A100" s="72"/>
      <c r="F100" s="73"/>
      <c r="G100" s="73"/>
    </row>
    <row r="101">
      <c r="A101" s="72"/>
      <c r="F101" s="73"/>
      <c r="G101" s="73"/>
    </row>
    <row r="102">
      <c r="A102" s="72"/>
      <c r="F102" s="73"/>
      <c r="G102" s="73"/>
    </row>
    <row r="103">
      <c r="A103" s="72"/>
      <c r="F103" s="73"/>
      <c r="G103" s="73"/>
    </row>
    <row r="104">
      <c r="A104" s="72"/>
      <c r="F104" s="73"/>
      <c r="G104" s="73"/>
    </row>
    <row r="105">
      <c r="A105" s="72"/>
      <c r="F105" s="73"/>
      <c r="G105" s="73"/>
    </row>
    <row r="106">
      <c r="A106" s="72"/>
      <c r="F106" s="73"/>
      <c r="G106" s="73"/>
    </row>
    <row r="107">
      <c r="A107" s="72"/>
      <c r="F107" s="73"/>
      <c r="G107" s="73"/>
    </row>
    <row r="108">
      <c r="A108" s="72"/>
      <c r="F108" s="73"/>
      <c r="G108" s="73"/>
    </row>
    <row r="109">
      <c r="A109" s="72"/>
      <c r="F109" s="73"/>
      <c r="G109" s="73"/>
    </row>
    <row r="110">
      <c r="A110" s="72"/>
      <c r="F110" s="73"/>
      <c r="G110" s="73"/>
    </row>
    <row r="111">
      <c r="A111" s="72"/>
      <c r="F111" s="73"/>
      <c r="G111" s="73"/>
    </row>
    <row r="112">
      <c r="A112" s="72"/>
      <c r="F112" s="73"/>
      <c r="G112" s="73"/>
    </row>
    <row r="113">
      <c r="A113" s="72"/>
      <c r="F113" s="73"/>
      <c r="G113" s="73"/>
    </row>
    <row r="114">
      <c r="A114" s="72"/>
      <c r="F114" s="73"/>
      <c r="G114" s="73"/>
    </row>
    <row r="115">
      <c r="A115" s="72"/>
      <c r="F115" s="73"/>
      <c r="G115" s="73"/>
    </row>
    <row r="116">
      <c r="A116" s="72"/>
      <c r="F116" s="73"/>
      <c r="G116" s="73"/>
    </row>
    <row r="117">
      <c r="A117" s="72"/>
      <c r="F117" s="73"/>
      <c r="G117" s="73"/>
    </row>
    <row r="118">
      <c r="A118" s="72"/>
      <c r="F118" s="73"/>
      <c r="G118" s="73"/>
    </row>
    <row r="119">
      <c r="A119" s="72"/>
      <c r="F119" s="73"/>
      <c r="G119" s="73"/>
    </row>
    <row r="120">
      <c r="A120" s="72"/>
      <c r="F120" s="73"/>
      <c r="G120" s="73"/>
    </row>
    <row r="121">
      <c r="A121" s="72"/>
      <c r="F121" s="73"/>
      <c r="G121" s="73"/>
    </row>
    <row r="122">
      <c r="A122" s="72"/>
      <c r="F122" s="73"/>
      <c r="G122" s="73"/>
    </row>
    <row r="123">
      <c r="A123" s="72"/>
      <c r="F123" s="73"/>
      <c r="G123" s="73"/>
    </row>
    <row r="124">
      <c r="A124" s="72"/>
      <c r="F124" s="73"/>
      <c r="G124" s="73"/>
    </row>
    <row r="125">
      <c r="A125" s="72"/>
      <c r="F125" s="73"/>
      <c r="G125" s="73"/>
    </row>
    <row r="126">
      <c r="A126" s="72"/>
      <c r="F126" s="73"/>
      <c r="G126" s="73"/>
    </row>
    <row r="127">
      <c r="A127" s="72"/>
      <c r="F127" s="73"/>
      <c r="G127" s="73"/>
    </row>
    <row r="128">
      <c r="A128" s="72"/>
      <c r="F128" s="73"/>
      <c r="G128" s="73"/>
    </row>
    <row r="129">
      <c r="A129" s="72"/>
      <c r="F129" s="73"/>
      <c r="G129" s="73"/>
    </row>
    <row r="130">
      <c r="A130" s="72"/>
      <c r="F130" s="73"/>
      <c r="G130" s="73"/>
    </row>
    <row r="131">
      <c r="A131" s="72"/>
      <c r="F131" s="73"/>
      <c r="G131" s="73"/>
    </row>
    <row r="132">
      <c r="A132" s="72"/>
      <c r="F132" s="73"/>
      <c r="G132" s="73"/>
    </row>
    <row r="133">
      <c r="A133" s="72"/>
      <c r="F133" s="73"/>
      <c r="G133" s="73"/>
    </row>
    <row r="134">
      <c r="A134" s="72"/>
      <c r="F134" s="73"/>
      <c r="G134" s="73"/>
    </row>
    <row r="135">
      <c r="A135" s="72"/>
      <c r="F135" s="73"/>
      <c r="G135" s="73"/>
    </row>
    <row r="136">
      <c r="A136" s="72"/>
      <c r="F136" s="73"/>
      <c r="G136" s="73"/>
    </row>
    <row r="137">
      <c r="A137" s="72"/>
      <c r="F137" s="73"/>
      <c r="G137" s="73"/>
    </row>
    <row r="138">
      <c r="A138" s="72"/>
      <c r="F138" s="73"/>
      <c r="G138" s="73"/>
    </row>
    <row r="139">
      <c r="A139" s="72"/>
      <c r="F139" s="73"/>
      <c r="G139" s="73"/>
    </row>
    <row r="140">
      <c r="A140" s="72"/>
      <c r="F140" s="73"/>
      <c r="G140" s="73"/>
    </row>
    <row r="141">
      <c r="A141" s="72"/>
      <c r="F141" s="73"/>
      <c r="G141" s="73"/>
    </row>
    <row r="142">
      <c r="A142" s="72"/>
      <c r="F142" s="73"/>
      <c r="G142" s="73"/>
    </row>
    <row r="143">
      <c r="A143" s="72"/>
      <c r="F143" s="73"/>
      <c r="G143" s="73"/>
    </row>
    <row r="144">
      <c r="A144" s="72"/>
      <c r="F144" s="73"/>
      <c r="G144" s="73"/>
    </row>
    <row r="145">
      <c r="A145" s="72"/>
      <c r="F145" s="73"/>
      <c r="G145" s="73"/>
    </row>
    <row r="146">
      <c r="A146" s="72"/>
      <c r="F146" s="73"/>
      <c r="G146" s="73"/>
    </row>
    <row r="147">
      <c r="A147" s="72"/>
      <c r="F147" s="73"/>
      <c r="G147" s="73"/>
    </row>
    <row r="148">
      <c r="A148" s="72"/>
      <c r="F148" s="73"/>
      <c r="G148" s="73"/>
    </row>
    <row r="149">
      <c r="A149" s="72"/>
      <c r="F149" s="73"/>
      <c r="G149" s="73"/>
    </row>
    <row r="150">
      <c r="A150" s="72"/>
      <c r="F150" s="73"/>
      <c r="G150" s="73"/>
    </row>
    <row r="151">
      <c r="A151" s="72"/>
      <c r="F151" s="73"/>
      <c r="G151" s="73"/>
    </row>
    <row r="152">
      <c r="A152" s="72"/>
      <c r="F152" s="73"/>
      <c r="G152" s="73"/>
    </row>
    <row r="153">
      <c r="A153" s="72"/>
      <c r="F153" s="73"/>
      <c r="G153" s="73"/>
    </row>
    <row r="154">
      <c r="A154" s="72"/>
      <c r="F154" s="73"/>
      <c r="G154" s="73"/>
    </row>
    <row r="155">
      <c r="A155" s="72"/>
      <c r="F155" s="73"/>
      <c r="G155" s="73"/>
    </row>
    <row r="156">
      <c r="A156" s="72"/>
      <c r="F156" s="73"/>
      <c r="G156" s="73"/>
    </row>
    <row r="157">
      <c r="A157" s="72"/>
      <c r="F157" s="73"/>
      <c r="G157" s="73"/>
    </row>
    <row r="158">
      <c r="A158" s="72"/>
      <c r="F158" s="73"/>
      <c r="G158" s="73"/>
    </row>
    <row r="159">
      <c r="A159" s="72"/>
      <c r="F159" s="73"/>
      <c r="G159" s="73"/>
    </row>
    <row r="160">
      <c r="A160" s="72"/>
      <c r="F160" s="73"/>
      <c r="G160" s="73"/>
    </row>
    <row r="161">
      <c r="A161" s="72"/>
      <c r="F161" s="73"/>
      <c r="G161" s="73"/>
    </row>
    <row r="162">
      <c r="A162" s="72"/>
      <c r="F162" s="73"/>
      <c r="G162" s="73"/>
    </row>
    <row r="163">
      <c r="A163" s="72"/>
      <c r="F163" s="73"/>
      <c r="G163" s="73"/>
    </row>
    <row r="164">
      <c r="A164" s="72"/>
      <c r="F164" s="73"/>
      <c r="G164" s="73"/>
    </row>
    <row r="165">
      <c r="A165" s="72"/>
      <c r="F165" s="73"/>
      <c r="G165" s="73"/>
    </row>
    <row r="166">
      <c r="A166" s="72"/>
      <c r="F166" s="73"/>
      <c r="G166" s="73"/>
    </row>
    <row r="167">
      <c r="A167" s="72"/>
      <c r="F167" s="73"/>
      <c r="G167" s="73"/>
    </row>
    <row r="168">
      <c r="A168" s="72"/>
      <c r="F168" s="73"/>
      <c r="G168" s="73"/>
    </row>
    <row r="169">
      <c r="A169" s="72"/>
      <c r="F169" s="73"/>
      <c r="G169" s="73"/>
    </row>
    <row r="170">
      <c r="A170" s="72"/>
      <c r="F170" s="73"/>
      <c r="G170" s="73"/>
    </row>
    <row r="171">
      <c r="A171" s="72"/>
      <c r="F171" s="73"/>
      <c r="G171" s="73"/>
    </row>
    <row r="172">
      <c r="A172" s="72"/>
      <c r="F172" s="73"/>
      <c r="G172" s="73"/>
    </row>
    <row r="173">
      <c r="A173" s="72"/>
      <c r="F173" s="73"/>
      <c r="G173" s="73"/>
    </row>
    <row r="174">
      <c r="A174" s="72"/>
      <c r="F174" s="73"/>
      <c r="G174" s="73"/>
    </row>
    <row r="175">
      <c r="A175" s="72"/>
      <c r="F175" s="73"/>
      <c r="G175" s="73"/>
    </row>
    <row r="176">
      <c r="A176" s="72"/>
      <c r="F176" s="73"/>
      <c r="G176" s="73"/>
    </row>
    <row r="177">
      <c r="A177" s="72"/>
      <c r="F177" s="73"/>
      <c r="G177" s="73"/>
    </row>
    <row r="178">
      <c r="A178" s="72"/>
      <c r="F178" s="73"/>
      <c r="G178" s="73"/>
    </row>
    <row r="179">
      <c r="A179" s="72"/>
      <c r="F179" s="73"/>
      <c r="G179" s="73"/>
    </row>
    <row r="180">
      <c r="A180" s="72"/>
      <c r="F180" s="73"/>
      <c r="G180" s="73"/>
    </row>
    <row r="181">
      <c r="A181" s="72"/>
      <c r="F181" s="73"/>
      <c r="G181" s="73"/>
    </row>
    <row r="182">
      <c r="A182" s="72"/>
      <c r="F182" s="73"/>
      <c r="G182" s="73"/>
    </row>
    <row r="183">
      <c r="A183" s="72"/>
      <c r="F183" s="73"/>
      <c r="G183" s="73"/>
    </row>
    <row r="184">
      <c r="A184" s="72"/>
      <c r="F184" s="73"/>
      <c r="G184" s="73"/>
    </row>
    <row r="185">
      <c r="A185" s="72"/>
      <c r="F185" s="73"/>
      <c r="G185" s="73"/>
    </row>
    <row r="186">
      <c r="A186" s="72"/>
      <c r="F186" s="73"/>
      <c r="G186" s="73"/>
    </row>
    <row r="187">
      <c r="A187" s="72"/>
      <c r="F187" s="73"/>
      <c r="G187" s="73"/>
    </row>
    <row r="188">
      <c r="A188" s="72"/>
      <c r="F188" s="73"/>
      <c r="G188" s="73"/>
    </row>
    <row r="189">
      <c r="A189" s="72"/>
      <c r="F189" s="73"/>
      <c r="G189" s="73"/>
    </row>
    <row r="190">
      <c r="A190" s="72"/>
      <c r="F190" s="73"/>
      <c r="G190" s="73"/>
    </row>
    <row r="191">
      <c r="A191" s="72"/>
      <c r="F191" s="73"/>
      <c r="G191" s="73"/>
    </row>
    <row r="192">
      <c r="A192" s="72"/>
      <c r="F192" s="73"/>
      <c r="G192" s="73"/>
    </row>
    <row r="193">
      <c r="A193" s="72"/>
      <c r="F193" s="73"/>
      <c r="G193" s="73"/>
    </row>
    <row r="194">
      <c r="A194" s="72"/>
      <c r="F194" s="73"/>
      <c r="G194" s="73"/>
    </row>
    <row r="195">
      <c r="A195" s="72"/>
      <c r="F195" s="73"/>
      <c r="G195" s="73"/>
    </row>
    <row r="196">
      <c r="A196" s="72"/>
      <c r="F196" s="73"/>
      <c r="G196" s="73"/>
    </row>
    <row r="197">
      <c r="A197" s="72"/>
      <c r="F197" s="73"/>
      <c r="G197" s="73"/>
    </row>
    <row r="198">
      <c r="A198" s="72"/>
      <c r="F198" s="73"/>
      <c r="G198" s="73"/>
    </row>
    <row r="199">
      <c r="A199" s="72"/>
      <c r="F199" s="73"/>
      <c r="G199" s="73"/>
    </row>
    <row r="200">
      <c r="A200" s="72"/>
      <c r="F200" s="73"/>
      <c r="G200" s="73"/>
    </row>
    <row r="201">
      <c r="A201" s="72"/>
      <c r="F201" s="73"/>
      <c r="G201" s="73"/>
    </row>
    <row r="202">
      <c r="A202" s="72"/>
      <c r="F202" s="73"/>
      <c r="G202" s="73"/>
    </row>
    <row r="203">
      <c r="A203" s="72"/>
      <c r="F203" s="73"/>
      <c r="G203" s="73"/>
    </row>
    <row r="204">
      <c r="A204" s="72"/>
      <c r="F204" s="73"/>
      <c r="G204" s="73"/>
    </row>
    <row r="205">
      <c r="A205" s="72"/>
      <c r="F205" s="73"/>
      <c r="G205" s="73"/>
    </row>
    <row r="206">
      <c r="A206" s="72"/>
      <c r="F206" s="73"/>
      <c r="G206" s="73"/>
    </row>
    <row r="207">
      <c r="A207" s="72"/>
      <c r="F207" s="73"/>
      <c r="G207" s="73"/>
    </row>
    <row r="208">
      <c r="A208" s="72"/>
      <c r="F208" s="73"/>
      <c r="G208" s="73"/>
    </row>
    <row r="209">
      <c r="A209" s="72"/>
      <c r="F209" s="73"/>
      <c r="G209" s="73"/>
    </row>
    <row r="210">
      <c r="A210" s="72"/>
      <c r="F210" s="73"/>
      <c r="G210" s="73"/>
    </row>
    <row r="211">
      <c r="A211" s="72"/>
      <c r="F211" s="73"/>
      <c r="G211" s="73"/>
    </row>
    <row r="212">
      <c r="A212" s="72"/>
      <c r="F212" s="73"/>
      <c r="G212" s="73"/>
    </row>
    <row r="213">
      <c r="A213" s="72"/>
      <c r="F213" s="73"/>
      <c r="G213" s="73"/>
    </row>
    <row r="214">
      <c r="A214" s="72"/>
      <c r="F214" s="73"/>
      <c r="G214" s="73"/>
    </row>
    <row r="215">
      <c r="A215" s="72"/>
      <c r="F215" s="73"/>
      <c r="G215" s="73"/>
    </row>
    <row r="216">
      <c r="A216" s="72"/>
      <c r="F216" s="73"/>
      <c r="G216" s="73"/>
    </row>
    <row r="217">
      <c r="A217" s="72"/>
      <c r="F217" s="73"/>
      <c r="G217" s="73"/>
    </row>
    <row r="218">
      <c r="A218" s="72"/>
      <c r="F218" s="73"/>
      <c r="G218" s="73"/>
    </row>
    <row r="219">
      <c r="A219" s="72"/>
      <c r="F219" s="73"/>
      <c r="G219" s="73"/>
    </row>
    <row r="220">
      <c r="A220" s="72"/>
      <c r="F220" s="73"/>
      <c r="G220" s="73"/>
    </row>
    <row r="221">
      <c r="A221" s="72"/>
      <c r="F221" s="73"/>
      <c r="G221" s="73"/>
    </row>
    <row r="222">
      <c r="A222" s="72"/>
      <c r="F222" s="73"/>
      <c r="G222" s="73"/>
    </row>
    <row r="223">
      <c r="A223" s="72"/>
      <c r="F223" s="73"/>
      <c r="G223" s="73"/>
    </row>
    <row r="224">
      <c r="A224" s="72"/>
      <c r="F224" s="73"/>
      <c r="G224" s="73"/>
    </row>
    <row r="225">
      <c r="A225" s="72"/>
      <c r="F225" s="73"/>
      <c r="G225" s="73"/>
    </row>
    <row r="226">
      <c r="A226" s="72"/>
      <c r="F226" s="73"/>
      <c r="G226" s="73"/>
    </row>
    <row r="227">
      <c r="A227" s="72"/>
      <c r="F227" s="73"/>
      <c r="G227" s="73"/>
    </row>
    <row r="228">
      <c r="A228" s="72"/>
      <c r="F228" s="73"/>
      <c r="G228" s="73"/>
    </row>
    <row r="229">
      <c r="A229" s="72"/>
      <c r="F229" s="73"/>
      <c r="G229" s="73"/>
    </row>
    <row r="230">
      <c r="A230" s="72"/>
      <c r="F230" s="73"/>
      <c r="G230" s="73"/>
    </row>
    <row r="231">
      <c r="A231" s="72"/>
      <c r="F231" s="73"/>
      <c r="G231" s="73"/>
    </row>
    <row r="232">
      <c r="A232" s="72"/>
      <c r="F232" s="73"/>
      <c r="G232" s="73"/>
    </row>
    <row r="233">
      <c r="A233" s="72"/>
      <c r="F233" s="73"/>
      <c r="G233" s="73"/>
    </row>
    <row r="234">
      <c r="A234" s="72"/>
      <c r="F234" s="73"/>
      <c r="G234" s="73"/>
    </row>
    <row r="235">
      <c r="A235" s="72"/>
      <c r="F235" s="73"/>
      <c r="G235" s="73"/>
    </row>
    <row r="236">
      <c r="A236" s="72"/>
      <c r="F236" s="73"/>
      <c r="G236" s="73"/>
    </row>
    <row r="237">
      <c r="A237" s="72"/>
      <c r="F237" s="73"/>
      <c r="G237" s="73"/>
    </row>
    <row r="238">
      <c r="A238" s="72"/>
      <c r="F238" s="73"/>
      <c r="G238" s="73"/>
    </row>
    <row r="239">
      <c r="A239" s="72"/>
      <c r="F239" s="73"/>
      <c r="G239" s="73"/>
    </row>
    <row r="240">
      <c r="A240" s="72"/>
      <c r="F240" s="73"/>
      <c r="G240" s="73"/>
    </row>
    <row r="241">
      <c r="A241" s="72"/>
      <c r="F241" s="73"/>
      <c r="G241" s="73"/>
    </row>
    <row r="242">
      <c r="A242" s="72"/>
      <c r="F242" s="73"/>
      <c r="G242" s="73"/>
    </row>
    <row r="243">
      <c r="A243" s="72"/>
      <c r="F243" s="73"/>
      <c r="G243" s="73"/>
    </row>
    <row r="244">
      <c r="A244" s="72"/>
      <c r="F244" s="73"/>
      <c r="G244" s="73"/>
    </row>
    <row r="245">
      <c r="A245" s="72"/>
      <c r="F245" s="73"/>
      <c r="G245" s="73"/>
    </row>
    <row r="246">
      <c r="A246" s="72"/>
      <c r="F246" s="73"/>
      <c r="G246" s="73"/>
    </row>
    <row r="247">
      <c r="A247" s="72"/>
      <c r="F247" s="73"/>
      <c r="G247" s="73"/>
    </row>
    <row r="248">
      <c r="A248" s="72"/>
      <c r="F248" s="73"/>
      <c r="G248" s="73"/>
    </row>
    <row r="249">
      <c r="A249" s="72"/>
      <c r="F249" s="73"/>
      <c r="G249" s="73"/>
    </row>
    <row r="250">
      <c r="A250" s="72"/>
      <c r="F250" s="73"/>
      <c r="G250" s="73"/>
    </row>
    <row r="251">
      <c r="A251" s="72"/>
      <c r="F251" s="73"/>
      <c r="G251" s="73"/>
    </row>
    <row r="252">
      <c r="A252" s="72"/>
      <c r="F252" s="73"/>
      <c r="G252" s="73"/>
    </row>
    <row r="253">
      <c r="A253" s="72"/>
      <c r="F253" s="73"/>
      <c r="G253" s="73"/>
    </row>
    <row r="254">
      <c r="A254" s="72"/>
      <c r="F254" s="73"/>
      <c r="G254" s="73"/>
    </row>
    <row r="255">
      <c r="A255" s="72"/>
      <c r="F255" s="73"/>
      <c r="G255" s="73"/>
    </row>
    <row r="256">
      <c r="A256" s="72"/>
      <c r="F256" s="73"/>
      <c r="G256" s="73"/>
    </row>
    <row r="257">
      <c r="A257" s="72"/>
      <c r="F257" s="73"/>
      <c r="G257" s="73"/>
    </row>
    <row r="258">
      <c r="A258" s="72"/>
      <c r="F258" s="73"/>
      <c r="G258" s="73"/>
    </row>
    <row r="259">
      <c r="A259" s="72"/>
      <c r="F259" s="73"/>
      <c r="G259" s="73"/>
    </row>
    <row r="260">
      <c r="A260" s="72"/>
      <c r="F260" s="73"/>
      <c r="G260" s="73"/>
    </row>
    <row r="261">
      <c r="A261" s="72"/>
      <c r="F261" s="73"/>
      <c r="G261" s="73"/>
    </row>
    <row r="262">
      <c r="A262" s="72"/>
      <c r="F262" s="73"/>
      <c r="G262" s="73"/>
    </row>
    <row r="263">
      <c r="A263" s="72"/>
      <c r="F263" s="73"/>
      <c r="G263" s="73"/>
    </row>
    <row r="264">
      <c r="A264" s="72"/>
      <c r="F264" s="73"/>
      <c r="G264" s="73"/>
    </row>
    <row r="265">
      <c r="A265" s="72"/>
      <c r="F265" s="73"/>
      <c r="G265" s="73"/>
    </row>
    <row r="266">
      <c r="A266" s="72"/>
      <c r="F266" s="73"/>
      <c r="G266" s="73"/>
    </row>
    <row r="267">
      <c r="A267" s="72"/>
      <c r="F267" s="73"/>
      <c r="G267" s="73"/>
    </row>
    <row r="268">
      <c r="A268" s="72"/>
      <c r="F268" s="73"/>
      <c r="G268" s="73"/>
    </row>
    <row r="269">
      <c r="A269" s="72"/>
      <c r="F269" s="73"/>
      <c r="G269" s="73"/>
    </row>
    <row r="270">
      <c r="A270" s="72"/>
      <c r="F270" s="73"/>
      <c r="G270" s="73"/>
    </row>
    <row r="271">
      <c r="A271" s="72"/>
      <c r="F271" s="73"/>
      <c r="G271" s="73"/>
    </row>
    <row r="272">
      <c r="A272" s="72"/>
      <c r="F272" s="73"/>
      <c r="G272" s="73"/>
    </row>
    <row r="273">
      <c r="A273" s="72"/>
      <c r="F273" s="73"/>
      <c r="G273" s="73"/>
    </row>
    <row r="274">
      <c r="A274" s="72"/>
      <c r="F274" s="73"/>
      <c r="G274" s="73"/>
    </row>
    <row r="275">
      <c r="A275" s="72"/>
      <c r="F275" s="73"/>
      <c r="G275" s="73"/>
    </row>
    <row r="276">
      <c r="A276" s="72"/>
      <c r="F276" s="73"/>
      <c r="G276" s="73"/>
    </row>
    <row r="277">
      <c r="A277" s="72"/>
      <c r="F277" s="73"/>
      <c r="G277" s="73"/>
    </row>
    <row r="278">
      <c r="A278" s="72"/>
      <c r="F278" s="73"/>
      <c r="G278" s="73"/>
    </row>
    <row r="279">
      <c r="A279" s="72"/>
      <c r="F279" s="73"/>
      <c r="G279" s="73"/>
    </row>
    <row r="280">
      <c r="A280" s="72"/>
      <c r="F280" s="73"/>
      <c r="G280" s="73"/>
    </row>
    <row r="281">
      <c r="A281" s="72"/>
      <c r="F281" s="73"/>
      <c r="G281" s="73"/>
    </row>
    <row r="282">
      <c r="A282" s="72"/>
      <c r="F282" s="73"/>
      <c r="G282" s="73"/>
    </row>
    <row r="283">
      <c r="A283" s="72"/>
      <c r="F283" s="73"/>
      <c r="G283" s="73"/>
    </row>
    <row r="284">
      <c r="A284" s="72"/>
      <c r="F284" s="73"/>
      <c r="G284" s="73"/>
    </row>
    <row r="285">
      <c r="A285" s="72"/>
      <c r="F285" s="73"/>
      <c r="G285" s="73"/>
    </row>
    <row r="286">
      <c r="A286" s="72"/>
      <c r="F286" s="73"/>
      <c r="G286" s="73"/>
    </row>
    <row r="287">
      <c r="A287" s="72"/>
      <c r="F287" s="73"/>
      <c r="G287" s="73"/>
    </row>
    <row r="288">
      <c r="A288" s="72"/>
      <c r="F288" s="73"/>
      <c r="G288" s="73"/>
    </row>
    <row r="289">
      <c r="A289" s="72"/>
      <c r="F289" s="73"/>
      <c r="G289" s="73"/>
    </row>
    <row r="290">
      <c r="A290" s="72"/>
      <c r="F290" s="73"/>
      <c r="G290" s="73"/>
    </row>
    <row r="291">
      <c r="A291" s="72"/>
      <c r="F291" s="73"/>
      <c r="G291" s="73"/>
    </row>
    <row r="292">
      <c r="A292" s="72"/>
      <c r="F292" s="73"/>
      <c r="G292" s="73"/>
    </row>
    <row r="293">
      <c r="A293" s="72"/>
      <c r="F293" s="73"/>
      <c r="G293" s="73"/>
    </row>
    <row r="294">
      <c r="A294" s="72"/>
      <c r="F294" s="73"/>
      <c r="G294" s="73"/>
    </row>
    <row r="295">
      <c r="A295" s="72"/>
      <c r="F295" s="73"/>
      <c r="G295" s="73"/>
    </row>
    <row r="296">
      <c r="A296" s="72"/>
      <c r="F296" s="73"/>
      <c r="G296" s="73"/>
    </row>
    <row r="297">
      <c r="A297" s="72"/>
      <c r="F297" s="73"/>
      <c r="G297" s="73"/>
    </row>
    <row r="298">
      <c r="A298" s="72"/>
      <c r="F298" s="73"/>
      <c r="G298" s="73"/>
    </row>
    <row r="299">
      <c r="A299" s="72"/>
      <c r="F299" s="73"/>
      <c r="G299" s="73"/>
    </row>
    <row r="300">
      <c r="A300" s="72"/>
      <c r="F300" s="73"/>
      <c r="G300" s="73"/>
    </row>
    <row r="301">
      <c r="A301" s="72"/>
      <c r="F301" s="73"/>
      <c r="G301" s="73"/>
    </row>
    <row r="302">
      <c r="A302" s="72"/>
      <c r="F302" s="73"/>
      <c r="G302" s="73"/>
    </row>
    <row r="303">
      <c r="A303" s="72"/>
      <c r="F303" s="73"/>
      <c r="G303" s="73"/>
    </row>
    <row r="304">
      <c r="A304" s="72"/>
      <c r="F304" s="73"/>
      <c r="G304" s="73"/>
    </row>
    <row r="305">
      <c r="A305" s="72"/>
      <c r="F305" s="73"/>
      <c r="G305" s="73"/>
    </row>
    <row r="306">
      <c r="A306" s="72"/>
      <c r="F306" s="73"/>
      <c r="G306" s="73"/>
    </row>
    <row r="307">
      <c r="A307" s="72"/>
      <c r="F307" s="73"/>
      <c r="G307" s="73"/>
    </row>
    <row r="308">
      <c r="A308" s="72"/>
      <c r="F308" s="73"/>
      <c r="G308" s="73"/>
    </row>
    <row r="309">
      <c r="A309" s="72"/>
      <c r="F309" s="73"/>
      <c r="G309" s="73"/>
    </row>
    <row r="310">
      <c r="A310" s="72"/>
      <c r="F310" s="73"/>
      <c r="G310" s="73"/>
    </row>
    <row r="311">
      <c r="A311" s="72"/>
      <c r="F311" s="73"/>
      <c r="G311" s="73"/>
    </row>
    <row r="312">
      <c r="A312" s="72"/>
      <c r="F312" s="73"/>
      <c r="G312" s="73"/>
    </row>
    <row r="313">
      <c r="A313" s="72"/>
      <c r="F313" s="73"/>
      <c r="G313" s="73"/>
    </row>
    <row r="314">
      <c r="A314" s="72"/>
      <c r="F314" s="73"/>
      <c r="G314" s="73"/>
    </row>
    <row r="315">
      <c r="A315" s="72"/>
      <c r="F315" s="73"/>
      <c r="G315" s="73"/>
    </row>
    <row r="316">
      <c r="A316" s="72"/>
      <c r="F316" s="73"/>
      <c r="G316" s="73"/>
    </row>
    <row r="317">
      <c r="A317" s="72"/>
      <c r="F317" s="73"/>
      <c r="G317" s="73"/>
    </row>
    <row r="318">
      <c r="A318" s="72"/>
      <c r="F318" s="73"/>
      <c r="G318" s="73"/>
    </row>
    <row r="319">
      <c r="A319" s="72"/>
      <c r="F319" s="73"/>
      <c r="G319" s="73"/>
    </row>
    <row r="320">
      <c r="A320" s="72"/>
      <c r="F320" s="73"/>
      <c r="G320" s="73"/>
    </row>
    <row r="321">
      <c r="A321" s="72"/>
      <c r="F321" s="73"/>
      <c r="G321" s="73"/>
    </row>
    <row r="322">
      <c r="A322" s="72"/>
      <c r="F322" s="73"/>
      <c r="G322" s="73"/>
    </row>
    <row r="323">
      <c r="A323" s="72"/>
      <c r="F323" s="73"/>
      <c r="G323" s="73"/>
    </row>
    <row r="324">
      <c r="A324" s="72"/>
      <c r="F324" s="73"/>
      <c r="G324" s="73"/>
    </row>
    <row r="325">
      <c r="A325" s="72"/>
      <c r="F325" s="73"/>
      <c r="G325" s="73"/>
    </row>
    <row r="326">
      <c r="A326" s="72"/>
      <c r="F326" s="73"/>
      <c r="G326" s="73"/>
    </row>
    <row r="327">
      <c r="A327" s="72"/>
      <c r="F327" s="73"/>
      <c r="G327" s="73"/>
    </row>
    <row r="328">
      <c r="A328" s="72"/>
      <c r="F328" s="73"/>
      <c r="G328" s="73"/>
    </row>
    <row r="329">
      <c r="A329" s="72"/>
      <c r="F329" s="73"/>
      <c r="G329" s="73"/>
    </row>
    <row r="330">
      <c r="A330" s="72"/>
      <c r="F330" s="73"/>
      <c r="G330" s="73"/>
    </row>
    <row r="331">
      <c r="A331" s="72"/>
      <c r="F331" s="73"/>
      <c r="G331" s="73"/>
    </row>
    <row r="332">
      <c r="A332" s="72"/>
      <c r="F332" s="73"/>
      <c r="G332" s="73"/>
    </row>
    <row r="333">
      <c r="A333" s="72"/>
      <c r="F333" s="73"/>
      <c r="G333" s="73"/>
    </row>
    <row r="334">
      <c r="A334" s="72"/>
      <c r="F334" s="73"/>
      <c r="G334" s="73"/>
    </row>
    <row r="335">
      <c r="A335" s="72"/>
      <c r="F335" s="73"/>
      <c r="G335" s="73"/>
    </row>
    <row r="336">
      <c r="A336" s="72"/>
      <c r="F336" s="73"/>
      <c r="G336" s="73"/>
    </row>
    <row r="337">
      <c r="A337" s="72"/>
      <c r="F337" s="73"/>
      <c r="G337" s="73"/>
    </row>
    <row r="338">
      <c r="A338" s="72"/>
      <c r="F338" s="73"/>
      <c r="G338" s="73"/>
    </row>
    <row r="339">
      <c r="A339" s="72"/>
      <c r="F339" s="73"/>
      <c r="G339" s="73"/>
    </row>
    <row r="340">
      <c r="A340" s="72"/>
      <c r="F340" s="73"/>
      <c r="G340" s="73"/>
    </row>
    <row r="341">
      <c r="A341" s="72"/>
      <c r="F341" s="73"/>
      <c r="G341" s="73"/>
    </row>
    <row r="342">
      <c r="A342" s="72"/>
      <c r="F342" s="73"/>
      <c r="G342" s="73"/>
    </row>
    <row r="343">
      <c r="A343" s="72"/>
      <c r="F343" s="73"/>
      <c r="G343" s="73"/>
    </row>
    <row r="344">
      <c r="A344" s="72"/>
      <c r="F344" s="73"/>
      <c r="G344" s="73"/>
    </row>
    <row r="345">
      <c r="A345" s="72"/>
      <c r="F345" s="73"/>
      <c r="G345" s="73"/>
    </row>
    <row r="346">
      <c r="A346" s="72"/>
      <c r="F346" s="73"/>
      <c r="G346" s="73"/>
    </row>
    <row r="347">
      <c r="A347" s="72"/>
      <c r="F347" s="73"/>
      <c r="G347" s="73"/>
    </row>
    <row r="348">
      <c r="A348" s="72"/>
      <c r="F348" s="73"/>
      <c r="G348" s="73"/>
    </row>
    <row r="349">
      <c r="A349" s="72"/>
      <c r="F349" s="73"/>
      <c r="G349" s="73"/>
    </row>
    <row r="350">
      <c r="A350" s="72"/>
      <c r="F350" s="73"/>
      <c r="G350" s="73"/>
    </row>
    <row r="351">
      <c r="A351" s="72"/>
      <c r="F351" s="73"/>
      <c r="G351" s="73"/>
    </row>
    <row r="352">
      <c r="A352" s="72"/>
      <c r="F352" s="73"/>
      <c r="G352" s="73"/>
    </row>
    <row r="353">
      <c r="A353" s="72"/>
      <c r="F353" s="73"/>
      <c r="G353" s="73"/>
    </row>
    <row r="354">
      <c r="A354" s="72"/>
      <c r="F354" s="73"/>
      <c r="G354" s="73"/>
    </row>
    <row r="355">
      <c r="A355" s="72"/>
      <c r="F355" s="73"/>
      <c r="G355" s="73"/>
    </row>
    <row r="356">
      <c r="A356" s="72"/>
      <c r="F356" s="73"/>
      <c r="G356" s="73"/>
    </row>
    <row r="357">
      <c r="A357" s="72"/>
      <c r="F357" s="73"/>
      <c r="G357" s="73"/>
    </row>
    <row r="358">
      <c r="A358" s="72"/>
      <c r="F358" s="73"/>
      <c r="G358" s="73"/>
    </row>
    <row r="359">
      <c r="A359" s="72"/>
      <c r="F359" s="73"/>
      <c r="G359" s="73"/>
    </row>
    <row r="360">
      <c r="A360" s="72"/>
      <c r="F360" s="73"/>
      <c r="G360" s="73"/>
    </row>
    <row r="361">
      <c r="A361" s="72"/>
      <c r="F361" s="73"/>
      <c r="G361" s="73"/>
    </row>
    <row r="362">
      <c r="A362" s="72"/>
      <c r="F362" s="73"/>
      <c r="G362" s="73"/>
    </row>
    <row r="363">
      <c r="A363" s="72"/>
      <c r="F363" s="73"/>
      <c r="G363" s="73"/>
    </row>
    <row r="364">
      <c r="A364" s="72"/>
      <c r="F364" s="73"/>
      <c r="G364" s="73"/>
    </row>
    <row r="365">
      <c r="A365" s="72"/>
      <c r="F365" s="73"/>
      <c r="G365" s="73"/>
    </row>
    <row r="366">
      <c r="A366" s="72"/>
      <c r="F366" s="73"/>
      <c r="G366" s="73"/>
    </row>
    <row r="367">
      <c r="A367" s="72"/>
      <c r="F367" s="73"/>
      <c r="G367" s="73"/>
    </row>
    <row r="368">
      <c r="A368" s="72"/>
      <c r="F368" s="73"/>
      <c r="G368" s="73"/>
    </row>
    <row r="369">
      <c r="A369" s="72"/>
      <c r="F369" s="73"/>
      <c r="G369" s="73"/>
    </row>
    <row r="370">
      <c r="A370" s="72"/>
      <c r="F370" s="73"/>
      <c r="G370" s="73"/>
    </row>
    <row r="371">
      <c r="A371" s="72"/>
      <c r="F371" s="73"/>
      <c r="G371" s="73"/>
    </row>
    <row r="372">
      <c r="A372" s="72"/>
      <c r="F372" s="73"/>
      <c r="G372" s="73"/>
    </row>
    <row r="373">
      <c r="A373" s="72"/>
      <c r="F373" s="73"/>
      <c r="G373" s="73"/>
    </row>
    <row r="374">
      <c r="A374" s="72"/>
      <c r="F374" s="73"/>
      <c r="G374" s="73"/>
    </row>
    <row r="375">
      <c r="A375" s="72"/>
      <c r="F375" s="73"/>
      <c r="G375" s="73"/>
    </row>
    <row r="376">
      <c r="A376" s="72"/>
      <c r="F376" s="73"/>
      <c r="G376" s="73"/>
    </row>
    <row r="377">
      <c r="A377" s="72"/>
      <c r="F377" s="73"/>
      <c r="G377" s="73"/>
    </row>
    <row r="378">
      <c r="A378" s="72"/>
      <c r="F378" s="73"/>
      <c r="G378" s="73"/>
    </row>
    <row r="379">
      <c r="A379" s="72"/>
      <c r="F379" s="73"/>
      <c r="G379" s="73"/>
    </row>
    <row r="380">
      <c r="A380" s="72"/>
      <c r="F380" s="73"/>
      <c r="G380" s="73"/>
    </row>
    <row r="381">
      <c r="A381" s="72"/>
      <c r="F381" s="73"/>
      <c r="G381" s="73"/>
    </row>
    <row r="382">
      <c r="A382" s="72"/>
      <c r="F382" s="73"/>
      <c r="G382" s="73"/>
    </row>
    <row r="383">
      <c r="A383" s="72"/>
      <c r="F383" s="73"/>
      <c r="G383" s="73"/>
    </row>
    <row r="384">
      <c r="A384" s="72"/>
      <c r="F384" s="73"/>
      <c r="G384" s="73"/>
    </row>
    <row r="385">
      <c r="A385" s="72"/>
      <c r="F385" s="73"/>
      <c r="G385" s="73"/>
    </row>
    <row r="386">
      <c r="A386" s="72"/>
      <c r="F386" s="73"/>
      <c r="G386" s="73"/>
    </row>
    <row r="387">
      <c r="A387" s="72"/>
      <c r="F387" s="73"/>
      <c r="G387" s="73"/>
    </row>
    <row r="388">
      <c r="A388" s="72"/>
      <c r="F388" s="73"/>
      <c r="G388" s="73"/>
    </row>
    <row r="389">
      <c r="A389" s="72"/>
      <c r="F389" s="73"/>
      <c r="G389" s="73"/>
    </row>
    <row r="390">
      <c r="A390" s="72"/>
      <c r="F390" s="73"/>
      <c r="G390" s="73"/>
    </row>
    <row r="391">
      <c r="A391" s="72"/>
      <c r="F391" s="73"/>
      <c r="G391" s="73"/>
    </row>
    <row r="392">
      <c r="A392" s="72"/>
      <c r="F392" s="73"/>
      <c r="G392" s="73"/>
    </row>
    <row r="393">
      <c r="A393" s="72"/>
      <c r="F393" s="73"/>
      <c r="G393" s="73"/>
    </row>
    <row r="394">
      <c r="A394" s="72"/>
      <c r="F394" s="73"/>
      <c r="G394" s="73"/>
    </row>
    <row r="395">
      <c r="A395" s="72"/>
      <c r="F395" s="73"/>
      <c r="G395" s="73"/>
    </row>
    <row r="396">
      <c r="A396" s="72"/>
      <c r="F396" s="73"/>
      <c r="G396" s="73"/>
    </row>
    <row r="397">
      <c r="A397" s="72"/>
      <c r="F397" s="73"/>
      <c r="G397" s="73"/>
    </row>
    <row r="398">
      <c r="A398" s="72"/>
      <c r="F398" s="73"/>
      <c r="G398" s="73"/>
    </row>
    <row r="399">
      <c r="A399" s="72"/>
      <c r="F399" s="73"/>
      <c r="G399" s="73"/>
    </row>
    <row r="400">
      <c r="A400" s="72"/>
      <c r="F400" s="73"/>
      <c r="G400" s="73"/>
    </row>
    <row r="401">
      <c r="A401" s="72"/>
      <c r="F401" s="73"/>
      <c r="G401" s="73"/>
    </row>
    <row r="402">
      <c r="A402" s="72"/>
      <c r="F402" s="73"/>
      <c r="G402" s="73"/>
    </row>
    <row r="403">
      <c r="A403" s="72"/>
      <c r="F403" s="73"/>
      <c r="G403" s="73"/>
    </row>
    <row r="404">
      <c r="A404" s="72"/>
      <c r="F404" s="73"/>
      <c r="G404" s="73"/>
    </row>
    <row r="405">
      <c r="A405" s="72"/>
      <c r="F405" s="73"/>
      <c r="G405" s="73"/>
    </row>
    <row r="406">
      <c r="A406" s="72"/>
      <c r="F406" s="73"/>
      <c r="G406" s="73"/>
    </row>
    <row r="407">
      <c r="A407" s="72"/>
      <c r="F407" s="73"/>
      <c r="G407" s="73"/>
    </row>
    <row r="408">
      <c r="A408" s="72"/>
      <c r="F408" s="73"/>
      <c r="G408" s="73"/>
    </row>
    <row r="409">
      <c r="A409" s="72"/>
      <c r="F409" s="73"/>
      <c r="G409" s="73"/>
    </row>
    <row r="410">
      <c r="A410" s="72"/>
      <c r="F410" s="73"/>
      <c r="G410" s="73"/>
    </row>
    <row r="411">
      <c r="A411" s="72"/>
      <c r="F411" s="73"/>
      <c r="G411" s="73"/>
    </row>
    <row r="412">
      <c r="A412" s="72"/>
      <c r="F412" s="73"/>
      <c r="G412" s="73"/>
    </row>
    <row r="413">
      <c r="A413" s="72"/>
      <c r="F413" s="73"/>
      <c r="G413" s="73"/>
    </row>
    <row r="414">
      <c r="A414" s="72"/>
      <c r="F414" s="73"/>
      <c r="G414" s="73"/>
    </row>
    <row r="415">
      <c r="A415" s="72"/>
      <c r="F415" s="73"/>
      <c r="G415" s="73"/>
    </row>
    <row r="416">
      <c r="A416" s="72"/>
      <c r="F416" s="73"/>
      <c r="G416" s="73"/>
    </row>
    <row r="417">
      <c r="A417" s="72"/>
      <c r="F417" s="73"/>
      <c r="G417" s="73"/>
    </row>
    <row r="418">
      <c r="A418" s="72"/>
      <c r="F418" s="73"/>
      <c r="G418" s="73"/>
    </row>
    <row r="419">
      <c r="A419" s="72"/>
      <c r="F419" s="73"/>
      <c r="G419" s="73"/>
    </row>
    <row r="420">
      <c r="A420" s="72"/>
      <c r="F420" s="73"/>
      <c r="G420" s="73"/>
    </row>
    <row r="421">
      <c r="A421" s="72"/>
      <c r="F421" s="73"/>
      <c r="G421" s="73"/>
    </row>
    <row r="422">
      <c r="A422" s="72"/>
      <c r="F422" s="73"/>
      <c r="G422" s="73"/>
    </row>
    <row r="423">
      <c r="A423" s="72"/>
      <c r="F423" s="73"/>
      <c r="G423" s="73"/>
    </row>
    <row r="424">
      <c r="A424" s="72"/>
      <c r="F424" s="73"/>
      <c r="G424" s="73"/>
    </row>
    <row r="425">
      <c r="A425" s="72"/>
      <c r="F425" s="73"/>
      <c r="G425" s="73"/>
    </row>
    <row r="426">
      <c r="A426" s="72"/>
      <c r="F426" s="73"/>
      <c r="G426" s="73"/>
    </row>
    <row r="427">
      <c r="A427" s="72"/>
      <c r="F427" s="73"/>
      <c r="G427" s="73"/>
    </row>
    <row r="428">
      <c r="A428" s="72"/>
      <c r="F428" s="73"/>
      <c r="G428" s="73"/>
    </row>
    <row r="429">
      <c r="A429" s="72"/>
      <c r="F429" s="73"/>
      <c r="G429" s="73"/>
    </row>
    <row r="430">
      <c r="A430" s="72"/>
      <c r="F430" s="73"/>
      <c r="G430" s="73"/>
    </row>
    <row r="431">
      <c r="A431" s="72"/>
      <c r="F431" s="73"/>
      <c r="G431" s="73"/>
    </row>
    <row r="432">
      <c r="A432" s="72"/>
      <c r="F432" s="73"/>
      <c r="G432" s="73"/>
    </row>
    <row r="433">
      <c r="A433" s="72"/>
      <c r="F433" s="73"/>
      <c r="G433" s="73"/>
    </row>
    <row r="434">
      <c r="A434" s="72"/>
      <c r="F434" s="73"/>
      <c r="G434" s="73"/>
    </row>
    <row r="435">
      <c r="A435" s="72"/>
      <c r="F435" s="73"/>
      <c r="G435" s="73"/>
    </row>
    <row r="436">
      <c r="A436" s="72"/>
      <c r="F436" s="73"/>
      <c r="G436" s="73"/>
    </row>
    <row r="437">
      <c r="A437" s="72"/>
      <c r="F437" s="73"/>
      <c r="G437" s="73"/>
    </row>
    <row r="438">
      <c r="A438" s="72"/>
      <c r="F438" s="73"/>
      <c r="G438" s="73"/>
    </row>
    <row r="439">
      <c r="A439" s="72"/>
      <c r="F439" s="73"/>
      <c r="G439" s="73"/>
    </row>
    <row r="440">
      <c r="A440" s="72"/>
      <c r="F440" s="73"/>
      <c r="G440" s="73"/>
    </row>
    <row r="441">
      <c r="A441" s="72"/>
      <c r="F441" s="73"/>
      <c r="G441" s="73"/>
    </row>
    <row r="442">
      <c r="A442" s="72"/>
      <c r="F442" s="73"/>
      <c r="G442" s="73"/>
    </row>
    <row r="443">
      <c r="A443" s="72"/>
      <c r="F443" s="73"/>
      <c r="G443" s="73"/>
    </row>
    <row r="444">
      <c r="A444" s="72"/>
      <c r="F444" s="73"/>
      <c r="G444" s="73"/>
    </row>
    <row r="445">
      <c r="A445" s="72"/>
      <c r="F445" s="73"/>
      <c r="G445" s="73"/>
    </row>
    <row r="446">
      <c r="A446" s="72"/>
      <c r="F446" s="73"/>
      <c r="G446" s="73"/>
    </row>
    <row r="447">
      <c r="A447" s="72"/>
      <c r="F447" s="73"/>
      <c r="G447" s="73"/>
    </row>
    <row r="448">
      <c r="A448" s="72"/>
      <c r="F448" s="73"/>
      <c r="G448" s="73"/>
    </row>
    <row r="449">
      <c r="A449" s="72"/>
      <c r="F449" s="73"/>
      <c r="G449" s="73"/>
    </row>
    <row r="450">
      <c r="A450" s="72"/>
      <c r="F450" s="73"/>
      <c r="G450" s="73"/>
    </row>
    <row r="451">
      <c r="A451" s="72"/>
      <c r="F451" s="73"/>
      <c r="G451" s="73"/>
    </row>
    <row r="452">
      <c r="A452" s="72"/>
      <c r="F452" s="73"/>
      <c r="G452" s="73"/>
    </row>
    <row r="453">
      <c r="A453" s="72"/>
      <c r="F453" s="73"/>
      <c r="G453" s="73"/>
    </row>
    <row r="454">
      <c r="A454" s="72"/>
      <c r="F454" s="73"/>
      <c r="G454" s="73"/>
    </row>
    <row r="455">
      <c r="A455" s="72"/>
      <c r="F455" s="73"/>
      <c r="G455" s="73"/>
    </row>
    <row r="456">
      <c r="A456" s="72"/>
      <c r="F456" s="73"/>
      <c r="G456" s="73"/>
    </row>
    <row r="457">
      <c r="A457" s="72"/>
      <c r="F457" s="73"/>
      <c r="G457" s="73"/>
    </row>
    <row r="458">
      <c r="A458" s="72"/>
      <c r="F458" s="73"/>
      <c r="G458" s="73"/>
    </row>
    <row r="459">
      <c r="A459" s="72"/>
      <c r="F459" s="73"/>
      <c r="G459" s="73"/>
    </row>
    <row r="460">
      <c r="A460" s="72"/>
      <c r="F460" s="73"/>
      <c r="G460" s="73"/>
    </row>
    <row r="461">
      <c r="A461" s="72"/>
      <c r="F461" s="73"/>
      <c r="G461" s="73"/>
    </row>
    <row r="462">
      <c r="A462" s="72"/>
      <c r="F462" s="73"/>
      <c r="G462" s="73"/>
    </row>
    <row r="463">
      <c r="A463" s="72"/>
      <c r="F463" s="73"/>
      <c r="G463" s="73"/>
    </row>
    <row r="464">
      <c r="A464" s="72"/>
      <c r="F464" s="73"/>
      <c r="G464" s="73"/>
    </row>
    <row r="465">
      <c r="A465" s="72"/>
      <c r="F465" s="73"/>
      <c r="G465" s="73"/>
    </row>
    <row r="466">
      <c r="A466" s="72"/>
      <c r="F466" s="73"/>
      <c r="G466" s="73"/>
    </row>
    <row r="467">
      <c r="A467" s="72"/>
      <c r="F467" s="73"/>
      <c r="G467" s="73"/>
    </row>
    <row r="468">
      <c r="A468" s="72"/>
      <c r="F468" s="73"/>
      <c r="G468" s="73"/>
    </row>
    <row r="469">
      <c r="A469" s="72"/>
      <c r="F469" s="73"/>
      <c r="G469" s="73"/>
    </row>
    <row r="470">
      <c r="A470" s="72"/>
      <c r="F470" s="73"/>
      <c r="G470" s="73"/>
    </row>
    <row r="471">
      <c r="A471" s="72"/>
      <c r="F471" s="73"/>
      <c r="G471" s="73"/>
    </row>
    <row r="472">
      <c r="A472" s="72"/>
      <c r="F472" s="73"/>
      <c r="G472" s="73"/>
    </row>
    <row r="473">
      <c r="A473" s="72"/>
      <c r="F473" s="73"/>
      <c r="G473" s="73"/>
    </row>
    <row r="474">
      <c r="A474" s="72"/>
      <c r="F474" s="73"/>
      <c r="G474" s="73"/>
    </row>
    <row r="475">
      <c r="A475" s="72"/>
      <c r="F475" s="73"/>
      <c r="G475" s="73"/>
    </row>
    <row r="476">
      <c r="A476" s="72"/>
      <c r="F476" s="73"/>
      <c r="G476" s="73"/>
    </row>
    <row r="477">
      <c r="A477" s="72"/>
      <c r="F477" s="73"/>
      <c r="G477" s="73"/>
    </row>
    <row r="478">
      <c r="A478" s="72"/>
      <c r="F478" s="73"/>
      <c r="G478" s="73"/>
    </row>
    <row r="479">
      <c r="A479" s="72"/>
      <c r="F479" s="73"/>
      <c r="G479" s="73"/>
    </row>
    <row r="480">
      <c r="A480" s="72"/>
      <c r="F480" s="73"/>
      <c r="G480" s="73"/>
    </row>
    <row r="481">
      <c r="A481" s="72"/>
      <c r="F481" s="73"/>
      <c r="G481" s="73"/>
    </row>
    <row r="482">
      <c r="A482" s="72"/>
      <c r="F482" s="73"/>
      <c r="G482" s="73"/>
    </row>
    <row r="483">
      <c r="A483" s="72"/>
      <c r="F483" s="73"/>
      <c r="G483" s="73"/>
    </row>
    <row r="484">
      <c r="A484" s="72"/>
      <c r="F484" s="73"/>
      <c r="G484" s="73"/>
    </row>
    <row r="485">
      <c r="A485" s="72"/>
      <c r="F485" s="73"/>
      <c r="G485" s="73"/>
    </row>
    <row r="486">
      <c r="A486" s="72"/>
      <c r="F486" s="73"/>
      <c r="G486" s="73"/>
    </row>
    <row r="487">
      <c r="A487" s="72"/>
      <c r="F487" s="73"/>
      <c r="G487" s="73"/>
    </row>
    <row r="488">
      <c r="A488" s="72"/>
      <c r="F488" s="73"/>
      <c r="G488" s="73"/>
    </row>
    <row r="489">
      <c r="A489" s="72"/>
      <c r="F489" s="73"/>
      <c r="G489" s="73"/>
    </row>
    <row r="490">
      <c r="A490" s="72"/>
      <c r="F490" s="73"/>
      <c r="G490" s="73"/>
    </row>
    <row r="491">
      <c r="A491" s="72"/>
      <c r="F491" s="73"/>
      <c r="G491" s="73"/>
    </row>
    <row r="492">
      <c r="A492" s="72"/>
      <c r="F492" s="73"/>
      <c r="G492" s="73"/>
    </row>
    <row r="493">
      <c r="A493" s="72"/>
      <c r="F493" s="73"/>
      <c r="G493" s="73"/>
    </row>
    <row r="494">
      <c r="A494" s="72"/>
      <c r="F494" s="73"/>
      <c r="G494" s="73"/>
    </row>
    <row r="495">
      <c r="A495" s="72"/>
      <c r="F495" s="73"/>
      <c r="G495" s="73"/>
    </row>
    <row r="496">
      <c r="A496" s="72"/>
      <c r="F496" s="73"/>
      <c r="G496" s="73"/>
    </row>
    <row r="497">
      <c r="A497" s="72"/>
      <c r="F497" s="73"/>
      <c r="G497" s="73"/>
    </row>
    <row r="498">
      <c r="A498" s="72"/>
      <c r="F498" s="73"/>
      <c r="G498" s="73"/>
    </row>
    <row r="499">
      <c r="A499" s="72"/>
      <c r="F499" s="73"/>
      <c r="G499" s="73"/>
    </row>
    <row r="500">
      <c r="A500" s="72"/>
      <c r="F500" s="73"/>
      <c r="G500" s="73"/>
    </row>
    <row r="501">
      <c r="A501" s="72"/>
      <c r="F501" s="73"/>
      <c r="G501" s="73"/>
    </row>
    <row r="502">
      <c r="A502" s="72"/>
      <c r="F502" s="73"/>
      <c r="G502" s="73"/>
    </row>
    <row r="503">
      <c r="A503" s="72"/>
      <c r="F503" s="73"/>
      <c r="G503" s="73"/>
    </row>
    <row r="504">
      <c r="A504" s="72"/>
      <c r="F504" s="73"/>
      <c r="G504" s="73"/>
    </row>
    <row r="505">
      <c r="A505" s="72"/>
      <c r="F505" s="73"/>
      <c r="G505" s="73"/>
    </row>
    <row r="506">
      <c r="A506" s="72"/>
      <c r="F506" s="73"/>
      <c r="G506" s="73"/>
    </row>
    <row r="507">
      <c r="A507" s="72"/>
      <c r="F507" s="73"/>
      <c r="G507" s="73"/>
    </row>
    <row r="508">
      <c r="A508" s="72"/>
      <c r="F508" s="73"/>
      <c r="G508" s="73"/>
    </row>
    <row r="509">
      <c r="A509" s="72"/>
      <c r="F509" s="73"/>
      <c r="G509" s="73"/>
    </row>
    <row r="510">
      <c r="A510" s="72"/>
      <c r="F510" s="73"/>
      <c r="G510" s="73"/>
    </row>
    <row r="511">
      <c r="A511" s="72"/>
      <c r="F511" s="73"/>
      <c r="G511" s="73"/>
    </row>
    <row r="512">
      <c r="A512" s="72"/>
      <c r="F512" s="73"/>
      <c r="G512" s="73"/>
    </row>
    <row r="513">
      <c r="A513" s="72"/>
      <c r="F513" s="73"/>
      <c r="G513" s="73"/>
    </row>
    <row r="514">
      <c r="A514" s="72"/>
      <c r="F514" s="73"/>
      <c r="G514" s="73"/>
    </row>
    <row r="515">
      <c r="A515" s="72"/>
      <c r="F515" s="73"/>
      <c r="G515" s="73"/>
    </row>
    <row r="516">
      <c r="A516" s="72"/>
      <c r="F516" s="73"/>
      <c r="G516" s="73"/>
    </row>
    <row r="517">
      <c r="A517" s="72"/>
      <c r="F517" s="73"/>
      <c r="G517" s="73"/>
    </row>
    <row r="518">
      <c r="A518" s="72"/>
      <c r="F518" s="73"/>
      <c r="G518" s="73"/>
    </row>
    <row r="519">
      <c r="A519" s="72"/>
      <c r="F519" s="73"/>
      <c r="G519" s="73"/>
    </row>
    <row r="520">
      <c r="A520" s="72"/>
      <c r="F520" s="73"/>
      <c r="G520" s="73"/>
    </row>
    <row r="521">
      <c r="A521" s="72"/>
      <c r="F521" s="73"/>
      <c r="G521" s="73"/>
    </row>
    <row r="522">
      <c r="A522" s="72"/>
      <c r="F522" s="73"/>
      <c r="G522" s="73"/>
    </row>
    <row r="523">
      <c r="A523" s="72"/>
      <c r="F523" s="73"/>
      <c r="G523" s="73"/>
    </row>
    <row r="524">
      <c r="A524" s="72"/>
      <c r="F524" s="73"/>
      <c r="G524" s="73"/>
    </row>
    <row r="525">
      <c r="A525" s="72"/>
      <c r="F525" s="73"/>
      <c r="G525" s="73"/>
    </row>
    <row r="526">
      <c r="A526" s="72"/>
      <c r="F526" s="73"/>
      <c r="G526" s="73"/>
    </row>
    <row r="527">
      <c r="A527" s="72"/>
      <c r="F527" s="73"/>
      <c r="G527" s="73"/>
    </row>
    <row r="528">
      <c r="A528" s="72"/>
      <c r="F528" s="73"/>
      <c r="G528" s="73"/>
    </row>
    <row r="529">
      <c r="A529" s="72"/>
      <c r="F529" s="73"/>
      <c r="G529" s="73"/>
    </row>
    <row r="530">
      <c r="A530" s="72"/>
      <c r="F530" s="73"/>
      <c r="G530" s="73"/>
    </row>
    <row r="531">
      <c r="A531" s="72"/>
      <c r="F531" s="73"/>
      <c r="G531" s="73"/>
    </row>
    <row r="532">
      <c r="A532" s="72"/>
      <c r="F532" s="73"/>
      <c r="G532" s="73"/>
    </row>
    <row r="533">
      <c r="A533" s="72"/>
      <c r="F533" s="73"/>
      <c r="G533" s="73"/>
    </row>
    <row r="534">
      <c r="A534" s="72"/>
      <c r="F534" s="73"/>
      <c r="G534" s="73"/>
    </row>
    <row r="535">
      <c r="A535" s="72"/>
      <c r="F535" s="73"/>
      <c r="G535" s="73"/>
    </row>
    <row r="536">
      <c r="A536" s="72"/>
      <c r="F536" s="73"/>
      <c r="G536" s="73"/>
    </row>
    <row r="537">
      <c r="A537" s="72"/>
      <c r="F537" s="73"/>
      <c r="G537" s="73"/>
    </row>
    <row r="538">
      <c r="A538" s="72"/>
      <c r="F538" s="73"/>
      <c r="G538" s="73"/>
    </row>
    <row r="539">
      <c r="A539" s="72"/>
      <c r="F539" s="73"/>
      <c r="G539" s="73"/>
    </row>
    <row r="540">
      <c r="A540" s="72"/>
      <c r="F540" s="73"/>
      <c r="G540" s="73"/>
    </row>
    <row r="541">
      <c r="A541" s="72"/>
      <c r="F541" s="73"/>
      <c r="G541" s="73"/>
    </row>
    <row r="542">
      <c r="A542" s="72"/>
      <c r="F542" s="73"/>
      <c r="G542" s="73"/>
    </row>
    <row r="543">
      <c r="A543" s="72"/>
      <c r="F543" s="73"/>
      <c r="G543" s="73"/>
    </row>
    <row r="544">
      <c r="A544" s="72"/>
      <c r="F544" s="73"/>
      <c r="G544" s="73"/>
    </row>
    <row r="545">
      <c r="A545" s="72"/>
      <c r="F545" s="73"/>
      <c r="G545" s="73"/>
    </row>
    <row r="546">
      <c r="A546" s="72"/>
      <c r="F546" s="73"/>
      <c r="G546" s="73"/>
    </row>
    <row r="547">
      <c r="A547" s="72"/>
      <c r="F547" s="73"/>
      <c r="G547" s="73"/>
    </row>
    <row r="548">
      <c r="A548" s="72"/>
      <c r="F548" s="73"/>
      <c r="G548" s="73"/>
    </row>
    <row r="549">
      <c r="A549" s="72"/>
      <c r="F549" s="73"/>
      <c r="G549" s="73"/>
    </row>
    <row r="550">
      <c r="A550" s="72"/>
      <c r="F550" s="73"/>
      <c r="G550" s="73"/>
    </row>
    <row r="551">
      <c r="A551" s="72"/>
      <c r="F551" s="73"/>
      <c r="G551" s="73"/>
    </row>
    <row r="552">
      <c r="A552" s="72"/>
      <c r="F552" s="73"/>
      <c r="G552" s="73"/>
    </row>
    <row r="553">
      <c r="A553" s="72"/>
      <c r="F553" s="73"/>
      <c r="G553" s="73"/>
    </row>
    <row r="554">
      <c r="A554" s="72"/>
      <c r="F554" s="73"/>
      <c r="G554" s="73"/>
    </row>
    <row r="555">
      <c r="A555" s="72"/>
      <c r="F555" s="73"/>
      <c r="G555" s="73"/>
    </row>
    <row r="556">
      <c r="A556" s="72"/>
      <c r="F556" s="73"/>
      <c r="G556" s="73"/>
    </row>
    <row r="557">
      <c r="A557" s="72"/>
      <c r="F557" s="73"/>
      <c r="G557" s="73"/>
    </row>
    <row r="558">
      <c r="A558" s="72"/>
      <c r="F558" s="73"/>
      <c r="G558" s="73"/>
    </row>
    <row r="559">
      <c r="A559" s="72"/>
      <c r="F559" s="73"/>
      <c r="G559" s="73"/>
    </row>
    <row r="560">
      <c r="A560" s="72"/>
      <c r="F560" s="73"/>
      <c r="G560" s="73"/>
    </row>
    <row r="561">
      <c r="A561" s="72"/>
      <c r="F561" s="73"/>
      <c r="G561" s="73"/>
    </row>
    <row r="562">
      <c r="A562" s="72"/>
      <c r="F562" s="73"/>
      <c r="G562" s="73"/>
    </row>
    <row r="563">
      <c r="A563" s="72"/>
      <c r="F563" s="73"/>
      <c r="G563" s="73"/>
    </row>
    <row r="564">
      <c r="A564" s="72"/>
      <c r="F564" s="73"/>
      <c r="G564" s="73"/>
    </row>
    <row r="565">
      <c r="A565" s="72"/>
      <c r="F565" s="73"/>
      <c r="G565" s="73"/>
    </row>
    <row r="566">
      <c r="A566" s="72"/>
      <c r="F566" s="73"/>
      <c r="G566" s="73"/>
    </row>
    <row r="567">
      <c r="A567" s="72"/>
      <c r="F567" s="73"/>
      <c r="G567" s="73"/>
    </row>
    <row r="568">
      <c r="A568" s="72"/>
      <c r="F568" s="73"/>
      <c r="G568" s="73"/>
    </row>
    <row r="569">
      <c r="A569" s="72"/>
      <c r="F569" s="73"/>
      <c r="G569" s="73"/>
    </row>
    <row r="570">
      <c r="A570" s="72"/>
      <c r="F570" s="73"/>
      <c r="G570" s="73"/>
    </row>
    <row r="571">
      <c r="A571" s="72"/>
      <c r="F571" s="73"/>
      <c r="G571" s="73"/>
    </row>
    <row r="572">
      <c r="A572" s="72"/>
      <c r="F572" s="73"/>
      <c r="G572" s="73"/>
    </row>
    <row r="573">
      <c r="A573" s="72"/>
      <c r="F573" s="73"/>
      <c r="G573" s="73"/>
    </row>
    <row r="574">
      <c r="A574" s="72"/>
      <c r="F574" s="73"/>
      <c r="G574" s="73"/>
    </row>
    <row r="575">
      <c r="A575" s="72"/>
      <c r="F575" s="73"/>
      <c r="G575" s="73"/>
    </row>
    <row r="576">
      <c r="A576" s="72"/>
      <c r="F576" s="73"/>
      <c r="G576" s="73"/>
    </row>
    <row r="577">
      <c r="A577" s="72"/>
      <c r="F577" s="73"/>
      <c r="G577" s="73"/>
    </row>
    <row r="578">
      <c r="A578" s="72"/>
      <c r="F578" s="73"/>
      <c r="G578" s="73"/>
    </row>
    <row r="579">
      <c r="A579" s="72"/>
      <c r="F579" s="73"/>
      <c r="G579" s="73"/>
    </row>
    <row r="580">
      <c r="A580" s="72"/>
      <c r="F580" s="73"/>
      <c r="G580" s="73"/>
    </row>
    <row r="581">
      <c r="A581" s="72"/>
      <c r="F581" s="73"/>
      <c r="G581" s="73"/>
    </row>
    <row r="582">
      <c r="A582" s="72"/>
      <c r="F582" s="73"/>
      <c r="G582" s="73"/>
    </row>
    <row r="583">
      <c r="A583" s="72"/>
      <c r="F583" s="73"/>
      <c r="G583" s="73"/>
    </row>
    <row r="584">
      <c r="A584" s="72"/>
      <c r="F584" s="73"/>
      <c r="G584" s="73"/>
    </row>
    <row r="585">
      <c r="A585" s="72"/>
      <c r="F585" s="73"/>
      <c r="G585" s="73"/>
    </row>
    <row r="586">
      <c r="A586" s="72"/>
      <c r="F586" s="73"/>
      <c r="G586" s="73"/>
    </row>
    <row r="587">
      <c r="A587" s="72"/>
      <c r="F587" s="73"/>
      <c r="G587" s="73"/>
    </row>
    <row r="588">
      <c r="A588" s="72"/>
      <c r="F588" s="73"/>
      <c r="G588" s="73"/>
    </row>
    <row r="589">
      <c r="A589" s="72"/>
      <c r="F589" s="73"/>
      <c r="G589" s="73"/>
    </row>
    <row r="590">
      <c r="A590" s="72"/>
      <c r="F590" s="73"/>
      <c r="G590" s="73"/>
    </row>
    <row r="591">
      <c r="A591" s="72"/>
      <c r="F591" s="73"/>
      <c r="G591" s="73"/>
    </row>
    <row r="592">
      <c r="A592" s="72"/>
      <c r="F592" s="73"/>
      <c r="G592" s="73"/>
    </row>
    <row r="593">
      <c r="A593" s="72"/>
      <c r="F593" s="73"/>
      <c r="G593" s="73"/>
    </row>
    <row r="594">
      <c r="A594" s="72"/>
      <c r="F594" s="73"/>
      <c r="G594" s="73"/>
    </row>
    <row r="595">
      <c r="A595" s="72"/>
      <c r="F595" s="73"/>
      <c r="G595" s="73"/>
    </row>
    <row r="596">
      <c r="A596" s="72"/>
      <c r="F596" s="73"/>
      <c r="G596" s="73"/>
    </row>
    <row r="597">
      <c r="A597" s="72"/>
      <c r="F597" s="73"/>
      <c r="G597" s="73"/>
    </row>
    <row r="598">
      <c r="A598" s="72"/>
      <c r="F598" s="73"/>
      <c r="G598" s="73"/>
    </row>
    <row r="599">
      <c r="A599" s="72"/>
      <c r="F599" s="73"/>
      <c r="G599" s="73"/>
    </row>
    <row r="600">
      <c r="A600" s="72"/>
      <c r="F600" s="73"/>
      <c r="G600" s="73"/>
    </row>
    <row r="601">
      <c r="A601" s="72"/>
      <c r="F601" s="73"/>
      <c r="G601" s="73"/>
    </row>
    <row r="602">
      <c r="A602" s="72"/>
      <c r="F602" s="73"/>
      <c r="G602" s="73"/>
    </row>
    <row r="603">
      <c r="A603" s="72"/>
      <c r="F603" s="73"/>
      <c r="G603" s="73"/>
    </row>
    <row r="604">
      <c r="A604" s="72"/>
      <c r="F604" s="73"/>
      <c r="G604" s="73"/>
    </row>
    <row r="605">
      <c r="A605" s="72"/>
      <c r="F605" s="73"/>
      <c r="G605" s="73"/>
    </row>
    <row r="606">
      <c r="A606" s="72"/>
      <c r="F606" s="73"/>
      <c r="G606" s="73"/>
    </row>
    <row r="607">
      <c r="A607" s="72"/>
      <c r="F607" s="73"/>
      <c r="G607" s="73"/>
    </row>
    <row r="608">
      <c r="A608" s="72"/>
      <c r="F608" s="73"/>
      <c r="G608" s="73"/>
    </row>
    <row r="609">
      <c r="A609" s="72"/>
      <c r="F609" s="73"/>
      <c r="G609" s="73"/>
    </row>
    <row r="610">
      <c r="A610" s="72"/>
      <c r="F610" s="73"/>
      <c r="G610" s="73"/>
    </row>
    <row r="611">
      <c r="A611" s="72"/>
      <c r="F611" s="73"/>
      <c r="G611" s="73"/>
    </row>
    <row r="612">
      <c r="A612" s="72"/>
      <c r="F612" s="73"/>
      <c r="G612" s="73"/>
    </row>
    <row r="613">
      <c r="A613" s="72"/>
      <c r="F613" s="73"/>
      <c r="G613" s="73"/>
    </row>
    <row r="614">
      <c r="A614" s="72"/>
      <c r="F614" s="73"/>
      <c r="G614" s="73"/>
    </row>
    <row r="615">
      <c r="A615" s="72"/>
      <c r="F615" s="73"/>
      <c r="G615" s="73"/>
    </row>
    <row r="616">
      <c r="A616" s="72"/>
      <c r="F616" s="73"/>
      <c r="G616" s="73"/>
    </row>
    <row r="617">
      <c r="A617" s="72"/>
      <c r="F617" s="73"/>
      <c r="G617" s="73"/>
    </row>
    <row r="618">
      <c r="A618" s="72"/>
      <c r="F618" s="73"/>
      <c r="G618" s="73"/>
    </row>
    <row r="619">
      <c r="A619" s="72"/>
      <c r="F619" s="73"/>
      <c r="G619" s="73"/>
    </row>
    <row r="620">
      <c r="A620" s="72"/>
      <c r="F620" s="73"/>
      <c r="G620" s="73"/>
    </row>
    <row r="621">
      <c r="A621" s="72"/>
      <c r="F621" s="73"/>
      <c r="G621" s="73"/>
    </row>
    <row r="622">
      <c r="A622" s="72"/>
      <c r="F622" s="73"/>
      <c r="G622" s="73"/>
    </row>
    <row r="623">
      <c r="A623" s="72"/>
      <c r="F623" s="73"/>
      <c r="G623" s="73"/>
    </row>
    <row r="624">
      <c r="A624" s="72"/>
      <c r="F624" s="73"/>
      <c r="G624" s="73"/>
    </row>
    <row r="625">
      <c r="A625" s="72"/>
      <c r="F625" s="73"/>
      <c r="G625" s="73"/>
    </row>
    <row r="626">
      <c r="A626" s="72"/>
      <c r="F626" s="73"/>
      <c r="G626" s="73"/>
    </row>
    <row r="627">
      <c r="A627" s="72"/>
      <c r="F627" s="73"/>
      <c r="G627" s="73"/>
    </row>
    <row r="628">
      <c r="A628" s="72"/>
      <c r="F628" s="73"/>
      <c r="G628" s="73"/>
    </row>
    <row r="629">
      <c r="A629" s="72"/>
      <c r="F629" s="73"/>
      <c r="G629" s="73"/>
    </row>
    <row r="630">
      <c r="A630" s="72"/>
      <c r="F630" s="73"/>
      <c r="G630" s="73"/>
    </row>
    <row r="631">
      <c r="A631" s="72"/>
      <c r="F631" s="73"/>
      <c r="G631" s="73"/>
    </row>
    <row r="632">
      <c r="A632" s="72"/>
      <c r="F632" s="73"/>
      <c r="G632" s="73"/>
    </row>
    <row r="633">
      <c r="A633" s="72"/>
      <c r="F633" s="73"/>
      <c r="G633" s="73"/>
    </row>
    <row r="634">
      <c r="A634" s="72"/>
      <c r="F634" s="73"/>
      <c r="G634" s="73"/>
    </row>
    <row r="635">
      <c r="A635" s="72"/>
      <c r="F635" s="73"/>
      <c r="G635" s="73"/>
    </row>
    <row r="636">
      <c r="A636" s="72"/>
      <c r="F636" s="73"/>
      <c r="G636" s="73"/>
    </row>
    <row r="637">
      <c r="A637" s="72"/>
      <c r="F637" s="73"/>
      <c r="G637" s="73"/>
    </row>
    <row r="638">
      <c r="A638" s="72"/>
      <c r="F638" s="73"/>
      <c r="G638" s="73"/>
    </row>
    <row r="639">
      <c r="A639" s="72"/>
      <c r="F639" s="73"/>
      <c r="G639" s="73"/>
    </row>
    <row r="640">
      <c r="A640" s="72"/>
      <c r="F640" s="73"/>
      <c r="G640" s="73"/>
    </row>
    <row r="641">
      <c r="A641" s="72"/>
      <c r="F641" s="73"/>
      <c r="G641" s="73"/>
    </row>
    <row r="642">
      <c r="A642" s="72"/>
      <c r="F642" s="73"/>
      <c r="G642" s="73"/>
    </row>
    <row r="643">
      <c r="A643" s="72"/>
      <c r="F643" s="73"/>
      <c r="G643" s="73"/>
    </row>
    <row r="644">
      <c r="A644" s="72"/>
      <c r="F644" s="73"/>
      <c r="G644" s="73"/>
    </row>
    <row r="645">
      <c r="A645" s="72"/>
      <c r="F645" s="73"/>
      <c r="G645" s="73"/>
    </row>
    <row r="646">
      <c r="A646" s="72"/>
      <c r="F646" s="73"/>
      <c r="G646" s="73"/>
    </row>
    <row r="647">
      <c r="A647" s="72"/>
      <c r="F647" s="73"/>
      <c r="G647" s="73"/>
    </row>
    <row r="648">
      <c r="A648" s="72"/>
      <c r="F648" s="73"/>
      <c r="G648" s="73"/>
    </row>
    <row r="649">
      <c r="A649" s="72"/>
      <c r="F649" s="73"/>
      <c r="G649" s="73"/>
    </row>
    <row r="650">
      <c r="A650" s="72"/>
      <c r="F650" s="73"/>
      <c r="G650" s="73"/>
    </row>
    <row r="651">
      <c r="A651" s="72"/>
      <c r="F651" s="73"/>
      <c r="G651" s="73"/>
    </row>
    <row r="652">
      <c r="A652" s="72"/>
      <c r="F652" s="73"/>
      <c r="G652" s="73"/>
    </row>
    <row r="653">
      <c r="A653" s="72"/>
      <c r="F653" s="73"/>
      <c r="G653" s="73"/>
    </row>
    <row r="654">
      <c r="A654" s="72"/>
      <c r="F654" s="73"/>
      <c r="G654" s="73"/>
    </row>
    <row r="655">
      <c r="A655" s="72"/>
      <c r="F655" s="73"/>
      <c r="G655" s="73"/>
    </row>
    <row r="656">
      <c r="A656" s="72"/>
      <c r="F656" s="73"/>
      <c r="G656" s="73"/>
    </row>
    <row r="657">
      <c r="A657" s="72"/>
      <c r="F657" s="73"/>
      <c r="G657" s="73"/>
    </row>
    <row r="658">
      <c r="A658" s="72"/>
      <c r="F658" s="73"/>
      <c r="G658" s="73"/>
    </row>
    <row r="659">
      <c r="A659" s="72"/>
      <c r="F659" s="73"/>
      <c r="G659" s="73"/>
    </row>
    <row r="660">
      <c r="A660" s="72"/>
      <c r="F660" s="73"/>
      <c r="G660" s="73"/>
    </row>
    <row r="661">
      <c r="A661" s="72"/>
      <c r="F661" s="73"/>
      <c r="G661" s="73"/>
    </row>
    <row r="662">
      <c r="A662" s="72"/>
      <c r="F662" s="73"/>
      <c r="G662" s="73"/>
    </row>
    <row r="663">
      <c r="A663" s="72"/>
      <c r="F663" s="73"/>
      <c r="G663" s="73"/>
    </row>
    <row r="664">
      <c r="A664" s="72"/>
      <c r="F664" s="73"/>
      <c r="G664" s="73"/>
    </row>
    <row r="665">
      <c r="A665" s="72"/>
      <c r="F665" s="73"/>
      <c r="G665" s="73"/>
    </row>
    <row r="666">
      <c r="A666" s="72"/>
      <c r="F666" s="73"/>
      <c r="G666" s="73"/>
    </row>
    <row r="667">
      <c r="A667" s="72"/>
      <c r="F667" s="73"/>
      <c r="G667" s="73"/>
    </row>
    <row r="668">
      <c r="A668" s="72"/>
      <c r="F668" s="73"/>
      <c r="G668" s="73"/>
    </row>
    <row r="669">
      <c r="A669" s="72"/>
      <c r="F669" s="73"/>
      <c r="G669" s="73"/>
    </row>
    <row r="670">
      <c r="A670" s="72"/>
      <c r="F670" s="73"/>
      <c r="G670" s="73"/>
    </row>
    <row r="671">
      <c r="A671" s="72"/>
      <c r="F671" s="73"/>
      <c r="G671" s="73"/>
    </row>
    <row r="672">
      <c r="A672" s="72"/>
      <c r="F672" s="73"/>
      <c r="G672" s="73"/>
    </row>
    <row r="673">
      <c r="A673" s="72"/>
      <c r="F673" s="73"/>
      <c r="G673" s="73"/>
    </row>
    <row r="674">
      <c r="A674" s="72"/>
      <c r="F674" s="73"/>
      <c r="G674" s="73"/>
    </row>
    <row r="675">
      <c r="A675" s="72"/>
      <c r="F675" s="73"/>
      <c r="G675" s="73"/>
    </row>
    <row r="676">
      <c r="A676" s="72"/>
      <c r="F676" s="73"/>
      <c r="G676" s="73"/>
    </row>
    <row r="677">
      <c r="A677" s="72"/>
      <c r="F677" s="73"/>
      <c r="G677" s="73"/>
    </row>
    <row r="678">
      <c r="A678" s="72"/>
      <c r="F678" s="73"/>
      <c r="G678" s="73"/>
    </row>
    <row r="679">
      <c r="A679" s="72"/>
      <c r="F679" s="73"/>
      <c r="G679" s="73"/>
    </row>
    <row r="680">
      <c r="A680" s="72"/>
      <c r="F680" s="73"/>
      <c r="G680" s="73"/>
    </row>
    <row r="681">
      <c r="A681" s="72"/>
      <c r="F681" s="73"/>
      <c r="G681" s="73"/>
    </row>
    <row r="682">
      <c r="A682" s="72"/>
      <c r="F682" s="73"/>
      <c r="G682" s="73"/>
    </row>
    <row r="683">
      <c r="A683" s="72"/>
      <c r="F683" s="73"/>
      <c r="G683" s="73"/>
    </row>
    <row r="684">
      <c r="A684" s="72"/>
      <c r="F684" s="73"/>
      <c r="G684" s="73"/>
    </row>
    <row r="685">
      <c r="A685" s="72"/>
      <c r="F685" s="73"/>
      <c r="G685" s="73"/>
    </row>
    <row r="686">
      <c r="A686" s="72"/>
      <c r="F686" s="73"/>
      <c r="G686" s="73"/>
    </row>
    <row r="687">
      <c r="A687" s="72"/>
      <c r="F687" s="73"/>
      <c r="G687" s="73"/>
    </row>
    <row r="688">
      <c r="A688" s="72"/>
      <c r="F688" s="73"/>
      <c r="G688" s="73"/>
    </row>
    <row r="689">
      <c r="A689" s="72"/>
      <c r="F689" s="73"/>
      <c r="G689" s="73"/>
    </row>
    <row r="690">
      <c r="A690" s="72"/>
      <c r="F690" s="73"/>
      <c r="G690" s="73"/>
    </row>
    <row r="691">
      <c r="A691" s="72"/>
      <c r="F691" s="73"/>
      <c r="G691" s="73"/>
    </row>
    <row r="692">
      <c r="A692" s="72"/>
      <c r="F692" s="73"/>
      <c r="G692" s="73"/>
    </row>
    <row r="693">
      <c r="A693" s="72"/>
      <c r="F693" s="73"/>
      <c r="G693" s="73"/>
    </row>
    <row r="694">
      <c r="A694" s="72"/>
      <c r="F694" s="73"/>
      <c r="G694" s="73"/>
    </row>
    <row r="695">
      <c r="A695" s="72"/>
      <c r="F695" s="73"/>
      <c r="G695" s="73"/>
    </row>
    <row r="696">
      <c r="A696" s="72"/>
      <c r="F696" s="73"/>
      <c r="G696" s="73"/>
    </row>
    <row r="697">
      <c r="A697" s="72"/>
      <c r="F697" s="73"/>
      <c r="G697" s="73"/>
    </row>
    <row r="698">
      <c r="A698" s="72"/>
      <c r="F698" s="73"/>
      <c r="G698" s="73"/>
    </row>
    <row r="699">
      <c r="A699" s="72"/>
      <c r="F699" s="73"/>
      <c r="G699" s="73"/>
    </row>
    <row r="700">
      <c r="A700" s="72"/>
      <c r="F700" s="73"/>
      <c r="G700" s="73"/>
    </row>
    <row r="701">
      <c r="A701" s="72"/>
      <c r="F701" s="73"/>
      <c r="G701" s="73"/>
    </row>
    <row r="702">
      <c r="A702" s="72"/>
      <c r="F702" s="73"/>
      <c r="G702" s="73"/>
    </row>
    <row r="703">
      <c r="A703" s="72"/>
      <c r="F703" s="73"/>
      <c r="G703" s="73"/>
    </row>
    <row r="704">
      <c r="A704" s="72"/>
      <c r="F704" s="73"/>
      <c r="G704" s="73"/>
    </row>
    <row r="705">
      <c r="A705" s="72"/>
      <c r="F705" s="73"/>
      <c r="G705" s="73"/>
    </row>
    <row r="706">
      <c r="A706" s="72"/>
      <c r="F706" s="73"/>
      <c r="G706" s="73"/>
    </row>
    <row r="707">
      <c r="A707" s="72"/>
      <c r="F707" s="73"/>
      <c r="G707" s="73"/>
    </row>
    <row r="708">
      <c r="A708" s="72"/>
      <c r="F708" s="73"/>
      <c r="G708" s="73"/>
    </row>
    <row r="709">
      <c r="A709" s="72"/>
      <c r="F709" s="73"/>
      <c r="G709" s="73"/>
    </row>
    <row r="710">
      <c r="A710" s="72"/>
      <c r="F710" s="73"/>
      <c r="G710" s="73"/>
    </row>
    <row r="711">
      <c r="A711" s="72"/>
      <c r="F711" s="73"/>
      <c r="G711" s="73"/>
    </row>
    <row r="712">
      <c r="A712" s="72"/>
      <c r="F712" s="73"/>
      <c r="G712" s="73"/>
    </row>
    <row r="713">
      <c r="A713" s="72"/>
      <c r="F713" s="73"/>
      <c r="G713" s="73"/>
    </row>
    <row r="714">
      <c r="A714" s="72"/>
      <c r="F714" s="73"/>
      <c r="G714" s="73"/>
    </row>
    <row r="715">
      <c r="A715" s="72"/>
      <c r="F715" s="73"/>
      <c r="G715" s="73"/>
    </row>
    <row r="716">
      <c r="A716" s="72"/>
      <c r="F716" s="73"/>
      <c r="G716" s="73"/>
    </row>
    <row r="717">
      <c r="A717" s="72"/>
      <c r="F717" s="73"/>
      <c r="G717" s="73"/>
    </row>
    <row r="718">
      <c r="A718" s="72"/>
      <c r="F718" s="73"/>
      <c r="G718" s="73"/>
    </row>
    <row r="719">
      <c r="A719" s="72"/>
      <c r="F719" s="73"/>
      <c r="G719" s="73"/>
    </row>
    <row r="720">
      <c r="A720" s="72"/>
      <c r="F720" s="73"/>
      <c r="G720" s="73"/>
    </row>
    <row r="721">
      <c r="A721" s="72"/>
      <c r="F721" s="73"/>
      <c r="G721" s="73"/>
    </row>
    <row r="722">
      <c r="A722" s="72"/>
      <c r="F722" s="73"/>
      <c r="G722" s="73"/>
    </row>
    <row r="723">
      <c r="A723" s="72"/>
      <c r="F723" s="73"/>
      <c r="G723" s="73"/>
    </row>
    <row r="724">
      <c r="A724" s="72"/>
      <c r="F724" s="73"/>
      <c r="G724" s="73"/>
    </row>
    <row r="725">
      <c r="A725" s="72"/>
      <c r="F725" s="73"/>
      <c r="G725" s="73"/>
    </row>
    <row r="726">
      <c r="A726" s="72"/>
      <c r="F726" s="73"/>
      <c r="G726" s="73"/>
    </row>
    <row r="727">
      <c r="A727" s="72"/>
      <c r="F727" s="73"/>
      <c r="G727" s="73"/>
    </row>
    <row r="728">
      <c r="A728" s="72"/>
      <c r="F728" s="73"/>
      <c r="G728" s="73"/>
    </row>
    <row r="729">
      <c r="A729" s="72"/>
      <c r="F729" s="73"/>
      <c r="G729" s="73"/>
    </row>
    <row r="730">
      <c r="A730" s="72"/>
      <c r="F730" s="73"/>
      <c r="G730" s="73"/>
    </row>
    <row r="731">
      <c r="A731" s="72"/>
      <c r="F731" s="73"/>
      <c r="G731" s="73"/>
    </row>
    <row r="732">
      <c r="A732" s="72"/>
      <c r="F732" s="73"/>
      <c r="G732" s="73"/>
    </row>
    <row r="733">
      <c r="A733" s="72"/>
      <c r="F733" s="73"/>
      <c r="G733" s="73"/>
    </row>
    <row r="734">
      <c r="A734" s="72"/>
      <c r="F734" s="73"/>
      <c r="G734" s="73"/>
    </row>
    <row r="735">
      <c r="A735" s="72"/>
      <c r="F735" s="73"/>
      <c r="G735" s="73"/>
    </row>
    <row r="736">
      <c r="A736" s="72"/>
      <c r="F736" s="73"/>
      <c r="G736" s="73"/>
    </row>
    <row r="737">
      <c r="A737" s="72"/>
      <c r="F737" s="73"/>
      <c r="G737" s="73"/>
    </row>
    <row r="738">
      <c r="A738" s="72"/>
      <c r="F738" s="73"/>
      <c r="G738" s="73"/>
    </row>
    <row r="739">
      <c r="A739" s="72"/>
      <c r="F739" s="73"/>
      <c r="G739" s="73"/>
    </row>
    <row r="740">
      <c r="A740" s="72"/>
      <c r="F740" s="73"/>
      <c r="G740" s="73"/>
    </row>
    <row r="741">
      <c r="A741" s="72"/>
      <c r="F741" s="73"/>
      <c r="G741" s="73"/>
    </row>
    <row r="742">
      <c r="A742" s="72"/>
      <c r="F742" s="73"/>
      <c r="G742" s="73"/>
    </row>
    <row r="743">
      <c r="A743" s="72"/>
      <c r="F743" s="73"/>
      <c r="G743" s="73"/>
    </row>
    <row r="744">
      <c r="A744" s="72"/>
      <c r="F744" s="73"/>
      <c r="G744" s="73"/>
    </row>
    <row r="745">
      <c r="A745" s="72"/>
      <c r="F745" s="73"/>
      <c r="G745" s="73"/>
    </row>
    <row r="746">
      <c r="A746" s="72"/>
      <c r="F746" s="73"/>
      <c r="G746" s="73"/>
    </row>
    <row r="747">
      <c r="A747" s="72"/>
      <c r="F747" s="73"/>
      <c r="G747" s="73"/>
    </row>
    <row r="748">
      <c r="A748" s="72"/>
      <c r="F748" s="73"/>
      <c r="G748" s="73"/>
    </row>
    <row r="749">
      <c r="A749" s="72"/>
      <c r="F749" s="73"/>
      <c r="G749" s="73"/>
    </row>
    <row r="750">
      <c r="A750" s="72"/>
      <c r="F750" s="73"/>
      <c r="G750" s="73"/>
    </row>
    <row r="751">
      <c r="A751" s="72"/>
      <c r="F751" s="73"/>
      <c r="G751" s="73"/>
    </row>
    <row r="752">
      <c r="A752" s="72"/>
      <c r="F752" s="73"/>
      <c r="G752" s="73"/>
    </row>
    <row r="753">
      <c r="A753" s="72"/>
      <c r="F753" s="73"/>
      <c r="G753" s="73"/>
    </row>
    <row r="754">
      <c r="A754" s="72"/>
      <c r="F754" s="73"/>
      <c r="G754" s="73"/>
    </row>
    <row r="755">
      <c r="A755" s="72"/>
      <c r="F755" s="73"/>
      <c r="G755" s="73"/>
    </row>
    <row r="756">
      <c r="A756" s="72"/>
      <c r="F756" s="73"/>
      <c r="G756" s="73"/>
    </row>
    <row r="757">
      <c r="A757" s="72"/>
      <c r="F757" s="73"/>
      <c r="G757" s="73"/>
    </row>
    <row r="758">
      <c r="A758" s="72"/>
      <c r="F758" s="73"/>
      <c r="G758" s="73"/>
    </row>
    <row r="759">
      <c r="A759" s="72"/>
      <c r="F759" s="73"/>
      <c r="G759" s="73"/>
    </row>
    <row r="760">
      <c r="A760" s="72"/>
      <c r="F760" s="73"/>
      <c r="G760" s="73"/>
    </row>
    <row r="761">
      <c r="A761" s="72"/>
      <c r="F761" s="73"/>
      <c r="G761" s="73"/>
    </row>
    <row r="762">
      <c r="A762" s="72"/>
      <c r="F762" s="73"/>
      <c r="G762" s="73"/>
    </row>
    <row r="763">
      <c r="A763" s="72"/>
      <c r="F763" s="73"/>
      <c r="G763" s="73"/>
    </row>
    <row r="764">
      <c r="A764" s="72"/>
      <c r="F764" s="73"/>
      <c r="G764" s="73"/>
    </row>
    <row r="765">
      <c r="A765" s="72"/>
      <c r="F765" s="73"/>
      <c r="G765" s="73"/>
    </row>
    <row r="766">
      <c r="A766" s="72"/>
      <c r="F766" s="73"/>
      <c r="G766" s="73"/>
    </row>
    <row r="767">
      <c r="A767" s="72"/>
      <c r="F767" s="73"/>
      <c r="G767" s="73"/>
    </row>
    <row r="768">
      <c r="A768" s="72"/>
      <c r="F768" s="73"/>
      <c r="G768" s="73"/>
    </row>
    <row r="769">
      <c r="A769" s="72"/>
      <c r="F769" s="73"/>
      <c r="G769" s="73"/>
    </row>
    <row r="770">
      <c r="A770" s="72"/>
      <c r="F770" s="73"/>
      <c r="G770" s="73"/>
    </row>
    <row r="771">
      <c r="A771" s="72"/>
      <c r="F771" s="73"/>
      <c r="G771" s="73"/>
    </row>
    <row r="772">
      <c r="A772" s="72"/>
      <c r="F772" s="73"/>
      <c r="G772" s="73"/>
    </row>
    <row r="773">
      <c r="A773" s="72"/>
      <c r="F773" s="73"/>
      <c r="G773" s="73"/>
    </row>
    <row r="774">
      <c r="A774" s="72"/>
      <c r="F774" s="73"/>
      <c r="G774" s="73"/>
    </row>
    <row r="775">
      <c r="A775" s="72"/>
      <c r="F775" s="73"/>
      <c r="G775" s="73"/>
    </row>
    <row r="776">
      <c r="A776" s="72"/>
      <c r="F776" s="73"/>
      <c r="G776" s="73"/>
    </row>
    <row r="777">
      <c r="A777" s="72"/>
      <c r="F777" s="73"/>
      <c r="G777" s="73"/>
    </row>
    <row r="778">
      <c r="A778" s="72"/>
      <c r="F778" s="73"/>
      <c r="G778" s="73"/>
    </row>
    <row r="779">
      <c r="A779" s="72"/>
      <c r="F779" s="73"/>
      <c r="G779" s="73"/>
    </row>
    <row r="780">
      <c r="A780" s="72"/>
      <c r="F780" s="73"/>
      <c r="G780" s="73"/>
    </row>
    <row r="781">
      <c r="A781" s="72"/>
      <c r="F781" s="73"/>
      <c r="G781" s="73"/>
    </row>
    <row r="782">
      <c r="A782" s="72"/>
      <c r="F782" s="73"/>
      <c r="G782" s="73"/>
    </row>
    <row r="783">
      <c r="A783" s="72"/>
      <c r="F783" s="73"/>
      <c r="G783" s="73"/>
    </row>
    <row r="784">
      <c r="A784" s="72"/>
      <c r="F784" s="73"/>
      <c r="G784" s="73"/>
    </row>
    <row r="785">
      <c r="A785" s="72"/>
      <c r="F785" s="73"/>
      <c r="G785" s="73"/>
    </row>
    <row r="786">
      <c r="A786" s="72"/>
      <c r="F786" s="73"/>
      <c r="G786" s="73"/>
    </row>
    <row r="787">
      <c r="A787" s="72"/>
      <c r="F787" s="73"/>
      <c r="G787" s="73"/>
    </row>
    <row r="788">
      <c r="A788" s="72"/>
      <c r="F788" s="73"/>
      <c r="G788" s="73"/>
    </row>
    <row r="789">
      <c r="A789" s="72"/>
      <c r="F789" s="73"/>
      <c r="G789" s="73"/>
    </row>
    <row r="790">
      <c r="A790" s="72"/>
      <c r="F790" s="73"/>
      <c r="G790" s="73"/>
    </row>
    <row r="791">
      <c r="A791" s="72"/>
      <c r="F791" s="73"/>
      <c r="G791" s="73"/>
    </row>
    <row r="792">
      <c r="A792" s="72"/>
      <c r="F792" s="73"/>
      <c r="G792" s="73"/>
    </row>
    <row r="793">
      <c r="A793" s="72"/>
      <c r="F793" s="73"/>
      <c r="G793" s="73"/>
    </row>
    <row r="794">
      <c r="A794" s="72"/>
      <c r="F794" s="73"/>
      <c r="G794" s="73"/>
    </row>
    <row r="795">
      <c r="A795" s="72"/>
      <c r="F795" s="73"/>
      <c r="G795" s="73"/>
    </row>
    <row r="796">
      <c r="A796" s="72"/>
      <c r="F796" s="73"/>
      <c r="G796" s="73"/>
    </row>
    <row r="797">
      <c r="A797" s="72"/>
      <c r="F797" s="73"/>
      <c r="G797" s="73"/>
    </row>
    <row r="798">
      <c r="A798" s="72"/>
      <c r="F798" s="73"/>
      <c r="G798" s="73"/>
    </row>
    <row r="799">
      <c r="A799" s="72"/>
      <c r="F799" s="73"/>
      <c r="G799" s="73"/>
    </row>
    <row r="800">
      <c r="A800" s="72"/>
      <c r="F800" s="73"/>
      <c r="G800" s="73"/>
    </row>
    <row r="801">
      <c r="A801" s="72"/>
      <c r="F801" s="73"/>
      <c r="G801" s="73"/>
    </row>
    <row r="802">
      <c r="A802" s="72"/>
      <c r="F802" s="73"/>
      <c r="G802" s="73"/>
    </row>
    <row r="803">
      <c r="A803" s="72"/>
      <c r="F803" s="73"/>
      <c r="G803" s="73"/>
    </row>
    <row r="804">
      <c r="A804" s="72"/>
      <c r="F804" s="73"/>
      <c r="G804" s="73"/>
    </row>
    <row r="805">
      <c r="A805" s="72"/>
      <c r="F805" s="73"/>
      <c r="G805" s="73"/>
    </row>
    <row r="806">
      <c r="A806" s="72"/>
      <c r="F806" s="73"/>
      <c r="G806" s="73"/>
    </row>
    <row r="807">
      <c r="A807" s="72"/>
      <c r="F807" s="73"/>
      <c r="G807" s="73"/>
    </row>
    <row r="808">
      <c r="A808" s="72"/>
      <c r="F808" s="73"/>
      <c r="G808" s="73"/>
    </row>
    <row r="809">
      <c r="A809" s="72"/>
      <c r="F809" s="73"/>
      <c r="G809" s="73"/>
    </row>
    <row r="810">
      <c r="A810" s="72"/>
      <c r="F810" s="73"/>
      <c r="G810" s="73"/>
    </row>
    <row r="811">
      <c r="A811" s="72"/>
      <c r="F811" s="73"/>
      <c r="G811" s="73"/>
    </row>
    <row r="812">
      <c r="A812" s="72"/>
      <c r="F812" s="73"/>
      <c r="G812" s="73"/>
    </row>
    <row r="813">
      <c r="A813" s="72"/>
      <c r="F813" s="73"/>
      <c r="G813" s="73"/>
    </row>
    <row r="814">
      <c r="A814" s="72"/>
      <c r="F814" s="73"/>
      <c r="G814" s="73"/>
    </row>
    <row r="815">
      <c r="A815" s="72"/>
      <c r="F815" s="73"/>
      <c r="G815" s="73"/>
    </row>
    <row r="816">
      <c r="A816" s="72"/>
      <c r="F816" s="73"/>
      <c r="G816" s="73"/>
    </row>
    <row r="817">
      <c r="A817" s="72"/>
      <c r="F817" s="73"/>
      <c r="G817" s="73"/>
    </row>
    <row r="818">
      <c r="A818" s="72"/>
      <c r="F818" s="73"/>
      <c r="G818" s="73"/>
    </row>
    <row r="819">
      <c r="A819" s="72"/>
      <c r="F819" s="73"/>
      <c r="G819" s="73"/>
    </row>
    <row r="820">
      <c r="A820" s="72"/>
      <c r="F820" s="73"/>
      <c r="G820" s="73"/>
    </row>
    <row r="821">
      <c r="A821" s="72"/>
      <c r="F821" s="73"/>
      <c r="G821" s="73"/>
    </row>
    <row r="822">
      <c r="A822" s="72"/>
      <c r="F822" s="73"/>
      <c r="G822" s="73"/>
    </row>
    <row r="823">
      <c r="A823" s="72"/>
      <c r="F823" s="73"/>
      <c r="G823" s="73"/>
    </row>
    <row r="824">
      <c r="A824" s="72"/>
      <c r="F824" s="73"/>
      <c r="G824" s="73"/>
    </row>
    <row r="825">
      <c r="A825" s="72"/>
      <c r="F825" s="73"/>
      <c r="G825" s="73"/>
    </row>
    <row r="826">
      <c r="A826" s="72"/>
      <c r="F826" s="73"/>
      <c r="G826" s="73"/>
    </row>
    <row r="827">
      <c r="A827" s="72"/>
      <c r="F827" s="73"/>
      <c r="G827" s="73"/>
    </row>
    <row r="828">
      <c r="A828" s="72"/>
      <c r="F828" s="73"/>
      <c r="G828" s="73"/>
    </row>
    <row r="829">
      <c r="A829" s="72"/>
      <c r="F829" s="73"/>
      <c r="G829" s="73"/>
    </row>
    <row r="830">
      <c r="A830" s="72"/>
      <c r="F830" s="73"/>
      <c r="G830" s="73"/>
    </row>
    <row r="831">
      <c r="A831" s="72"/>
      <c r="F831" s="73"/>
      <c r="G831" s="73"/>
    </row>
    <row r="832">
      <c r="A832" s="72"/>
      <c r="F832" s="73"/>
      <c r="G832" s="73"/>
    </row>
    <row r="833">
      <c r="A833" s="72"/>
      <c r="F833" s="73"/>
      <c r="G833" s="73"/>
    </row>
    <row r="834">
      <c r="A834" s="72"/>
      <c r="F834" s="73"/>
      <c r="G834" s="73"/>
    </row>
    <row r="835">
      <c r="A835" s="72"/>
      <c r="F835" s="73"/>
      <c r="G835" s="73"/>
    </row>
    <row r="836">
      <c r="A836" s="72"/>
      <c r="F836" s="73"/>
      <c r="G836" s="73"/>
    </row>
    <row r="837">
      <c r="A837" s="72"/>
      <c r="F837" s="73"/>
      <c r="G837" s="73"/>
    </row>
    <row r="838">
      <c r="A838" s="72"/>
      <c r="F838" s="73"/>
      <c r="G838" s="73"/>
    </row>
    <row r="839">
      <c r="A839" s="72"/>
      <c r="F839" s="73"/>
      <c r="G839" s="73"/>
    </row>
    <row r="840">
      <c r="A840" s="72"/>
      <c r="F840" s="73"/>
      <c r="G840" s="73"/>
    </row>
    <row r="841">
      <c r="A841" s="72"/>
      <c r="F841" s="73"/>
      <c r="G841" s="73"/>
    </row>
    <row r="842">
      <c r="A842" s="72"/>
      <c r="F842" s="73"/>
      <c r="G842" s="73"/>
    </row>
    <row r="843">
      <c r="A843" s="72"/>
      <c r="F843" s="73"/>
      <c r="G843" s="73"/>
    </row>
    <row r="844">
      <c r="A844" s="72"/>
      <c r="F844" s="73"/>
      <c r="G844" s="73"/>
    </row>
    <row r="845">
      <c r="A845" s="72"/>
      <c r="F845" s="73"/>
      <c r="G845" s="73"/>
    </row>
    <row r="846">
      <c r="A846" s="72"/>
      <c r="F846" s="73"/>
      <c r="G846" s="73"/>
    </row>
    <row r="847">
      <c r="A847" s="72"/>
      <c r="F847" s="73"/>
      <c r="G847" s="73"/>
    </row>
    <row r="848">
      <c r="A848" s="72"/>
      <c r="F848" s="73"/>
      <c r="G848" s="73"/>
    </row>
    <row r="849">
      <c r="A849" s="72"/>
      <c r="F849" s="73"/>
      <c r="G849" s="73"/>
    </row>
    <row r="850">
      <c r="A850" s="72"/>
      <c r="F850" s="73"/>
      <c r="G850" s="73"/>
    </row>
    <row r="851">
      <c r="A851" s="72"/>
      <c r="F851" s="73"/>
      <c r="G851" s="73"/>
    </row>
    <row r="852">
      <c r="A852" s="72"/>
      <c r="F852" s="73"/>
      <c r="G852" s="73"/>
    </row>
    <row r="853">
      <c r="A853" s="72"/>
      <c r="F853" s="73"/>
      <c r="G853" s="73"/>
    </row>
    <row r="854">
      <c r="A854" s="72"/>
      <c r="F854" s="73"/>
      <c r="G854" s="73"/>
    </row>
    <row r="855">
      <c r="A855" s="72"/>
      <c r="F855" s="73"/>
      <c r="G855" s="73"/>
    </row>
    <row r="856">
      <c r="A856" s="72"/>
      <c r="F856" s="73"/>
      <c r="G856" s="73"/>
    </row>
    <row r="857">
      <c r="A857" s="72"/>
      <c r="F857" s="73"/>
      <c r="G857" s="73"/>
    </row>
    <row r="858">
      <c r="A858" s="72"/>
      <c r="F858" s="73"/>
      <c r="G858" s="73"/>
    </row>
    <row r="859">
      <c r="A859" s="72"/>
      <c r="F859" s="73"/>
      <c r="G859" s="73"/>
    </row>
    <row r="860">
      <c r="A860" s="72"/>
      <c r="F860" s="73"/>
      <c r="G860" s="73"/>
    </row>
    <row r="861">
      <c r="A861" s="72"/>
      <c r="F861" s="73"/>
      <c r="G861" s="73"/>
    </row>
    <row r="862">
      <c r="A862" s="72"/>
      <c r="F862" s="73"/>
      <c r="G862" s="73"/>
    </row>
    <row r="863">
      <c r="A863" s="72"/>
      <c r="F863" s="73"/>
      <c r="G863" s="73"/>
    </row>
    <row r="864">
      <c r="A864" s="72"/>
      <c r="F864" s="73"/>
      <c r="G864" s="73"/>
    </row>
    <row r="865">
      <c r="A865" s="72"/>
      <c r="F865" s="73"/>
      <c r="G865" s="73"/>
    </row>
    <row r="866">
      <c r="A866" s="72"/>
      <c r="F866" s="73"/>
      <c r="G866" s="73"/>
    </row>
    <row r="867">
      <c r="A867" s="72"/>
      <c r="F867" s="73"/>
      <c r="G867" s="73"/>
    </row>
    <row r="868">
      <c r="A868" s="72"/>
      <c r="F868" s="73"/>
      <c r="G868" s="73"/>
    </row>
    <row r="869">
      <c r="A869" s="72"/>
      <c r="F869" s="73"/>
      <c r="G869" s="73"/>
    </row>
    <row r="870">
      <c r="A870" s="72"/>
      <c r="F870" s="73"/>
      <c r="G870" s="73"/>
    </row>
    <row r="871">
      <c r="A871" s="72"/>
      <c r="F871" s="73"/>
      <c r="G871" s="73"/>
    </row>
    <row r="872">
      <c r="A872" s="72"/>
      <c r="F872" s="73"/>
      <c r="G872" s="73"/>
    </row>
    <row r="873">
      <c r="A873" s="72"/>
      <c r="F873" s="73"/>
      <c r="G873" s="73"/>
    </row>
    <row r="874">
      <c r="A874" s="72"/>
      <c r="F874" s="73"/>
      <c r="G874" s="73"/>
    </row>
    <row r="875">
      <c r="A875" s="72"/>
      <c r="F875" s="73"/>
      <c r="G875" s="73"/>
    </row>
    <row r="876">
      <c r="A876" s="72"/>
      <c r="F876" s="73"/>
      <c r="G876" s="73"/>
    </row>
    <row r="877">
      <c r="A877" s="72"/>
      <c r="F877" s="73"/>
      <c r="G877" s="73"/>
    </row>
    <row r="878">
      <c r="A878" s="72"/>
      <c r="F878" s="73"/>
      <c r="G878" s="73"/>
    </row>
    <row r="879">
      <c r="A879" s="72"/>
      <c r="F879" s="73"/>
      <c r="G879" s="73"/>
    </row>
    <row r="880">
      <c r="A880" s="72"/>
      <c r="F880" s="73"/>
      <c r="G880" s="73"/>
    </row>
    <row r="881">
      <c r="A881" s="72"/>
      <c r="F881" s="73"/>
      <c r="G881" s="73"/>
    </row>
    <row r="882">
      <c r="A882" s="72"/>
      <c r="F882" s="73"/>
      <c r="G882" s="73"/>
    </row>
    <row r="883">
      <c r="A883" s="72"/>
      <c r="F883" s="73"/>
      <c r="G883" s="73"/>
    </row>
    <row r="884">
      <c r="A884" s="72"/>
      <c r="F884" s="73"/>
      <c r="G884" s="73"/>
    </row>
    <row r="885">
      <c r="A885" s="72"/>
      <c r="F885" s="73"/>
      <c r="G885" s="73"/>
    </row>
    <row r="886">
      <c r="A886" s="72"/>
      <c r="F886" s="73"/>
      <c r="G886" s="73"/>
    </row>
    <row r="887">
      <c r="A887" s="72"/>
      <c r="F887" s="73"/>
      <c r="G887" s="73"/>
    </row>
    <row r="888">
      <c r="A888" s="72"/>
      <c r="F888" s="73"/>
      <c r="G888" s="73"/>
    </row>
    <row r="889">
      <c r="A889" s="72"/>
      <c r="F889" s="73"/>
      <c r="G889" s="73"/>
    </row>
    <row r="890">
      <c r="A890" s="72"/>
      <c r="F890" s="73"/>
      <c r="G890" s="73"/>
    </row>
    <row r="891">
      <c r="A891" s="72"/>
      <c r="F891" s="73"/>
      <c r="G891" s="73"/>
    </row>
    <row r="892">
      <c r="A892" s="72"/>
      <c r="F892" s="73"/>
      <c r="G892" s="73"/>
    </row>
    <row r="893">
      <c r="A893" s="72"/>
      <c r="F893" s="73"/>
      <c r="G893" s="73"/>
    </row>
    <row r="894">
      <c r="A894" s="72"/>
      <c r="F894" s="73"/>
      <c r="G894" s="73"/>
    </row>
    <row r="895">
      <c r="A895" s="72"/>
      <c r="F895" s="73"/>
      <c r="G895" s="73"/>
    </row>
    <row r="896">
      <c r="A896" s="72"/>
      <c r="F896" s="73"/>
      <c r="G896" s="73"/>
    </row>
    <row r="897">
      <c r="A897" s="72"/>
      <c r="F897" s="73"/>
      <c r="G897" s="73"/>
    </row>
    <row r="898">
      <c r="A898" s="72"/>
      <c r="F898" s="73"/>
      <c r="G898" s="73"/>
    </row>
    <row r="899">
      <c r="A899" s="72"/>
      <c r="F899" s="73"/>
      <c r="G899" s="73"/>
    </row>
    <row r="900">
      <c r="A900" s="72"/>
      <c r="F900" s="73"/>
      <c r="G900" s="73"/>
    </row>
    <row r="901">
      <c r="A901" s="72"/>
      <c r="F901" s="73"/>
      <c r="G901" s="73"/>
    </row>
    <row r="902">
      <c r="A902" s="72"/>
      <c r="F902" s="73"/>
      <c r="G902" s="73"/>
    </row>
    <row r="903">
      <c r="A903" s="72"/>
      <c r="F903" s="73"/>
      <c r="G903" s="73"/>
    </row>
    <row r="904">
      <c r="A904" s="72"/>
      <c r="F904" s="73"/>
      <c r="G904" s="73"/>
    </row>
    <row r="905">
      <c r="A905" s="72"/>
      <c r="F905" s="73"/>
      <c r="G905" s="73"/>
    </row>
    <row r="906">
      <c r="A906" s="72"/>
      <c r="F906" s="73"/>
      <c r="G906" s="73"/>
    </row>
    <row r="907">
      <c r="A907" s="72"/>
      <c r="F907" s="73"/>
      <c r="G907" s="73"/>
    </row>
    <row r="908">
      <c r="A908" s="72"/>
      <c r="F908" s="73"/>
      <c r="G908" s="73"/>
    </row>
    <row r="909">
      <c r="A909" s="72"/>
      <c r="F909" s="73"/>
      <c r="G909" s="73"/>
    </row>
    <row r="910">
      <c r="A910" s="72"/>
      <c r="F910" s="73"/>
      <c r="G910" s="73"/>
    </row>
    <row r="911">
      <c r="A911" s="72"/>
      <c r="F911" s="73"/>
      <c r="G911" s="73"/>
    </row>
    <row r="912">
      <c r="A912" s="72"/>
      <c r="F912" s="73"/>
      <c r="G912" s="73"/>
    </row>
    <row r="913">
      <c r="A913" s="72"/>
      <c r="F913" s="73"/>
      <c r="G913" s="73"/>
    </row>
    <row r="914">
      <c r="A914" s="72"/>
      <c r="F914" s="73"/>
      <c r="G914" s="73"/>
    </row>
    <row r="915">
      <c r="A915" s="72"/>
      <c r="F915" s="73"/>
      <c r="G915" s="73"/>
    </row>
    <row r="916">
      <c r="A916" s="72"/>
      <c r="F916" s="73"/>
      <c r="G916" s="73"/>
    </row>
    <row r="917">
      <c r="A917" s="72"/>
      <c r="F917" s="73"/>
      <c r="G917" s="73"/>
    </row>
    <row r="918">
      <c r="A918" s="72"/>
      <c r="F918" s="73"/>
      <c r="G918" s="73"/>
    </row>
    <row r="919">
      <c r="A919" s="72"/>
      <c r="F919" s="73"/>
      <c r="G919" s="73"/>
    </row>
    <row r="920">
      <c r="A920" s="72"/>
      <c r="F920" s="73"/>
      <c r="G920" s="73"/>
    </row>
    <row r="921">
      <c r="A921" s="72"/>
      <c r="F921" s="73"/>
      <c r="G921" s="73"/>
    </row>
    <row r="922">
      <c r="A922" s="72"/>
      <c r="F922" s="73"/>
      <c r="G922" s="73"/>
    </row>
    <row r="923">
      <c r="A923" s="72"/>
      <c r="F923" s="73"/>
      <c r="G923" s="73"/>
    </row>
    <row r="924">
      <c r="A924" s="72"/>
      <c r="F924" s="73"/>
      <c r="G924" s="73"/>
    </row>
    <row r="925">
      <c r="A925" s="72"/>
      <c r="F925" s="73"/>
      <c r="G925" s="73"/>
    </row>
    <row r="926">
      <c r="A926" s="72"/>
      <c r="F926" s="73"/>
      <c r="G926" s="73"/>
    </row>
    <row r="927">
      <c r="A927" s="72"/>
      <c r="F927" s="73"/>
      <c r="G927" s="73"/>
    </row>
    <row r="928">
      <c r="A928" s="72"/>
      <c r="F928" s="73"/>
      <c r="G928" s="73"/>
    </row>
    <row r="929">
      <c r="A929" s="72"/>
      <c r="F929" s="73"/>
      <c r="G929" s="73"/>
    </row>
    <row r="930">
      <c r="A930" s="72"/>
      <c r="F930" s="73"/>
      <c r="G930" s="73"/>
    </row>
    <row r="931">
      <c r="A931" s="72"/>
      <c r="F931" s="73"/>
      <c r="G931" s="73"/>
    </row>
    <row r="932">
      <c r="A932" s="72"/>
      <c r="F932" s="73"/>
      <c r="G932" s="73"/>
    </row>
    <row r="933">
      <c r="A933" s="72"/>
      <c r="F933" s="73"/>
      <c r="G933" s="73"/>
    </row>
    <row r="934">
      <c r="A934" s="72"/>
      <c r="F934" s="73"/>
      <c r="G934" s="73"/>
    </row>
    <row r="935">
      <c r="A935" s="72"/>
      <c r="F935" s="73"/>
      <c r="G935" s="73"/>
    </row>
    <row r="936">
      <c r="A936" s="72"/>
      <c r="F936" s="73"/>
      <c r="G936" s="73"/>
    </row>
    <row r="937">
      <c r="A937" s="72"/>
      <c r="F937" s="73"/>
      <c r="G937" s="73"/>
    </row>
    <row r="938">
      <c r="A938" s="72"/>
      <c r="F938" s="73"/>
      <c r="G938" s="73"/>
    </row>
    <row r="939">
      <c r="A939" s="72"/>
      <c r="F939" s="73"/>
      <c r="G939" s="73"/>
    </row>
    <row r="940">
      <c r="A940" s="72"/>
      <c r="F940" s="73"/>
      <c r="G940" s="73"/>
    </row>
    <row r="941">
      <c r="A941" s="72"/>
      <c r="F941" s="73"/>
      <c r="G941" s="73"/>
    </row>
    <row r="942">
      <c r="A942" s="72"/>
      <c r="F942" s="73"/>
      <c r="G942" s="73"/>
    </row>
    <row r="943">
      <c r="A943" s="72"/>
      <c r="F943" s="73"/>
      <c r="G943" s="73"/>
    </row>
    <row r="944">
      <c r="A944" s="72"/>
      <c r="F944" s="73"/>
      <c r="G944" s="73"/>
    </row>
    <row r="945">
      <c r="A945" s="72"/>
      <c r="F945" s="73"/>
      <c r="G945" s="73"/>
    </row>
    <row r="946">
      <c r="A946" s="72"/>
      <c r="F946" s="73"/>
      <c r="G946" s="73"/>
    </row>
    <row r="947">
      <c r="A947" s="72"/>
      <c r="F947" s="73"/>
      <c r="G947" s="73"/>
    </row>
    <row r="948">
      <c r="A948" s="72"/>
      <c r="F948" s="73"/>
      <c r="G948" s="73"/>
    </row>
    <row r="949">
      <c r="A949" s="72"/>
      <c r="F949" s="73"/>
      <c r="G949" s="73"/>
    </row>
    <row r="950">
      <c r="A950" s="72"/>
      <c r="F950" s="73"/>
      <c r="G950" s="73"/>
    </row>
    <row r="951">
      <c r="A951" s="72"/>
      <c r="F951" s="73"/>
      <c r="G951" s="73"/>
    </row>
    <row r="952">
      <c r="A952" s="72"/>
      <c r="F952" s="73"/>
      <c r="G952" s="73"/>
    </row>
    <row r="953">
      <c r="A953" s="72"/>
      <c r="F953" s="73"/>
      <c r="G953" s="73"/>
    </row>
    <row r="954">
      <c r="A954" s="72"/>
      <c r="F954" s="73"/>
      <c r="G954" s="73"/>
    </row>
    <row r="955">
      <c r="A955" s="72"/>
      <c r="F955" s="73"/>
      <c r="G955" s="73"/>
    </row>
    <row r="956">
      <c r="A956" s="72"/>
      <c r="F956" s="73"/>
      <c r="G956" s="73"/>
    </row>
    <row r="957">
      <c r="A957" s="72"/>
      <c r="F957" s="73"/>
      <c r="G957" s="73"/>
    </row>
    <row r="958">
      <c r="A958" s="72"/>
      <c r="F958" s="73"/>
      <c r="G958" s="73"/>
    </row>
    <row r="959">
      <c r="A959" s="72"/>
      <c r="F959" s="73"/>
      <c r="G959" s="73"/>
    </row>
    <row r="960">
      <c r="A960" s="72"/>
      <c r="F960" s="73"/>
      <c r="G960" s="73"/>
    </row>
    <row r="961">
      <c r="A961" s="72"/>
      <c r="F961" s="73"/>
      <c r="G961" s="73"/>
    </row>
    <row r="962">
      <c r="A962" s="72"/>
      <c r="F962" s="73"/>
      <c r="G962" s="73"/>
    </row>
    <row r="963">
      <c r="A963" s="72"/>
      <c r="F963" s="73"/>
      <c r="G963" s="73"/>
    </row>
    <row r="964">
      <c r="A964" s="72"/>
      <c r="F964" s="73"/>
      <c r="G964" s="73"/>
    </row>
    <row r="965">
      <c r="A965" s="72"/>
      <c r="F965" s="73"/>
      <c r="G965" s="73"/>
    </row>
    <row r="966">
      <c r="A966" s="72"/>
      <c r="F966" s="73"/>
      <c r="G966" s="73"/>
    </row>
    <row r="967">
      <c r="A967" s="72"/>
      <c r="F967" s="73"/>
      <c r="G967" s="73"/>
    </row>
    <row r="968">
      <c r="A968" s="72"/>
      <c r="F968" s="73"/>
      <c r="G968" s="73"/>
    </row>
    <row r="969">
      <c r="A969" s="72"/>
      <c r="F969" s="73"/>
      <c r="G969" s="73"/>
    </row>
    <row r="970">
      <c r="A970" s="72"/>
      <c r="F970" s="73"/>
      <c r="G970" s="73"/>
    </row>
    <row r="971">
      <c r="A971" s="72"/>
      <c r="F971" s="73"/>
      <c r="G971" s="73"/>
    </row>
    <row r="972">
      <c r="A972" s="72"/>
      <c r="F972" s="73"/>
      <c r="G972" s="73"/>
    </row>
    <row r="973">
      <c r="A973" s="72"/>
      <c r="F973" s="73"/>
      <c r="G973" s="73"/>
    </row>
    <row r="974">
      <c r="A974" s="72"/>
      <c r="F974" s="73"/>
      <c r="G974" s="73"/>
    </row>
    <row r="975">
      <c r="A975" s="72"/>
      <c r="F975" s="73"/>
      <c r="G975" s="73"/>
    </row>
    <row r="976">
      <c r="A976" s="72"/>
      <c r="F976" s="73"/>
      <c r="G976" s="73"/>
    </row>
    <row r="977">
      <c r="A977" s="72"/>
      <c r="F977" s="73"/>
      <c r="G977" s="73"/>
    </row>
    <row r="978">
      <c r="A978" s="72"/>
      <c r="F978" s="73"/>
      <c r="G978" s="73"/>
    </row>
    <row r="979">
      <c r="A979" s="72"/>
      <c r="F979" s="73"/>
      <c r="G979" s="73"/>
    </row>
    <row r="980">
      <c r="A980" s="72"/>
      <c r="F980" s="73"/>
      <c r="G980" s="73"/>
    </row>
    <row r="981">
      <c r="A981" s="72"/>
      <c r="F981" s="73"/>
      <c r="G981" s="73"/>
    </row>
    <row r="982">
      <c r="A982" s="72"/>
      <c r="F982" s="73"/>
      <c r="G982" s="73"/>
    </row>
    <row r="983">
      <c r="A983" s="72"/>
      <c r="F983" s="73"/>
      <c r="G983" s="73"/>
    </row>
    <row r="984">
      <c r="A984" s="72"/>
      <c r="F984" s="73"/>
      <c r="G984" s="73"/>
    </row>
    <row r="985">
      <c r="A985" s="72"/>
      <c r="F985" s="73"/>
      <c r="G985" s="73"/>
    </row>
    <row r="986">
      <c r="A986" s="72"/>
      <c r="F986" s="73"/>
      <c r="G986" s="73"/>
    </row>
    <row r="987">
      <c r="A987" s="72"/>
      <c r="F987" s="73"/>
      <c r="G987" s="73"/>
    </row>
    <row r="988">
      <c r="A988" s="72"/>
      <c r="F988" s="73"/>
      <c r="G988" s="73"/>
    </row>
    <row r="989">
      <c r="A989" s="72"/>
      <c r="F989" s="73"/>
      <c r="G989" s="73"/>
    </row>
    <row r="990">
      <c r="A990" s="72"/>
      <c r="F990" s="73"/>
      <c r="G990" s="73"/>
    </row>
    <row r="991">
      <c r="A991" s="72"/>
      <c r="F991" s="73"/>
      <c r="G991" s="73"/>
    </row>
    <row r="992">
      <c r="A992" s="72"/>
      <c r="F992" s="73"/>
      <c r="G992" s="73"/>
    </row>
    <row r="993">
      <c r="A993" s="72"/>
      <c r="F993" s="73"/>
      <c r="G993" s="73"/>
    </row>
    <row r="994">
      <c r="A994" s="72"/>
      <c r="F994" s="73"/>
      <c r="G994" s="73"/>
    </row>
    <row r="995">
      <c r="A995" s="72"/>
      <c r="F995" s="73"/>
      <c r="G995" s="73"/>
    </row>
    <row r="996">
      <c r="A996" s="72"/>
      <c r="F996" s="73"/>
      <c r="G996" s="73"/>
    </row>
    <row r="997">
      <c r="A997" s="72"/>
      <c r="F997" s="73"/>
      <c r="G997" s="73"/>
    </row>
    <row r="998">
      <c r="A998" s="72"/>
      <c r="F998" s="73"/>
      <c r="G998" s="73"/>
    </row>
    <row r="999">
      <c r="A999" s="72"/>
      <c r="F999" s="73"/>
      <c r="G999" s="73"/>
    </row>
    <row r="1000">
      <c r="A1000" s="72"/>
      <c r="F1000" s="73"/>
      <c r="G1000" s="73"/>
    </row>
    <row r="1001">
      <c r="A1001" s="72"/>
      <c r="F1001" s="73"/>
      <c r="G1001" s="73"/>
    </row>
    <row r="1002">
      <c r="A1002" s="72"/>
      <c r="F1002" s="73"/>
      <c r="G1002" s="73"/>
    </row>
    <row r="1003">
      <c r="A1003" s="72"/>
      <c r="F1003" s="73"/>
      <c r="G1003" s="73"/>
    </row>
    <row r="1004">
      <c r="A1004" s="72"/>
      <c r="F1004" s="73"/>
      <c r="G1004" s="73"/>
    </row>
    <row r="1005">
      <c r="A1005" s="72"/>
      <c r="F1005" s="73"/>
      <c r="G1005" s="73"/>
    </row>
  </sheetData>
  <conditionalFormatting sqref="E1:E1005">
    <cfRule type="beginsWith" dxfId="4" priority="1" operator="beginsWith" text="TRUE">
      <formula>LEFT((E1),LEN("TRUE"))=("TRUE")</formula>
    </cfRule>
  </conditionalFormatting>
  <conditionalFormatting sqref="E1:E1005">
    <cfRule type="beginsWith" dxfId="5" priority="2" operator="beginsWith" text="FALSE">
      <formula>LEFT((E1),LEN("FALSE"))=("FALSE")</formula>
    </cfRule>
  </conditionalFormatting>
  <hyperlinks>
    <hyperlink r:id="rId1" ref="F3"/>
    <hyperlink r:id="rId2" ref="F8"/>
    <hyperlink r:id="rId3" ref="F9"/>
    <hyperlink r:id="rId4" ref="F12"/>
    <hyperlink r:id="rId5" ref="F13"/>
    <hyperlink r:id="rId6" ref="F14"/>
    <hyperlink r:id="rId7" ref="F15"/>
    <hyperlink r:id="rId8" ref="F18"/>
    <hyperlink r:id="rId9" ref="F19"/>
  </hyperlinks>
  <drawing r:id="rId10"/>
  <tableParts count="1">
    <tablePart r:id="rId12"/>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54" t="s">
        <v>546</v>
      </c>
      <c r="B1" s="154" t="s">
        <v>6602</v>
      </c>
      <c r="C1" s="154" t="s">
        <v>6603</v>
      </c>
      <c r="D1" s="154" t="s">
        <v>6604</v>
      </c>
      <c r="E1" s="155" t="s">
        <v>6605</v>
      </c>
      <c r="F1" s="154" t="s">
        <v>6606</v>
      </c>
      <c r="G1" s="154" t="s">
        <v>6607</v>
      </c>
      <c r="H1" s="1"/>
      <c r="I1" s="167" t="s">
        <v>6601</v>
      </c>
    </row>
    <row r="2">
      <c r="A2" s="157" t="s">
        <v>560</v>
      </c>
      <c r="B2" s="158">
        <v>16.0</v>
      </c>
      <c r="C2" s="158">
        <v>0.849613128</v>
      </c>
      <c r="D2" s="158">
        <v>122.9029402</v>
      </c>
      <c r="E2" s="158">
        <f t="shared" ref="E2:E32" si="1">D2/1000</f>
        <v>0.1229029402</v>
      </c>
      <c r="F2" s="158">
        <v>83878.0</v>
      </c>
      <c r="G2" s="158">
        <v>1.465258353</v>
      </c>
      <c r="H2" s="1"/>
      <c r="I2" s="54">
        <f>SUM(D:D)/1000</f>
        <v>9.241493294</v>
      </c>
    </row>
    <row r="3">
      <c r="A3" s="157" t="s">
        <v>562</v>
      </c>
      <c r="B3" s="158">
        <v>15.0</v>
      </c>
      <c r="C3" s="158">
        <v>0.796512308</v>
      </c>
      <c r="D3" s="158">
        <v>115.2215064</v>
      </c>
      <c r="E3" s="158">
        <f t="shared" si="1"/>
        <v>0.1152215064</v>
      </c>
      <c r="F3" s="158">
        <v>30528.0</v>
      </c>
      <c r="G3" s="158">
        <v>3.774289387</v>
      </c>
      <c r="H3" s="1"/>
      <c r="I3" s="1"/>
    </row>
    <row r="4">
      <c r="A4" s="157" t="s">
        <v>581</v>
      </c>
      <c r="B4" s="158">
        <v>0.0</v>
      </c>
      <c r="C4" s="158">
        <v>0.0</v>
      </c>
      <c r="D4" s="158">
        <v>0.0</v>
      </c>
      <c r="E4" s="158">
        <f t="shared" si="1"/>
        <v>0</v>
      </c>
      <c r="F4" s="158">
        <v>110372.0</v>
      </c>
      <c r="G4" s="158">
        <v>0.0</v>
      </c>
      <c r="H4" s="1"/>
      <c r="I4" s="1"/>
    </row>
    <row r="5">
      <c r="A5" s="157" t="s">
        <v>579</v>
      </c>
      <c r="B5" s="158">
        <v>0.0</v>
      </c>
      <c r="C5" s="158">
        <v>0.0</v>
      </c>
      <c r="D5" s="158">
        <v>0.0</v>
      </c>
      <c r="E5" s="158">
        <f t="shared" si="1"/>
        <v>0</v>
      </c>
      <c r="F5" s="158">
        <v>56594.0</v>
      </c>
      <c r="G5" s="158">
        <v>0.0</v>
      </c>
      <c r="H5" s="1"/>
      <c r="I5" s="1"/>
    </row>
    <row r="6">
      <c r="A6" s="157" t="s">
        <v>578</v>
      </c>
      <c r="B6" s="158">
        <v>0.0</v>
      </c>
      <c r="C6" s="158">
        <v>0.0</v>
      </c>
      <c r="D6" s="158">
        <v>0.0</v>
      </c>
      <c r="E6" s="158">
        <f t="shared" si="1"/>
        <v>0</v>
      </c>
      <c r="F6" s="158">
        <v>9251.0</v>
      </c>
      <c r="G6" s="158">
        <v>0.0</v>
      </c>
      <c r="H6" s="1"/>
      <c r="I6" s="1"/>
    </row>
    <row r="7">
      <c r="A7" s="157" t="s">
        <v>565</v>
      </c>
      <c r="B7" s="158">
        <v>13.0</v>
      </c>
      <c r="C7" s="158">
        <v>0.690310667</v>
      </c>
      <c r="D7" s="158">
        <v>99.85863888</v>
      </c>
      <c r="E7" s="158">
        <f t="shared" si="1"/>
        <v>0.09985863888</v>
      </c>
      <c r="F7" s="158">
        <v>78871.0</v>
      </c>
      <c r="G7" s="158">
        <v>1.266100834</v>
      </c>
      <c r="H7" s="1"/>
      <c r="I7" s="1"/>
    </row>
    <row r="8">
      <c r="A8" s="157" t="s">
        <v>568</v>
      </c>
      <c r="B8" s="158">
        <v>58.0</v>
      </c>
      <c r="C8" s="158">
        <v>6.63444513</v>
      </c>
      <c r="D8" s="158">
        <v>959.7224736</v>
      </c>
      <c r="E8" s="158">
        <f t="shared" si="1"/>
        <v>0.9597224736</v>
      </c>
      <c r="F8" s="158">
        <v>42947.0</v>
      </c>
      <c r="G8" s="158">
        <v>22.34667086</v>
      </c>
      <c r="H8" s="1"/>
      <c r="I8" s="1"/>
    </row>
    <row r="9">
      <c r="A9" s="157" t="s">
        <v>573</v>
      </c>
      <c r="B9" s="158">
        <v>8.0</v>
      </c>
      <c r="C9" s="158">
        <v>0.424806564</v>
      </c>
      <c r="D9" s="158">
        <v>61.45147008</v>
      </c>
      <c r="E9" s="158">
        <f t="shared" si="1"/>
        <v>0.06145147008</v>
      </c>
      <c r="F9" s="158">
        <v>45399.0</v>
      </c>
      <c r="G9" s="158">
        <v>1.353586424</v>
      </c>
      <c r="H9" s="1"/>
      <c r="I9" s="1"/>
    </row>
    <row r="10">
      <c r="A10" s="157" t="s">
        <v>555</v>
      </c>
      <c r="B10" s="158">
        <v>29.0</v>
      </c>
      <c r="C10" s="158">
        <v>1.539923795</v>
      </c>
      <c r="D10" s="158">
        <v>222.761579</v>
      </c>
      <c r="E10" s="158">
        <f t="shared" si="1"/>
        <v>0.222761579</v>
      </c>
      <c r="F10" s="158">
        <v>336884.0</v>
      </c>
      <c r="G10" s="158">
        <v>0.661241196</v>
      </c>
      <c r="H10" s="1"/>
      <c r="I10" s="1"/>
    </row>
    <row r="11">
      <c r="A11" s="157" t="s">
        <v>556</v>
      </c>
      <c r="B11" s="158">
        <v>760.0</v>
      </c>
      <c r="C11" s="158">
        <v>11.1781104</v>
      </c>
      <c r="D11" s="158">
        <v>1616.997888</v>
      </c>
      <c r="E11" s="158">
        <f t="shared" si="1"/>
        <v>1.616997888</v>
      </c>
      <c r="F11" s="158">
        <v>543941.0</v>
      </c>
      <c r="G11" s="158">
        <v>2.972745</v>
      </c>
      <c r="H11" s="1"/>
      <c r="I11" s="1"/>
    </row>
    <row r="12">
      <c r="A12" s="157" t="s">
        <v>557</v>
      </c>
      <c r="B12" s="158">
        <v>260.0</v>
      </c>
      <c r="C12" s="158">
        <v>12.0957642</v>
      </c>
      <c r="D12" s="158">
        <v>1749.743424</v>
      </c>
      <c r="E12" s="158">
        <f t="shared" si="1"/>
        <v>1.749743424</v>
      </c>
      <c r="F12" s="158">
        <v>357581.0</v>
      </c>
      <c r="G12" s="158">
        <v>4.893278513</v>
      </c>
      <c r="H12" s="1"/>
      <c r="I12" s="1"/>
    </row>
    <row r="13">
      <c r="A13" s="157" t="s">
        <v>572</v>
      </c>
      <c r="B13" s="158">
        <v>0.0</v>
      </c>
      <c r="C13" s="158">
        <v>0.0</v>
      </c>
      <c r="D13" s="158">
        <v>0.0</v>
      </c>
      <c r="E13" s="158">
        <f t="shared" si="1"/>
        <v>0</v>
      </c>
      <c r="F13" s="158">
        <v>131957.0</v>
      </c>
      <c r="G13" s="158">
        <v>0.0</v>
      </c>
      <c r="H13" s="1"/>
      <c r="I13" s="1"/>
    </row>
    <row r="14">
      <c r="A14" s="157" t="s">
        <v>569</v>
      </c>
      <c r="B14" s="158">
        <v>2.0</v>
      </c>
      <c r="C14" s="158">
        <v>0.106201641</v>
      </c>
      <c r="D14" s="158">
        <v>15.36286752</v>
      </c>
      <c r="E14" s="158">
        <f t="shared" si="1"/>
        <v>0.01536286752</v>
      </c>
      <c r="F14" s="158">
        <v>93025.0</v>
      </c>
      <c r="G14" s="158">
        <v>0.165147729</v>
      </c>
      <c r="H14" s="1"/>
      <c r="I14" s="1"/>
    </row>
    <row r="15">
      <c r="A15" s="157" t="s">
        <v>582</v>
      </c>
      <c r="B15" s="158">
        <v>2.0</v>
      </c>
      <c r="C15" s="158">
        <v>0.106201641</v>
      </c>
      <c r="D15" s="158">
        <v>15.36286752</v>
      </c>
      <c r="E15" s="158">
        <f t="shared" si="1"/>
        <v>0.01536286752</v>
      </c>
      <c r="F15" s="158">
        <v>103000.0</v>
      </c>
      <c r="G15" s="158">
        <v>0.149154054</v>
      </c>
      <c r="H15" s="1"/>
      <c r="I15" s="1"/>
    </row>
    <row r="16">
      <c r="A16" s="157" t="s">
        <v>583</v>
      </c>
      <c r="B16" s="158">
        <v>2.0</v>
      </c>
      <c r="C16" s="158">
        <v>0.106201641</v>
      </c>
      <c r="D16" s="158">
        <v>15.36286752</v>
      </c>
      <c r="E16" s="158">
        <f t="shared" si="1"/>
        <v>0.01536286752</v>
      </c>
      <c r="F16" s="158">
        <v>69825.0</v>
      </c>
      <c r="G16" s="158">
        <v>0.220019585</v>
      </c>
      <c r="H16" s="1"/>
      <c r="I16" s="1"/>
    </row>
    <row r="17">
      <c r="A17" s="157" t="s">
        <v>559</v>
      </c>
      <c r="B17" s="158">
        <v>137.0</v>
      </c>
      <c r="C17" s="158">
        <v>9.757425645</v>
      </c>
      <c r="D17" s="158">
        <v>1411.485134</v>
      </c>
      <c r="E17" s="158">
        <f t="shared" si="1"/>
        <v>1.411485134</v>
      </c>
      <c r="F17" s="158">
        <v>301958.0</v>
      </c>
      <c r="G17" s="158">
        <v>4.674441924</v>
      </c>
      <c r="H17" s="1"/>
      <c r="I17" s="1"/>
    </row>
    <row r="18">
      <c r="A18" s="157" t="s">
        <v>580</v>
      </c>
      <c r="B18" s="158">
        <v>8.0</v>
      </c>
      <c r="C18" s="158">
        <v>0.424806564</v>
      </c>
      <c r="D18" s="158">
        <v>61.45147008</v>
      </c>
      <c r="E18" s="158">
        <f t="shared" si="1"/>
        <v>0.06145147008</v>
      </c>
      <c r="F18" s="158">
        <v>64594.0</v>
      </c>
      <c r="G18" s="158">
        <v>0.951349507</v>
      </c>
      <c r="H18" s="1"/>
      <c r="I18" s="1"/>
    </row>
    <row r="19">
      <c r="A19" s="157" t="s">
        <v>571</v>
      </c>
      <c r="B19" s="158">
        <v>5.0</v>
      </c>
      <c r="C19" s="158">
        <v>0.265504103</v>
      </c>
      <c r="D19" s="158">
        <v>38.4071688</v>
      </c>
      <c r="E19" s="158">
        <f t="shared" si="1"/>
        <v>0.0384071688</v>
      </c>
      <c r="F19" s="158">
        <v>65286.0</v>
      </c>
      <c r="G19" s="158">
        <v>0.588291039</v>
      </c>
      <c r="H19" s="1"/>
      <c r="I19" s="1"/>
    </row>
    <row r="20">
      <c r="A20" s="157" t="s">
        <v>575</v>
      </c>
      <c r="B20" s="158">
        <v>3.0</v>
      </c>
      <c r="C20" s="158">
        <v>0.159302462</v>
      </c>
      <c r="D20" s="158">
        <v>23.04430128</v>
      </c>
      <c r="E20" s="158">
        <f t="shared" si="1"/>
        <v>0.02304430128</v>
      </c>
      <c r="F20" s="158">
        <v>2586.0</v>
      </c>
      <c r="G20" s="158">
        <v>8.911176056</v>
      </c>
      <c r="H20" s="1"/>
      <c r="I20" s="1"/>
    </row>
    <row r="21">
      <c r="A21" s="157" t="s">
        <v>584</v>
      </c>
      <c r="B21" s="158">
        <v>0.0</v>
      </c>
      <c r="C21" s="158">
        <v>0.0</v>
      </c>
      <c r="D21" s="158">
        <v>0.0</v>
      </c>
      <c r="E21" s="158">
        <f t="shared" si="1"/>
        <v>0</v>
      </c>
      <c r="F21" s="158">
        <v>315.0</v>
      </c>
      <c r="G21" s="158">
        <v>0.0</v>
      </c>
      <c r="H21" s="1"/>
      <c r="I21" s="1"/>
    </row>
    <row r="22">
      <c r="A22" s="157" t="s">
        <v>570</v>
      </c>
      <c r="B22" s="158">
        <v>87.0</v>
      </c>
      <c r="C22" s="158">
        <v>3.3380856</v>
      </c>
      <c r="D22" s="158">
        <v>482.879232</v>
      </c>
      <c r="E22" s="158">
        <f t="shared" si="1"/>
        <v>0.482879232</v>
      </c>
      <c r="F22" s="158">
        <v>41543.0</v>
      </c>
      <c r="G22" s="158">
        <v>11.62360041</v>
      </c>
      <c r="H22" s="1"/>
      <c r="I22" s="1"/>
    </row>
    <row r="23">
      <c r="A23" s="157" t="s">
        <v>567</v>
      </c>
      <c r="B23" s="158">
        <v>15.0</v>
      </c>
      <c r="C23" s="158">
        <v>0.9975888</v>
      </c>
      <c r="D23" s="158">
        <v>144.308736</v>
      </c>
      <c r="E23" s="158">
        <f t="shared" si="1"/>
        <v>0.144308736</v>
      </c>
      <c r="F23" s="158">
        <v>323772.0</v>
      </c>
      <c r="G23" s="158">
        <v>0.445710982</v>
      </c>
      <c r="H23" s="1"/>
      <c r="I23" s="1"/>
    </row>
    <row r="24">
      <c r="A24" s="157" t="s">
        <v>566</v>
      </c>
      <c r="B24" s="158">
        <v>0.0</v>
      </c>
      <c r="C24" s="158">
        <v>0.0</v>
      </c>
      <c r="D24" s="158">
        <v>0.0</v>
      </c>
      <c r="E24" s="158">
        <f t="shared" si="1"/>
        <v>0</v>
      </c>
      <c r="F24" s="158">
        <v>312679.0</v>
      </c>
      <c r="G24" s="158">
        <v>0.0</v>
      </c>
      <c r="H24" s="1"/>
      <c r="I24" s="1"/>
    </row>
    <row r="25">
      <c r="A25" s="157" t="s">
        <v>558</v>
      </c>
      <c r="B25" s="158">
        <v>5.0</v>
      </c>
      <c r="C25" s="158">
        <v>0.265504103</v>
      </c>
      <c r="D25" s="158">
        <v>38.4071688</v>
      </c>
      <c r="E25" s="158">
        <f t="shared" si="1"/>
        <v>0.0384071688</v>
      </c>
      <c r="F25" s="158">
        <v>91424.0</v>
      </c>
      <c r="G25" s="158">
        <v>0.420099414</v>
      </c>
      <c r="H25" s="1"/>
      <c r="I25" s="1"/>
    </row>
    <row r="26">
      <c r="A26" s="157" t="s">
        <v>576</v>
      </c>
      <c r="B26" s="158">
        <v>0.0</v>
      </c>
      <c r="C26" s="158">
        <v>0.0</v>
      </c>
      <c r="D26" s="158">
        <v>0.0</v>
      </c>
      <c r="E26" s="158">
        <f t="shared" si="1"/>
        <v>0</v>
      </c>
      <c r="F26" s="158">
        <v>238298.0</v>
      </c>
      <c r="G26" s="158">
        <v>0.0</v>
      </c>
      <c r="H26" s="1"/>
      <c r="I26" s="1"/>
    </row>
    <row r="27">
      <c r="A27" s="157" t="s">
        <v>574</v>
      </c>
      <c r="B27" s="158">
        <v>5.0</v>
      </c>
      <c r="C27" s="158">
        <v>0.265504103</v>
      </c>
      <c r="D27" s="158">
        <v>38.4071688</v>
      </c>
      <c r="E27" s="158">
        <f t="shared" si="1"/>
        <v>0.0384071688</v>
      </c>
      <c r="F27" s="158">
        <v>49035.0</v>
      </c>
      <c r="G27" s="158">
        <v>0.7832603</v>
      </c>
      <c r="H27" s="1"/>
      <c r="I27" s="1"/>
    </row>
    <row r="28">
      <c r="A28" s="157" t="s">
        <v>577</v>
      </c>
      <c r="B28" s="158">
        <v>0.0</v>
      </c>
      <c r="C28" s="158">
        <v>0.0</v>
      </c>
      <c r="D28" s="158">
        <v>0.0</v>
      </c>
      <c r="E28" s="158">
        <f t="shared" si="1"/>
        <v>0</v>
      </c>
      <c r="F28" s="158">
        <v>20273.0</v>
      </c>
      <c r="G28" s="158">
        <v>0.0</v>
      </c>
      <c r="H28" s="1"/>
      <c r="I28" s="1"/>
    </row>
    <row r="29">
      <c r="A29" s="157" t="s">
        <v>561</v>
      </c>
      <c r="B29" s="158">
        <v>15.0</v>
      </c>
      <c r="C29" s="158">
        <v>0.53956125</v>
      </c>
      <c r="D29" s="158">
        <v>78.0516</v>
      </c>
      <c r="E29" s="158">
        <f t="shared" si="1"/>
        <v>0.0780516</v>
      </c>
      <c r="F29" s="158">
        <v>498485.0</v>
      </c>
      <c r="G29" s="158">
        <v>0.15657763</v>
      </c>
      <c r="H29" s="1"/>
      <c r="I29" s="1"/>
    </row>
    <row r="30">
      <c r="A30" s="157" t="s">
        <v>554</v>
      </c>
      <c r="B30" s="158">
        <v>63.0</v>
      </c>
      <c r="C30" s="158">
        <v>3.177656055</v>
      </c>
      <c r="D30" s="158">
        <v>459.6718896</v>
      </c>
      <c r="E30" s="158">
        <f t="shared" si="1"/>
        <v>0.4596718896</v>
      </c>
      <c r="F30" s="158">
        <v>438574.0</v>
      </c>
      <c r="G30" s="158">
        <v>1.048105655</v>
      </c>
      <c r="H30" s="1"/>
      <c r="I30" s="1"/>
    </row>
    <row r="31">
      <c r="A31" s="157" t="s">
        <v>564</v>
      </c>
      <c r="B31" s="158">
        <v>46.0</v>
      </c>
      <c r="C31" s="158">
        <v>0.55890552</v>
      </c>
      <c r="D31" s="158">
        <v>80.8498944</v>
      </c>
      <c r="E31" s="158">
        <f t="shared" si="1"/>
        <v>0.0808498944</v>
      </c>
      <c r="F31" s="158">
        <v>41291.0</v>
      </c>
      <c r="G31" s="158">
        <v>1.958051256</v>
      </c>
      <c r="H31" s="1"/>
      <c r="I31" s="1"/>
    </row>
    <row r="32">
      <c r="A32" s="157" t="s">
        <v>563</v>
      </c>
      <c r="B32" s="158">
        <v>119.0</v>
      </c>
      <c r="C32" s="158">
        <v>9.60738765</v>
      </c>
      <c r="D32" s="158">
        <v>1389.781008</v>
      </c>
      <c r="E32" s="158">
        <f t="shared" si="1"/>
        <v>1.389781008</v>
      </c>
      <c r="F32" s="158">
        <v>244381.0</v>
      </c>
      <c r="G32" s="158">
        <v>5.68694378</v>
      </c>
      <c r="H32" s="1"/>
      <c r="I32" s="1"/>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69" t="s">
        <v>6608</v>
      </c>
      <c r="B1" s="169" t="s">
        <v>6609</v>
      </c>
      <c r="C1" s="169" t="s">
        <v>6610</v>
      </c>
      <c r="D1" s="169" t="s">
        <v>6611</v>
      </c>
      <c r="E1" s="169" t="s">
        <v>210</v>
      </c>
      <c r="F1" s="169" t="s">
        <v>211</v>
      </c>
      <c r="G1" s="169" t="s">
        <v>6612</v>
      </c>
      <c r="H1" s="169" t="s">
        <v>6613</v>
      </c>
      <c r="I1" s="169" t="s">
        <v>6614</v>
      </c>
    </row>
    <row r="2">
      <c r="A2" s="170" t="s">
        <v>101</v>
      </c>
      <c r="B2" s="170" t="s">
        <v>6615</v>
      </c>
      <c r="C2" s="170" t="s">
        <v>6616</v>
      </c>
      <c r="D2" s="170" t="s">
        <v>6617</v>
      </c>
      <c r="E2" s="170">
        <v>43.41389156</v>
      </c>
      <c r="F2" s="170">
        <v>-0.618982945</v>
      </c>
      <c r="G2" s="170">
        <v>200.0</v>
      </c>
      <c r="H2" s="170">
        <v>290.0</v>
      </c>
      <c r="I2" s="171">
        <f t="shared" ref="I2:I14" si="1">H2/1000</f>
        <v>0.29</v>
      </c>
    </row>
    <row r="3">
      <c r="A3" s="172" t="s">
        <v>101</v>
      </c>
      <c r="B3" s="172" t="s">
        <v>6618</v>
      </c>
      <c r="C3" s="172" t="s">
        <v>6616</v>
      </c>
      <c r="D3" s="172" t="s">
        <v>6619</v>
      </c>
      <c r="E3" s="172">
        <v>45.3444</v>
      </c>
      <c r="F3" s="172">
        <v>4.8177</v>
      </c>
      <c r="G3" s="172">
        <v>150.0</v>
      </c>
      <c r="H3" s="172">
        <v>217.5</v>
      </c>
      <c r="I3" s="173">
        <f t="shared" si="1"/>
        <v>0.2175</v>
      </c>
    </row>
    <row r="4">
      <c r="A4" s="170" t="s">
        <v>101</v>
      </c>
      <c r="B4" s="170" t="s">
        <v>6620</v>
      </c>
      <c r="C4" s="170" t="s">
        <v>6621</v>
      </c>
      <c r="D4" s="170" t="s">
        <v>6622</v>
      </c>
      <c r="E4" s="170">
        <v>41.48356138</v>
      </c>
      <c r="F4" s="170">
        <v>-2.533976385</v>
      </c>
      <c r="G4" s="170">
        <v>140.0</v>
      </c>
      <c r="H4" s="170">
        <v>203.0</v>
      </c>
      <c r="I4" s="171">
        <f t="shared" si="1"/>
        <v>0.203</v>
      </c>
    </row>
    <row r="5">
      <c r="A5" s="172" t="s">
        <v>101</v>
      </c>
      <c r="B5" s="172" t="s">
        <v>6623</v>
      </c>
      <c r="C5" s="172" t="s">
        <v>6621</v>
      </c>
      <c r="D5" s="172" t="s">
        <v>6624</v>
      </c>
      <c r="E5" s="172">
        <v>41.18253746</v>
      </c>
      <c r="F5" s="172">
        <v>0.568981271</v>
      </c>
      <c r="G5" s="172">
        <v>110.0</v>
      </c>
      <c r="H5" s="172">
        <v>159.5</v>
      </c>
      <c r="I5" s="173">
        <f t="shared" si="1"/>
        <v>0.1595</v>
      </c>
    </row>
    <row r="6">
      <c r="A6" s="170" t="s">
        <v>101</v>
      </c>
      <c r="B6" s="170" t="s">
        <v>6625</v>
      </c>
      <c r="C6" s="170" t="s">
        <v>6626</v>
      </c>
      <c r="D6" s="170" t="s">
        <v>6627</v>
      </c>
      <c r="E6" s="170">
        <v>69.23213784</v>
      </c>
      <c r="F6" s="170">
        <v>17.98007782</v>
      </c>
      <c r="G6" s="170">
        <v>100.0</v>
      </c>
      <c r="H6" s="170">
        <v>145.0</v>
      </c>
      <c r="I6" s="171">
        <f t="shared" si="1"/>
        <v>0.145</v>
      </c>
    </row>
    <row r="7">
      <c r="A7" s="172" t="s">
        <v>101</v>
      </c>
      <c r="B7" s="172" t="s">
        <v>6628</v>
      </c>
      <c r="C7" s="172" t="s">
        <v>6629</v>
      </c>
      <c r="D7" s="172" t="s">
        <v>6630</v>
      </c>
      <c r="E7" s="172">
        <v>63.8258</v>
      </c>
      <c r="F7" s="172">
        <v>20.263</v>
      </c>
      <c r="G7" s="172">
        <v>100.0</v>
      </c>
      <c r="H7" s="172">
        <v>145.0</v>
      </c>
      <c r="I7" s="173">
        <f t="shared" si="1"/>
        <v>0.145</v>
      </c>
    </row>
    <row r="8">
      <c r="A8" s="170" t="s">
        <v>101</v>
      </c>
      <c r="B8" s="170" t="s">
        <v>6631</v>
      </c>
      <c r="C8" s="170" t="s">
        <v>6632</v>
      </c>
      <c r="D8" s="170" t="s">
        <v>6633</v>
      </c>
      <c r="E8" s="170">
        <v>62.404</v>
      </c>
      <c r="F8" s="170">
        <v>17.3918</v>
      </c>
      <c r="G8" s="170">
        <v>100.0</v>
      </c>
      <c r="H8" s="170">
        <v>145.0</v>
      </c>
      <c r="I8" s="171">
        <f t="shared" si="1"/>
        <v>0.145</v>
      </c>
    </row>
    <row r="9">
      <c r="A9" s="172" t="s">
        <v>101</v>
      </c>
      <c r="B9" s="172" t="s">
        <v>6634</v>
      </c>
      <c r="C9" s="172" t="s">
        <v>6621</v>
      </c>
      <c r="D9" s="172" t="s">
        <v>6635</v>
      </c>
      <c r="E9" s="172">
        <v>37.20183193</v>
      </c>
      <c r="F9" s="172">
        <v>-4.778653822</v>
      </c>
      <c r="G9" s="172">
        <v>90.0</v>
      </c>
      <c r="H9" s="172">
        <v>130.5</v>
      </c>
      <c r="I9" s="173">
        <f t="shared" si="1"/>
        <v>0.1305</v>
      </c>
    </row>
    <row r="10">
      <c r="A10" s="170" t="s">
        <v>101</v>
      </c>
      <c r="B10" s="170" t="s">
        <v>6636</v>
      </c>
      <c r="C10" s="170" t="s">
        <v>6616</v>
      </c>
      <c r="D10" s="170" t="s">
        <v>6637</v>
      </c>
      <c r="E10" s="170">
        <v>41.81444</v>
      </c>
      <c r="F10" s="170">
        <v>-2.44778</v>
      </c>
      <c r="G10" s="170">
        <v>50.0</v>
      </c>
      <c r="H10" s="170">
        <v>72.5</v>
      </c>
      <c r="I10" s="171">
        <f t="shared" si="1"/>
        <v>0.0725</v>
      </c>
    </row>
    <row r="11">
      <c r="A11" s="172" t="s">
        <v>101</v>
      </c>
      <c r="B11" s="172" t="s">
        <v>6638</v>
      </c>
      <c r="C11" s="172" t="s">
        <v>6639</v>
      </c>
      <c r="D11" s="172" t="s">
        <v>6640</v>
      </c>
      <c r="E11" s="172">
        <v>55.0367</v>
      </c>
      <c r="F11" s="172">
        <v>9.23258</v>
      </c>
      <c r="G11" s="172">
        <v>42.0</v>
      </c>
      <c r="H11" s="172">
        <v>60.9</v>
      </c>
      <c r="I11" s="173">
        <f t="shared" si="1"/>
        <v>0.0609</v>
      </c>
    </row>
    <row r="12">
      <c r="A12" s="170" t="s">
        <v>101</v>
      </c>
      <c r="B12" s="170" t="s">
        <v>6641</v>
      </c>
      <c r="C12" s="170" t="s">
        <v>6621</v>
      </c>
      <c r="D12" s="170" t="s">
        <v>6642</v>
      </c>
      <c r="E12" s="170">
        <v>41.23447504</v>
      </c>
      <c r="F12" s="170">
        <v>-0.040704104</v>
      </c>
      <c r="G12" s="170">
        <v>30.0</v>
      </c>
      <c r="H12" s="170">
        <v>43.5</v>
      </c>
      <c r="I12" s="171">
        <f t="shared" si="1"/>
        <v>0.0435</v>
      </c>
    </row>
    <row r="13">
      <c r="A13" s="172" t="s">
        <v>101</v>
      </c>
      <c r="B13" s="172" t="s">
        <v>6643</v>
      </c>
      <c r="C13" s="172" t="s">
        <v>6644</v>
      </c>
      <c r="D13" s="172" t="s">
        <v>6645</v>
      </c>
      <c r="E13" s="172">
        <v>56.5651</v>
      </c>
      <c r="F13" s="172">
        <v>9.0309</v>
      </c>
      <c r="G13" s="172">
        <v>10.0</v>
      </c>
      <c r="H13" s="172">
        <v>14.5</v>
      </c>
      <c r="I13" s="173">
        <f t="shared" si="1"/>
        <v>0.0145</v>
      </c>
    </row>
    <row r="14">
      <c r="A14" s="170" t="s">
        <v>101</v>
      </c>
      <c r="B14" s="170" t="s">
        <v>6646</v>
      </c>
      <c r="C14" s="170" t="s">
        <v>6647</v>
      </c>
      <c r="D14" s="170" t="s">
        <v>6645</v>
      </c>
      <c r="E14" s="170">
        <v>56.5655</v>
      </c>
      <c r="F14" s="170">
        <v>9.02194</v>
      </c>
      <c r="G14" s="170">
        <v>8.0</v>
      </c>
      <c r="H14" s="170">
        <v>11.6</v>
      </c>
      <c r="I14" s="171">
        <f t="shared" si="1"/>
        <v>0.0116</v>
      </c>
    </row>
  </sheetData>
  <autoFilter ref="$A$1:$I$14">
    <sortState ref="A1:I14">
      <sortCondition descending="1" ref="I1:I14"/>
    </sortState>
  </autoFil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69" t="s">
        <v>6608</v>
      </c>
      <c r="B1" s="169" t="s">
        <v>209</v>
      </c>
      <c r="C1" s="169" t="s">
        <v>6648</v>
      </c>
      <c r="D1" s="169" t="s">
        <v>6649</v>
      </c>
      <c r="E1" s="169" t="s">
        <v>6650</v>
      </c>
      <c r="F1" s="169" t="s">
        <v>546</v>
      </c>
      <c r="G1" s="169" t="s">
        <v>6651</v>
      </c>
      <c r="H1" s="169" t="s">
        <v>210</v>
      </c>
      <c r="I1" s="169" t="s">
        <v>211</v>
      </c>
      <c r="J1" s="169" t="s">
        <v>6613</v>
      </c>
      <c r="K1" s="169" t="s">
        <v>6614</v>
      </c>
    </row>
    <row r="2">
      <c r="A2" s="170" t="s">
        <v>100</v>
      </c>
      <c r="B2" s="170" t="s">
        <v>6652</v>
      </c>
      <c r="C2" s="170" t="s">
        <v>6653</v>
      </c>
      <c r="D2" s="170">
        <v>155.0</v>
      </c>
      <c r="E2" s="170">
        <v>155.0</v>
      </c>
      <c r="F2" s="170" t="s">
        <v>558</v>
      </c>
      <c r="G2" s="170" t="s">
        <v>6654</v>
      </c>
      <c r="H2" s="170">
        <v>38.70775</v>
      </c>
      <c r="I2" s="170">
        <v>-9.13659</v>
      </c>
      <c r="J2" s="170">
        <v>511.5</v>
      </c>
      <c r="K2" s="171">
        <f t="shared" ref="K2:K53" si="1">J2/1000</f>
        <v>0.5115</v>
      </c>
    </row>
    <row r="3">
      <c r="A3" s="172" t="s">
        <v>100</v>
      </c>
      <c r="B3" s="172" t="s">
        <v>6655</v>
      </c>
      <c r="C3" s="172" t="s">
        <v>6656</v>
      </c>
      <c r="D3" s="172">
        <v>151.4</v>
      </c>
      <c r="E3" s="172">
        <v>113.6</v>
      </c>
      <c r="F3" s="172" t="s">
        <v>567</v>
      </c>
      <c r="G3" s="172" t="s">
        <v>6657</v>
      </c>
      <c r="H3" s="172">
        <v>59.13259</v>
      </c>
      <c r="I3" s="172">
        <v>9.6282</v>
      </c>
      <c r="J3" s="172">
        <v>499.62</v>
      </c>
      <c r="K3" s="173">
        <f t="shared" si="1"/>
        <v>0.49962</v>
      </c>
    </row>
    <row r="4">
      <c r="A4" s="170" t="s">
        <v>100</v>
      </c>
      <c r="B4" s="170" t="s">
        <v>6658</v>
      </c>
      <c r="C4" s="170" t="s">
        <v>6656</v>
      </c>
      <c r="D4" s="170">
        <v>143.83</v>
      </c>
      <c r="E4" s="170">
        <v>107.9</v>
      </c>
      <c r="F4" s="170" t="s">
        <v>567</v>
      </c>
      <c r="G4" s="170" t="s">
        <v>6659</v>
      </c>
      <c r="H4" s="170">
        <v>65.96594</v>
      </c>
      <c r="I4" s="170">
        <v>12.27806</v>
      </c>
      <c r="J4" s="170">
        <v>474.639</v>
      </c>
      <c r="K4" s="171">
        <f t="shared" si="1"/>
        <v>0.474639</v>
      </c>
    </row>
    <row r="5">
      <c r="A5" s="172" t="s">
        <v>100</v>
      </c>
      <c r="B5" s="172" t="s">
        <v>6660</v>
      </c>
      <c r="C5" s="172" t="s">
        <v>6661</v>
      </c>
      <c r="D5" s="174"/>
      <c r="E5" s="172">
        <v>100.0</v>
      </c>
      <c r="F5" s="172" t="s">
        <v>554</v>
      </c>
      <c r="G5" s="172" t="s">
        <v>6662</v>
      </c>
      <c r="H5" s="172">
        <v>64.67983</v>
      </c>
      <c r="I5" s="172">
        <v>21.24178</v>
      </c>
      <c r="J5" s="172">
        <v>440.0</v>
      </c>
      <c r="K5" s="173">
        <f t="shared" si="1"/>
        <v>0.44</v>
      </c>
    </row>
    <row r="6">
      <c r="A6" s="170" t="s">
        <v>100</v>
      </c>
      <c r="B6" s="170" t="s">
        <v>6663</v>
      </c>
      <c r="C6" s="170" t="s">
        <v>6664</v>
      </c>
      <c r="D6" s="175"/>
      <c r="E6" s="170">
        <v>100.0</v>
      </c>
      <c r="F6" s="170" t="s">
        <v>561</v>
      </c>
      <c r="G6" s="170" t="s">
        <v>6665</v>
      </c>
      <c r="H6" s="170">
        <v>40.0094</v>
      </c>
      <c r="I6" s="170">
        <v>-3.9035</v>
      </c>
      <c r="J6" s="170">
        <v>440.0</v>
      </c>
      <c r="K6" s="171">
        <f t="shared" si="1"/>
        <v>0.44</v>
      </c>
    </row>
    <row r="7">
      <c r="A7" s="172" t="s">
        <v>100</v>
      </c>
      <c r="B7" s="172" t="s">
        <v>6666</v>
      </c>
      <c r="C7" s="172" t="s">
        <v>6616</v>
      </c>
      <c r="D7" s="174"/>
      <c r="E7" s="172">
        <v>100.0</v>
      </c>
      <c r="F7" s="172" t="s">
        <v>556</v>
      </c>
      <c r="G7" s="172" t="s">
        <v>6667</v>
      </c>
      <c r="H7" s="172">
        <v>43.39596</v>
      </c>
      <c r="I7" s="172">
        <v>4.78843</v>
      </c>
      <c r="J7" s="172">
        <v>347.3684211</v>
      </c>
      <c r="K7" s="173">
        <f t="shared" si="1"/>
        <v>0.3473684211</v>
      </c>
    </row>
    <row r="8">
      <c r="A8" s="170" t="s">
        <v>100</v>
      </c>
      <c r="B8" s="175"/>
      <c r="C8" s="170" t="s">
        <v>6668</v>
      </c>
      <c r="D8" s="170">
        <v>100.0</v>
      </c>
      <c r="E8" s="170">
        <v>75.0</v>
      </c>
      <c r="F8" s="170" t="s">
        <v>556</v>
      </c>
      <c r="G8" s="170" t="s">
        <v>6669</v>
      </c>
      <c r="H8" s="170">
        <v>51.03477</v>
      </c>
      <c r="I8" s="170">
        <v>2.37725</v>
      </c>
      <c r="J8" s="170">
        <v>330.0</v>
      </c>
      <c r="K8" s="171">
        <f t="shared" si="1"/>
        <v>0.33</v>
      </c>
    </row>
    <row r="9">
      <c r="A9" s="172" t="s">
        <v>100</v>
      </c>
      <c r="B9" s="172" t="s">
        <v>6670</v>
      </c>
      <c r="C9" s="172" t="s">
        <v>6671</v>
      </c>
      <c r="D9" s="172">
        <v>90.0</v>
      </c>
      <c r="E9" s="172">
        <v>90.0</v>
      </c>
      <c r="F9" s="172" t="s">
        <v>568</v>
      </c>
      <c r="G9" s="172" t="s">
        <v>5336</v>
      </c>
      <c r="H9" s="172">
        <v>57.04355</v>
      </c>
      <c r="I9" s="172">
        <v>9.7777</v>
      </c>
      <c r="J9" s="172">
        <v>297.0</v>
      </c>
      <c r="K9" s="173">
        <f t="shared" si="1"/>
        <v>0.297</v>
      </c>
    </row>
    <row r="10">
      <c r="A10" s="170" t="s">
        <v>100</v>
      </c>
      <c r="B10" s="175"/>
      <c r="C10" s="170" t="s">
        <v>6672</v>
      </c>
      <c r="D10" s="170">
        <v>88.0</v>
      </c>
      <c r="E10" s="170">
        <v>78.0</v>
      </c>
      <c r="F10" s="170" t="s">
        <v>556</v>
      </c>
      <c r="G10" s="170" t="s">
        <v>6673</v>
      </c>
      <c r="H10" s="170">
        <v>49.47696</v>
      </c>
      <c r="I10" s="170">
        <v>0.17016</v>
      </c>
      <c r="J10" s="170">
        <v>290.4</v>
      </c>
      <c r="K10" s="171">
        <f t="shared" si="1"/>
        <v>0.2904</v>
      </c>
    </row>
    <row r="11">
      <c r="A11" s="172" t="s">
        <v>100</v>
      </c>
      <c r="B11" s="172" t="s">
        <v>6674</v>
      </c>
      <c r="C11" s="172" t="s">
        <v>6675</v>
      </c>
      <c r="D11" s="172">
        <v>88.0</v>
      </c>
      <c r="E11" s="172">
        <v>66.0</v>
      </c>
      <c r="F11" s="172" t="s">
        <v>567</v>
      </c>
      <c r="G11" s="172" t="s">
        <v>2740</v>
      </c>
      <c r="H11" s="172">
        <v>66.3111</v>
      </c>
      <c r="I11" s="172">
        <v>14.1387</v>
      </c>
      <c r="J11" s="172">
        <v>290.4</v>
      </c>
      <c r="K11" s="173">
        <f t="shared" si="1"/>
        <v>0.2904</v>
      </c>
    </row>
    <row r="12">
      <c r="A12" s="170" t="s">
        <v>100</v>
      </c>
      <c r="B12" s="170" t="s">
        <v>6676</v>
      </c>
      <c r="C12" s="170" t="s">
        <v>6677</v>
      </c>
      <c r="D12" s="170">
        <v>85.0</v>
      </c>
      <c r="E12" s="170">
        <v>81.0</v>
      </c>
      <c r="F12" s="170" t="s">
        <v>556</v>
      </c>
      <c r="G12" s="170" t="s">
        <v>6678</v>
      </c>
      <c r="H12" s="170">
        <v>48.2552</v>
      </c>
      <c r="I12" s="170">
        <v>6.4401</v>
      </c>
      <c r="J12" s="170">
        <v>280.5</v>
      </c>
      <c r="K12" s="171">
        <f t="shared" si="1"/>
        <v>0.2805</v>
      </c>
    </row>
    <row r="13">
      <c r="A13" s="172" t="s">
        <v>100</v>
      </c>
      <c r="B13" s="172" t="s">
        <v>6679</v>
      </c>
      <c r="C13" s="172" t="s">
        <v>6677</v>
      </c>
      <c r="D13" s="172">
        <v>85.0</v>
      </c>
      <c r="E13" s="172">
        <v>81.0</v>
      </c>
      <c r="F13" s="172" t="s">
        <v>555</v>
      </c>
      <c r="G13" s="172" t="s">
        <v>721</v>
      </c>
      <c r="H13" s="172">
        <v>65.01179</v>
      </c>
      <c r="I13" s="172">
        <v>25.4702</v>
      </c>
      <c r="J13" s="172">
        <v>280.5</v>
      </c>
      <c r="K13" s="173">
        <f t="shared" si="1"/>
        <v>0.2805</v>
      </c>
    </row>
    <row r="14">
      <c r="A14" s="170" t="s">
        <v>100</v>
      </c>
      <c r="B14" s="170" t="s">
        <v>6680</v>
      </c>
      <c r="C14" s="170" t="s">
        <v>6677</v>
      </c>
      <c r="D14" s="170">
        <v>85.0</v>
      </c>
      <c r="E14" s="170">
        <v>81.0</v>
      </c>
      <c r="F14" s="170" t="s">
        <v>556</v>
      </c>
      <c r="G14" s="170" t="s">
        <v>6681</v>
      </c>
      <c r="H14" s="170">
        <v>49.37739</v>
      </c>
      <c r="I14" s="170">
        <v>1.02862</v>
      </c>
      <c r="J14" s="170">
        <v>280.5</v>
      </c>
      <c r="K14" s="171">
        <f t="shared" si="1"/>
        <v>0.2805</v>
      </c>
    </row>
    <row r="15">
      <c r="A15" s="172" t="s">
        <v>100</v>
      </c>
      <c r="B15" s="172" t="s">
        <v>6682</v>
      </c>
      <c r="C15" s="172" t="s">
        <v>6677</v>
      </c>
      <c r="D15" s="172">
        <v>85.0</v>
      </c>
      <c r="E15" s="172">
        <v>81.0</v>
      </c>
      <c r="F15" s="172" t="s">
        <v>556</v>
      </c>
      <c r="G15" s="172" t="s">
        <v>6683</v>
      </c>
      <c r="H15" s="172">
        <v>45.87541</v>
      </c>
      <c r="I15" s="172">
        <v>0.81744</v>
      </c>
      <c r="J15" s="172">
        <v>280.5</v>
      </c>
      <c r="K15" s="173">
        <f t="shared" si="1"/>
        <v>0.2805</v>
      </c>
    </row>
    <row r="16">
      <c r="A16" s="170" t="s">
        <v>100</v>
      </c>
      <c r="B16" s="170" t="s">
        <v>6684</v>
      </c>
      <c r="C16" s="170" t="s">
        <v>6677</v>
      </c>
      <c r="D16" s="170">
        <v>85.0</v>
      </c>
      <c r="E16" s="170">
        <v>81.0</v>
      </c>
      <c r="F16" s="170" t="s">
        <v>556</v>
      </c>
      <c r="G16" s="170" t="s">
        <v>6685</v>
      </c>
      <c r="H16" s="170">
        <v>43.83401</v>
      </c>
      <c r="I16" s="170">
        <v>-0.82599</v>
      </c>
      <c r="J16" s="170">
        <v>280.5</v>
      </c>
      <c r="K16" s="171">
        <f t="shared" si="1"/>
        <v>0.2805</v>
      </c>
    </row>
    <row r="17">
      <c r="A17" s="172" t="s">
        <v>100</v>
      </c>
      <c r="B17" s="172" t="s">
        <v>6686</v>
      </c>
      <c r="C17" s="172" t="s">
        <v>6677</v>
      </c>
      <c r="D17" s="172">
        <v>85.0</v>
      </c>
      <c r="E17" s="172">
        <v>81.0</v>
      </c>
      <c r="F17" s="172" t="s">
        <v>555</v>
      </c>
      <c r="G17" s="172" t="s">
        <v>6687</v>
      </c>
      <c r="H17" s="172">
        <v>65.84576</v>
      </c>
      <c r="I17" s="172">
        <v>24.1464</v>
      </c>
      <c r="J17" s="172">
        <v>280.5</v>
      </c>
      <c r="K17" s="173">
        <f t="shared" si="1"/>
        <v>0.2805</v>
      </c>
    </row>
    <row r="18">
      <c r="A18" s="170" t="s">
        <v>100</v>
      </c>
      <c r="B18" s="170" t="s">
        <v>6688</v>
      </c>
      <c r="C18" s="170" t="s">
        <v>6689</v>
      </c>
      <c r="D18" s="170">
        <v>80.0</v>
      </c>
      <c r="E18" s="170">
        <v>70.0</v>
      </c>
      <c r="F18" s="170" t="s">
        <v>556</v>
      </c>
      <c r="G18" s="170" t="s">
        <v>6673</v>
      </c>
      <c r="H18" s="170">
        <v>49.4939</v>
      </c>
      <c r="I18" s="170">
        <v>0.10797</v>
      </c>
      <c r="J18" s="170">
        <v>264.0</v>
      </c>
      <c r="K18" s="171">
        <f t="shared" si="1"/>
        <v>0.264</v>
      </c>
    </row>
    <row r="19">
      <c r="A19" s="172" t="s">
        <v>100</v>
      </c>
      <c r="B19" s="172" t="s">
        <v>6690</v>
      </c>
      <c r="C19" s="172" t="s">
        <v>6691</v>
      </c>
      <c r="D19" s="172">
        <v>80.0</v>
      </c>
      <c r="E19" s="172">
        <v>68.0</v>
      </c>
      <c r="F19" s="172" t="s">
        <v>6692</v>
      </c>
      <c r="G19" s="172" t="s">
        <v>6693</v>
      </c>
      <c r="H19" s="172">
        <v>54.50941</v>
      </c>
      <c r="I19" s="172">
        <v>-1.42479</v>
      </c>
      <c r="J19" s="172">
        <v>264.0</v>
      </c>
      <c r="K19" s="173">
        <f t="shared" si="1"/>
        <v>0.264</v>
      </c>
    </row>
    <row r="20">
      <c r="A20" s="170" t="s">
        <v>100</v>
      </c>
      <c r="B20" s="170" t="s">
        <v>6694</v>
      </c>
      <c r="C20" s="170" t="s">
        <v>6691</v>
      </c>
      <c r="D20" s="170">
        <v>80.0</v>
      </c>
      <c r="E20" s="170">
        <v>68.0</v>
      </c>
      <c r="F20" s="170" t="s">
        <v>568</v>
      </c>
      <c r="G20" s="170" t="s">
        <v>6695</v>
      </c>
      <c r="H20" s="170">
        <v>55.01025</v>
      </c>
      <c r="I20" s="170">
        <v>11.90975</v>
      </c>
      <c r="J20" s="170">
        <v>264.0</v>
      </c>
      <c r="K20" s="171">
        <f t="shared" si="1"/>
        <v>0.264</v>
      </c>
    </row>
    <row r="21">
      <c r="A21" s="172" t="s">
        <v>100</v>
      </c>
      <c r="B21" s="172" t="s">
        <v>6696</v>
      </c>
      <c r="C21" s="172" t="s">
        <v>6697</v>
      </c>
      <c r="D21" s="172">
        <v>80.0</v>
      </c>
      <c r="E21" s="172">
        <v>60.0</v>
      </c>
      <c r="F21" s="172" t="s">
        <v>561</v>
      </c>
      <c r="G21" s="172" t="s">
        <v>6698</v>
      </c>
      <c r="H21" s="172">
        <v>42.6235</v>
      </c>
      <c r="I21" s="172">
        <v>-6.56312</v>
      </c>
      <c r="J21" s="172">
        <v>264.0</v>
      </c>
      <c r="K21" s="173">
        <f t="shared" si="1"/>
        <v>0.264</v>
      </c>
    </row>
    <row r="22">
      <c r="A22" s="170" t="s">
        <v>100</v>
      </c>
      <c r="B22" s="170" t="s">
        <v>6699</v>
      </c>
      <c r="C22" s="170" t="s">
        <v>6700</v>
      </c>
      <c r="D22" s="170">
        <v>78.0</v>
      </c>
      <c r="E22" s="170">
        <v>75.0</v>
      </c>
      <c r="F22" s="170" t="s">
        <v>556</v>
      </c>
      <c r="G22" s="170" t="s">
        <v>6667</v>
      </c>
      <c r="H22" s="170">
        <v>43.43964</v>
      </c>
      <c r="I22" s="170">
        <v>4.94993</v>
      </c>
      <c r="J22" s="170">
        <v>257.4</v>
      </c>
      <c r="K22" s="171">
        <f t="shared" si="1"/>
        <v>0.2574</v>
      </c>
    </row>
    <row r="23">
      <c r="A23" s="172" t="s">
        <v>100</v>
      </c>
      <c r="B23" s="172" t="s">
        <v>6701</v>
      </c>
      <c r="C23" s="172" t="s">
        <v>6653</v>
      </c>
      <c r="D23" s="172">
        <v>77.0</v>
      </c>
      <c r="E23" s="172">
        <v>77.0</v>
      </c>
      <c r="F23" s="172" t="s">
        <v>558</v>
      </c>
      <c r="G23" s="172" t="s">
        <v>6702</v>
      </c>
      <c r="H23" s="172">
        <v>41.14945</v>
      </c>
      <c r="I23" s="172">
        <v>-8.61079</v>
      </c>
      <c r="J23" s="172">
        <v>254.1</v>
      </c>
      <c r="K23" s="173">
        <f t="shared" si="1"/>
        <v>0.2541</v>
      </c>
    </row>
    <row r="24">
      <c r="A24" s="170" t="s">
        <v>100</v>
      </c>
      <c r="B24" s="170" t="s">
        <v>6703</v>
      </c>
      <c r="C24" s="170" t="s">
        <v>6704</v>
      </c>
      <c r="D24" s="175"/>
      <c r="E24" s="170">
        <v>73.0</v>
      </c>
      <c r="F24" s="170" t="s">
        <v>561</v>
      </c>
      <c r="G24" s="170" t="s">
        <v>6705</v>
      </c>
      <c r="H24" s="170">
        <v>37.25926</v>
      </c>
      <c r="I24" s="170">
        <v>-6.96038</v>
      </c>
      <c r="J24" s="170">
        <v>253.5789474</v>
      </c>
      <c r="K24" s="171">
        <f t="shared" si="1"/>
        <v>0.2535789474</v>
      </c>
    </row>
    <row r="25">
      <c r="A25" s="172" t="s">
        <v>100</v>
      </c>
      <c r="B25" s="172" t="s">
        <v>6706</v>
      </c>
      <c r="C25" s="172" t="s">
        <v>6707</v>
      </c>
      <c r="D25" s="172">
        <v>75.7</v>
      </c>
      <c r="E25" s="172">
        <v>60.6</v>
      </c>
      <c r="F25" s="172" t="s">
        <v>554</v>
      </c>
      <c r="G25" s="172" t="s">
        <v>6708</v>
      </c>
      <c r="H25" s="172">
        <v>62.4734</v>
      </c>
      <c r="I25" s="172">
        <v>15.64109</v>
      </c>
      <c r="J25" s="172">
        <v>249.81</v>
      </c>
      <c r="K25" s="173">
        <f t="shared" si="1"/>
        <v>0.24981</v>
      </c>
    </row>
    <row r="26">
      <c r="A26" s="170" t="s">
        <v>100</v>
      </c>
      <c r="B26" s="170" t="s">
        <v>6709</v>
      </c>
      <c r="C26" s="170" t="s">
        <v>6707</v>
      </c>
      <c r="D26" s="170">
        <v>75.7</v>
      </c>
      <c r="E26" s="170">
        <v>60.6</v>
      </c>
      <c r="F26" s="170" t="s">
        <v>555</v>
      </c>
      <c r="G26" s="170" t="s">
        <v>6710</v>
      </c>
      <c r="H26" s="170">
        <v>61.13613</v>
      </c>
      <c r="I26" s="170">
        <v>28.82203</v>
      </c>
      <c r="J26" s="170">
        <v>249.81</v>
      </c>
      <c r="K26" s="171">
        <f t="shared" si="1"/>
        <v>0.24981</v>
      </c>
    </row>
    <row r="27">
      <c r="A27" s="172" t="s">
        <v>100</v>
      </c>
      <c r="B27" s="172" t="s">
        <v>6711</v>
      </c>
      <c r="C27" s="172" t="s">
        <v>6707</v>
      </c>
      <c r="D27" s="172">
        <v>75.7</v>
      </c>
      <c r="E27" s="172">
        <v>60.6</v>
      </c>
      <c r="F27" s="172" t="s">
        <v>555</v>
      </c>
      <c r="G27" s="172" t="s">
        <v>704</v>
      </c>
      <c r="H27" s="172">
        <v>61.1419</v>
      </c>
      <c r="I27" s="172">
        <v>21.4503</v>
      </c>
      <c r="J27" s="172">
        <v>249.81</v>
      </c>
      <c r="K27" s="173">
        <f t="shared" si="1"/>
        <v>0.24981</v>
      </c>
    </row>
    <row r="28">
      <c r="A28" s="170" t="s">
        <v>100</v>
      </c>
      <c r="B28" s="170" t="s">
        <v>6712</v>
      </c>
      <c r="C28" s="170" t="s">
        <v>6713</v>
      </c>
      <c r="D28" s="175"/>
      <c r="E28" s="170">
        <v>70.0</v>
      </c>
      <c r="F28" s="170" t="s">
        <v>582</v>
      </c>
      <c r="G28" s="170" t="s">
        <v>6714</v>
      </c>
      <c r="H28" s="170">
        <v>64.02474</v>
      </c>
      <c r="I28" s="170">
        <v>-22.56038</v>
      </c>
      <c r="J28" s="170">
        <v>243.1578947</v>
      </c>
      <c r="K28" s="171">
        <f t="shared" si="1"/>
        <v>0.2431578947</v>
      </c>
    </row>
    <row r="29">
      <c r="A29" s="172" t="s">
        <v>100</v>
      </c>
      <c r="B29" s="172" t="s">
        <v>6715</v>
      </c>
      <c r="C29" s="172" t="s">
        <v>6716</v>
      </c>
      <c r="D29" s="172">
        <v>70.0</v>
      </c>
      <c r="E29" s="172">
        <v>60.0</v>
      </c>
      <c r="F29" s="172" t="s">
        <v>566</v>
      </c>
      <c r="G29" s="172" t="s">
        <v>6717</v>
      </c>
      <c r="H29" s="172">
        <v>52.5461</v>
      </c>
      <c r="I29" s="172">
        <v>19.6967</v>
      </c>
      <c r="J29" s="172">
        <v>231.0</v>
      </c>
      <c r="K29" s="173">
        <f t="shared" si="1"/>
        <v>0.231</v>
      </c>
    </row>
    <row r="30">
      <c r="A30" s="170" t="s">
        <v>100</v>
      </c>
      <c r="B30" s="170" t="s">
        <v>6718</v>
      </c>
      <c r="C30" s="170" t="s">
        <v>6718</v>
      </c>
      <c r="D30" s="175"/>
      <c r="E30" s="170">
        <v>40.0</v>
      </c>
      <c r="F30" s="170" t="s">
        <v>557</v>
      </c>
      <c r="G30" s="170" t="s">
        <v>6719</v>
      </c>
      <c r="H30" s="170">
        <v>52.47129</v>
      </c>
      <c r="I30" s="170">
        <v>13.78453</v>
      </c>
      <c r="J30" s="170">
        <v>176.0</v>
      </c>
      <c r="K30" s="171">
        <f t="shared" si="1"/>
        <v>0.176</v>
      </c>
    </row>
    <row r="31">
      <c r="A31" s="172" t="s">
        <v>100</v>
      </c>
      <c r="B31" s="174"/>
      <c r="C31" s="172" t="s">
        <v>6720</v>
      </c>
      <c r="D31" s="174"/>
      <c r="E31" s="172">
        <v>38.8</v>
      </c>
      <c r="F31" s="172" t="s">
        <v>580</v>
      </c>
      <c r="G31" s="172" t="s">
        <v>6721</v>
      </c>
      <c r="H31" s="172">
        <v>56.51367</v>
      </c>
      <c r="I31" s="172">
        <v>21.03044</v>
      </c>
      <c r="J31" s="172">
        <v>168.96</v>
      </c>
      <c r="K31" s="173">
        <f t="shared" si="1"/>
        <v>0.16896</v>
      </c>
    </row>
    <row r="32">
      <c r="A32" s="170" t="s">
        <v>100</v>
      </c>
      <c r="B32" s="170" t="s">
        <v>6722</v>
      </c>
      <c r="C32" s="170" t="s">
        <v>6723</v>
      </c>
      <c r="D32" s="170">
        <v>50.0</v>
      </c>
      <c r="E32" s="170">
        <v>37.5</v>
      </c>
      <c r="F32" s="170" t="s">
        <v>556</v>
      </c>
      <c r="G32" s="170" t="s">
        <v>6724</v>
      </c>
      <c r="H32" s="170">
        <v>47.27335</v>
      </c>
      <c r="I32" s="170">
        <v>-2.21389</v>
      </c>
      <c r="J32" s="170">
        <v>165.0</v>
      </c>
      <c r="K32" s="171">
        <f t="shared" si="1"/>
        <v>0.165</v>
      </c>
    </row>
    <row r="33">
      <c r="A33" s="172" t="s">
        <v>100</v>
      </c>
      <c r="B33" s="172" t="s">
        <v>6725</v>
      </c>
      <c r="C33" s="172" t="s">
        <v>6726</v>
      </c>
      <c r="D33" s="172">
        <v>75.0</v>
      </c>
      <c r="E33" s="172">
        <v>14.0</v>
      </c>
      <c r="F33" s="172" t="s">
        <v>561</v>
      </c>
      <c r="G33" s="172" t="s">
        <v>6727</v>
      </c>
      <c r="H33" s="172">
        <v>40.34589</v>
      </c>
      <c r="I33" s="172">
        <v>-1.10607</v>
      </c>
      <c r="J33" s="172">
        <v>160.0</v>
      </c>
      <c r="K33" s="173">
        <f t="shared" si="1"/>
        <v>0.16</v>
      </c>
    </row>
    <row r="34">
      <c r="A34" s="170" t="s">
        <v>100</v>
      </c>
      <c r="B34" s="170" t="s">
        <v>6728</v>
      </c>
      <c r="C34" s="170" t="s">
        <v>6726</v>
      </c>
      <c r="D34" s="170">
        <v>60.0</v>
      </c>
      <c r="E34" s="170">
        <v>9.0</v>
      </c>
      <c r="F34" s="170" t="s">
        <v>561</v>
      </c>
      <c r="G34" s="170" t="s">
        <v>6729</v>
      </c>
      <c r="H34" s="170">
        <v>42.05575</v>
      </c>
      <c r="I34" s="170">
        <v>-2.47653</v>
      </c>
      <c r="J34" s="170">
        <v>140.0</v>
      </c>
      <c r="K34" s="171">
        <f t="shared" si="1"/>
        <v>0.14</v>
      </c>
    </row>
    <row r="35">
      <c r="A35" s="172" t="s">
        <v>100</v>
      </c>
      <c r="B35" s="172" t="s">
        <v>6730</v>
      </c>
      <c r="C35" s="172" t="s">
        <v>6704</v>
      </c>
      <c r="D35" s="174"/>
      <c r="E35" s="172">
        <v>31.0</v>
      </c>
      <c r="F35" s="172" t="s">
        <v>561</v>
      </c>
      <c r="G35" s="172" t="s">
        <v>6731</v>
      </c>
      <c r="H35" s="172">
        <v>38.76042</v>
      </c>
      <c r="I35" s="172">
        <v>-3.38466</v>
      </c>
      <c r="J35" s="172">
        <v>136.4</v>
      </c>
      <c r="K35" s="173">
        <f t="shared" si="1"/>
        <v>0.1364</v>
      </c>
    </row>
    <row r="36">
      <c r="A36" s="170" t="s">
        <v>100</v>
      </c>
      <c r="B36" s="170" t="s">
        <v>6732</v>
      </c>
      <c r="C36" s="170" t="s">
        <v>6707</v>
      </c>
      <c r="D36" s="170">
        <v>37.85</v>
      </c>
      <c r="E36" s="170">
        <v>30.3</v>
      </c>
      <c r="F36" s="170" t="s">
        <v>567</v>
      </c>
      <c r="G36" s="170" t="s">
        <v>6733</v>
      </c>
      <c r="H36" s="170">
        <v>65.83108</v>
      </c>
      <c r="I36" s="170">
        <v>13.21398</v>
      </c>
      <c r="J36" s="170">
        <v>124.905</v>
      </c>
      <c r="K36" s="171">
        <f t="shared" si="1"/>
        <v>0.124905</v>
      </c>
    </row>
    <row r="37">
      <c r="A37" s="172" t="s">
        <v>100</v>
      </c>
      <c r="B37" s="172" t="s">
        <v>6734</v>
      </c>
      <c r="C37" s="172" t="s">
        <v>6735</v>
      </c>
      <c r="D37" s="174"/>
      <c r="E37" s="172">
        <v>35.0</v>
      </c>
      <c r="F37" s="172" t="s">
        <v>556</v>
      </c>
      <c r="G37" s="172" t="s">
        <v>6736</v>
      </c>
      <c r="H37" s="172">
        <v>43.64879</v>
      </c>
      <c r="I37" s="172">
        <v>2.34357</v>
      </c>
      <c r="J37" s="172">
        <v>121.5789474</v>
      </c>
      <c r="K37" s="173">
        <f t="shared" si="1"/>
        <v>0.1215789474</v>
      </c>
    </row>
    <row r="38">
      <c r="A38" s="170" t="s">
        <v>100</v>
      </c>
      <c r="B38" s="170" t="s">
        <v>6737</v>
      </c>
      <c r="C38" s="170" t="s">
        <v>6738</v>
      </c>
      <c r="D38" s="175"/>
      <c r="E38" s="170">
        <v>32.3</v>
      </c>
      <c r="F38" s="170" t="s">
        <v>570</v>
      </c>
      <c r="G38" s="170" t="s">
        <v>6739</v>
      </c>
      <c r="H38" s="170">
        <v>51.94977</v>
      </c>
      <c r="I38" s="170">
        <v>4.14538</v>
      </c>
      <c r="J38" s="170">
        <v>112.2</v>
      </c>
      <c r="K38" s="171">
        <f t="shared" si="1"/>
        <v>0.1122</v>
      </c>
    </row>
    <row r="39">
      <c r="A39" s="172" t="s">
        <v>100</v>
      </c>
      <c r="B39" s="172" t="s">
        <v>6740</v>
      </c>
      <c r="C39" s="172" t="s">
        <v>6741</v>
      </c>
      <c r="D39" s="174"/>
      <c r="E39" s="172">
        <v>25.0</v>
      </c>
      <c r="F39" s="172" t="s">
        <v>6692</v>
      </c>
      <c r="G39" s="172" t="s">
        <v>6742</v>
      </c>
      <c r="H39" s="172">
        <v>54.02283</v>
      </c>
      <c r="I39" s="172">
        <v>-2.69657</v>
      </c>
      <c r="J39" s="172">
        <v>110.0</v>
      </c>
      <c r="K39" s="173">
        <f t="shared" si="1"/>
        <v>0.11</v>
      </c>
    </row>
    <row r="40">
      <c r="A40" s="170" t="s">
        <v>100</v>
      </c>
      <c r="B40" s="170" t="s">
        <v>6743</v>
      </c>
      <c r="C40" s="170" t="s">
        <v>6744</v>
      </c>
      <c r="D40" s="170">
        <v>29.5</v>
      </c>
      <c r="E40" s="170">
        <v>28.0</v>
      </c>
      <c r="F40" s="170" t="s">
        <v>557</v>
      </c>
      <c r="G40" s="170" t="s">
        <v>6745</v>
      </c>
      <c r="H40" s="170">
        <v>51.86168</v>
      </c>
      <c r="I40" s="170">
        <v>14.49849</v>
      </c>
      <c r="J40" s="170">
        <v>97.35</v>
      </c>
      <c r="K40" s="171">
        <f t="shared" si="1"/>
        <v>0.09735</v>
      </c>
    </row>
    <row r="41">
      <c r="A41" s="172" t="s">
        <v>100</v>
      </c>
      <c r="B41" s="172" t="s">
        <v>6746</v>
      </c>
      <c r="C41" s="172" t="s">
        <v>6656</v>
      </c>
      <c r="D41" s="172">
        <v>24.981</v>
      </c>
      <c r="E41" s="172">
        <v>18.7</v>
      </c>
      <c r="F41" s="172" t="s">
        <v>567</v>
      </c>
      <c r="G41" s="172" t="s">
        <v>6659</v>
      </c>
      <c r="H41" s="172">
        <v>65.97557</v>
      </c>
      <c r="I41" s="172">
        <v>12.26742</v>
      </c>
      <c r="J41" s="172">
        <v>82.4373</v>
      </c>
      <c r="K41" s="173">
        <f t="shared" si="1"/>
        <v>0.0824373</v>
      </c>
    </row>
    <row r="42">
      <c r="A42" s="170" t="s">
        <v>100</v>
      </c>
      <c r="B42" s="170" t="s">
        <v>6747</v>
      </c>
      <c r="C42" s="170" t="s">
        <v>6748</v>
      </c>
      <c r="D42" s="170">
        <v>21.0</v>
      </c>
      <c r="E42" s="170">
        <v>10.5</v>
      </c>
      <c r="F42" s="170" t="s">
        <v>561</v>
      </c>
      <c r="G42" s="170" t="s">
        <v>6749</v>
      </c>
      <c r="H42" s="170">
        <v>43.33587</v>
      </c>
      <c r="I42" s="170">
        <v>-3.04144</v>
      </c>
      <c r="J42" s="170">
        <v>69.3</v>
      </c>
      <c r="K42" s="171">
        <f t="shared" si="1"/>
        <v>0.0693</v>
      </c>
    </row>
    <row r="43">
      <c r="A43" s="172" t="s">
        <v>100</v>
      </c>
      <c r="B43" s="174"/>
      <c r="C43" s="172" t="s">
        <v>6750</v>
      </c>
      <c r="D43" s="172">
        <v>12.0</v>
      </c>
      <c r="E43" s="172">
        <v>9.6</v>
      </c>
      <c r="F43" s="172" t="s">
        <v>557</v>
      </c>
      <c r="G43" s="172" t="s">
        <v>6659</v>
      </c>
      <c r="H43" s="172">
        <v>50.9173</v>
      </c>
      <c r="I43" s="172">
        <v>13.34631</v>
      </c>
      <c r="J43" s="172">
        <v>39.6</v>
      </c>
      <c r="K43" s="173">
        <f t="shared" si="1"/>
        <v>0.0396</v>
      </c>
    </row>
    <row r="44">
      <c r="A44" s="170" t="s">
        <v>100</v>
      </c>
      <c r="B44" s="170" t="s">
        <v>6751</v>
      </c>
      <c r="C44" s="170" t="s">
        <v>6656</v>
      </c>
      <c r="D44" s="170">
        <v>7.57</v>
      </c>
      <c r="E44" s="170">
        <v>5.7</v>
      </c>
      <c r="F44" s="170" t="s">
        <v>567</v>
      </c>
      <c r="G44" s="170" t="s">
        <v>6657</v>
      </c>
      <c r="H44" s="170">
        <v>59.1388</v>
      </c>
      <c r="I44" s="170">
        <v>9.66285</v>
      </c>
      <c r="J44" s="170">
        <v>24.981</v>
      </c>
      <c r="K44" s="171">
        <f t="shared" si="1"/>
        <v>0.024981</v>
      </c>
    </row>
    <row r="45">
      <c r="A45" s="172" t="s">
        <v>100</v>
      </c>
      <c r="B45" s="172" t="s">
        <v>6752</v>
      </c>
      <c r="C45" s="172" t="s">
        <v>6753</v>
      </c>
      <c r="D45" s="172">
        <v>6.1</v>
      </c>
      <c r="E45" s="172">
        <v>6.1</v>
      </c>
      <c r="F45" s="172" t="s">
        <v>6692</v>
      </c>
      <c r="G45" s="172" t="s">
        <v>6754</v>
      </c>
      <c r="H45" s="172">
        <v>58.94182</v>
      </c>
      <c r="I45" s="172">
        <v>-3.12969</v>
      </c>
      <c r="J45" s="172">
        <v>20.13</v>
      </c>
      <c r="K45" s="173">
        <f t="shared" si="1"/>
        <v>0.02013</v>
      </c>
    </row>
    <row r="46">
      <c r="A46" s="170" t="s">
        <v>100</v>
      </c>
      <c r="B46" s="170" t="s">
        <v>6755</v>
      </c>
      <c r="C46" s="170" t="s">
        <v>6738</v>
      </c>
      <c r="D46" s="175"/>
      <c r="E46" s="170">
        <v>3.3</v>
      </c>
      <c r="F46" s="170" t="s">
        <v>570</v>
      </c>
      <c r="G46" s="170" t="s">
        <v>6739</v>
      </c>
      <c r="H46" s="170">
        <v>51.94977</v>
      </c>
      <c r="I46" s="170">
        <v>4.14538</v>
      </c>
      <c r="J46" s="170">
        <v>11.46315789</v>
      </c>
      <c r="K46" s="171">
        <f t="shared" si="1"/>
        <v>0.01146315789</v>
      </c>
    </row>
    <row r="47">
      <c r="A47" s="172" t="s">
        <v>100</v>
      </c>
      <c r="B47" s="174"/>
      <c r="C47" s="172" t="s">
        <v>6756</v>
      </c>
      <c r="D47" s="174"/>
      <c r="E47" s="172">
        <v>3.2</v>
      </c>
      <c r="F47" s="172" t="s">
        <v>568</v>
      </c>
      <c r="G47" s="172" t="s">
        <v>6757</v>
      </c>
      <c r="H47" s="172">
        <v>54.8295</v>
      </c>
      <c r="I47" s="172">
        <v>9.36065</v>
      </c>
      <c r="J47" s="172">
        <v>11.11578947</v>
      </c>
      <c r="K47" s="173">
        <f t="shared" si="1"/>
        <v>0.01111578947</v>
      </c>
    </row>
    <row r="48">
      <c r="A48" s="170" t="s">
        <v>100</v>
      </c>
      <c r="B48" s="175"/>
      <c r="C48" s="170" t="s">
        <v>6758</v>
      </c>
      <c r="D48" s="170">
        <v>2.5</v>
      </c>
      <c r="E48" s="170">
        <v>1.9</v>
      </c>
      <c r="F48" s="170" t="s">
        <v>557</v>
      </c>
      <c r="G48" s="170" t="s">
        <v>6759</v>
      </c>
      <c r="H48" s="170">
        <v>50.09171</v>
      </c>
      <c r="I48" s="170">
        <v>8.55038</v>
      </c>
      <c r="J48" s="170">
        <v>8.25</v>
      </c>
      <c r="K48" s="171">
        <f t="shared" si="1"/>
        <v>0.00825</v>
      </c>
    </row>
    <row r="49">
      <c r="A49" s="172" t="s">
        <v>100</v>
      </c>
      <c r="B49" s="172" t="s">
        <v>6760</v>
      </c>
      <c r="C49" s="172" t="s">
        <v>6761</v>
      </c>
      <c r="D49" s="172">
        <v>2.5</v>
      </c>
      <c r="E49" s="172">
        <v>1.9</v>
      </c>
      <c r="F49" s="172" t="s">
        <v>557</v>
      </c>
      <c r="G49" s="172" t="s">
        <v>4057</v>
      </c>
      <c r="H49" s="172">
        <v>51.32336</v>
      </c>
      <c r="I49" s="172">
        <v>12.01951</v>
      </c>
      <c r="J49" s="172">
        <v>8.25</v>
      </c>
      <c r="K49" s="173">
        <f t="shared" si="1"/>
        <v>0.00825</v>
      </c>
    </row>
    <row r="50">
      <c r="A50" s="170" t="s">
        <v>100</v>
      </c>
      <c r="B50" s="170" t="s">
        <v>6762</v>
      </c>
      <c r="C50" s="170" t="s">
        <v>6748</v>
      </c>
      <c r="D50" s="170">
        <v>2.1</v>
      </c>
      <c r="E50" s="170">
        <v>1.2</v>
      </c>
      <c r="F50" s="170" t="s">
        <v>561</v>
      </c>
      <c r="G50" s="170" t="s">
        <v>6749</v>
      </c>
      <c r="H50" s="170">
        <v>43.25619</v>
      </c>
      <c r="I50" s="170">
        <v>-2.90023</v>
      </c>
      <c r="J50" s="170">
        <v>6.93</v>
      </c>
      <c r="K50" s="171">
        <f t="shared" si="1"/>
        <v>0.00693</v>
      </c>
    </row>
    <row r="51">
      <c r="A51" s="172" t="s">
        <v>100</v>
      </c>
      <c r="B51" s="172" t="s">
        <v>6763</v>
      </c>
      <c r="C51" s="172" t="s">
        <v>6764</v>
      </c>
      <c r="D51" s="172">
        <v>0.365</v>
      </c>
      <c r="E51" s="172">
        <v>0.3</v>
      </c>
      <c r="F51" s="172" t="s">
        <v>557</v>
      </c>
      <c r="G51" s="172" t="s">
        <v>6765</v>
      </c>
      <c r="H51" s="172">
        <v>52.85187</v>
      </c>
      <c r="I51" s="172">
        <v>7.67642</v>
      </c>
      <c r="J51" s="172">
        <v>1.2045</v>
      </c>
      <c r="K51" s="173">
        <f t="shared" si="1"/>
        <v>0.0012045</v>
      </c>
    </row>
    <row r="52">
      <c r="A52" s="170" t="s">
        <v>100</v>
      </c>
      <c r="B52" s="175"/>
      <c r="C52" s="170" t="s">
        <v>6766</v>
      </c>
      <c r="D52" s="170">
        <v>0.15</v>
      </c>
      <c r="E52" s="170">
        <v>0.1</v>
      </c>
      <c r="F52" s="170" t="s">
        <v>559</v>
      </c>
      <c r="G52" s="170" t="s">
        <v>6767</v>
      </c>
      <c r="H52" s="170">
        <v>39.06556</v>
      </c>
      <c r="I52" s="170">
        <v>9.01083</v>
      </c>
      <c r="J52" s="170">
        <v>0.495</v>
      </c>
      <c r="K52" s="171">
        <f t="shared" si="1"/>
        <v>0.000495</v>
      </c>
    </row>
    <row r="53">
      <c r="A53" s="172" t="s">
        <v>100</v>
      </c>
      <c r="B53" s="174"/>
      <c r="C53" s="172" t="s">
        <v>6768</v>
      </c>
      <c r="D53" s="172">
        <v>0.003</v>
      </c>
      <c r="E53" s="172">
        <v>0.0</v>
      </c>
      <c r="F53" s="172" t="s">
        <v>555</v>
      </c>
      <c r="G53" s="172" t="s">
        <v>2026</v>
      </c>
      <c r="H53" s="172">
        <v>61.49802</v>
      </c>
      <c r="I53" s="172">
        <v>23.76031</v>
      </c>
      <c r="J53" s="172">
        <v>0.0099</v>
      </c>
      <c r="K53" s="173">
        <f t="shared" si="1"/>
        <v>0.0000099</v>
      </c>
    </row>
  </sheetData>
  <autoFilter ref="$A$1:$K$53">
    <sortState ref="A1:K53">
      <sortCondition descending="1" ref="K1:K53"/>
      <sortCondition ref="J1:J53"/>
    </sortState>
  </autoFil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5" t="s">
        <v>6769</v>
      </c>
      <c r="B1" s="25" t="s">
        <v>41</v>
      </c>
      <c r="C1" s="25" t="s">
        <v>42</v>
      </c>
    </row>
    <row r="2">
      <c r="A2" s="35" t="s">
        <v>6770</v>
      </c>
      <c r="B2" s="85">
        <v>44.0</v>
      </c>
      <c r="C2" s="35" t="s">
        <v>6771</v>
      </c>
    </row>
    <row r="3">
      <c r="A3" s="176" t="s">
        <v>6772</v>
      </c>
      <c r="B3" s="177">
        <v>19.9</v>
      </c>
      <c r="C3" s="176" t="s">
        <v>6771</v>
      </c>
    </row>
    <row r="4">
      <c r="A4" s="176" t="s">
        <v>6773</v>
      </c>
      <c r="B4" s="178">
        <v>43.0</v>
      </c>
      <c r="C4" s="179" t="s">
        <v>6771</v>
      </c>
    </row>
    <row r="5">
      <c r="A5" s="176" t="s">
        <v>6774</v>
      </c>
      <c r="B5" s="178">
        <v>42.6</v>
      </c>
      <c r="C5" s="179" t="s">
        <v>6771</v>
      </c>
    </row>
    <row r="6">
      <c r="A6" s="176" t="s">
        <v>6775</v>
      </c>
      <c r="B6" s="177">
        <v>41.868</v>
      </c>
      <c r="C6" s="176" t="s">
        <v>6776</v>
      </c>
    </row>
    <row r="7">
      <c r="A7" s="180" t="s">
        <v>6777</v>
      </c>
      <c r="B7" s="181">
        <v>1.4</v>
      </c>
      <c r="C7" s="180" t="s">
        <v>6778</v>
      </c>
    </row>
    <row r="8">
      <c r="A8" s="180" t="s">
        <v>6779</v>
      </c>
      <c r="B8" s="181">
        <v>3.793</v>
      </c>
      <c r="C8" s="180" t="s">
        <v>6778</v>
      </c>
    </row>
    <row r="9">
      <c r="A9" s="180" t="s">
        <v>6780</v>
      </c>
      <c r="B9" s="181">
        <v>3.0</v>
      </c>
      <c r="C9" s="180" t="s">
        <v>6778</v>
      </c>
    </row>
    <row r="10">
      <c r="A10" s="180" t="s">
        <v>6781</v>
      </c>
      <c r="B10" s="181">
        <v>3.793</v>
      </c>
      <c r="C10" s="182" t="s">
        <v>6778</v>
      </c>
    </row>
    <row r="11">
      <c r="A11" s="180" t="s">
        <v>6777</v>
      </c>
      <c r="B11" s="181">
        <f>B6/B3*B7</f>
        <v>2.945487437</v>
      </c>
      <c r="C11" s="180" t="s">
        <v>6782</v>
      </c>
    </row>
    <row r="12">
      <c r="A12" s="180" t="s">
        <v>6779</v>
      </c>
      <c r="B12" s="181">
        <f>B6/B5*B8</f>
        <v>3.727824507</v>
      </c>
      <c r="C12" s="180" t="s">
        <v>6782</v>
      </c>
    </row>
    <row r="13">
      <c r="A13" s="180" t="s">
        <v>6780</v>
      </c>
      <c r="B13" s="181">
        <f>B6/B4*B9</f>
        <v>2.921023256</v>
      </c>
      <c r="C13" s="180" t="s">
        <v>6782</v>
      </c>
    </row>
    <row r="14">
      <c r="A14" s="180" t="s">
        <v>6781</v>
      </c>
      <c r="B14" s="181">
        <f>B6/B2*B10</f>
        <v>3.609211909</v>
      </c>
      <c r="C14" s="180" t="s">
        <v>6782</v>
      </c>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8.38"/>
  </cols>
  <sheetData>
    <row r="1">
      <c r="A1" s="74" t="s">
        <v>91</v>
      </c>
      <c r="B1" s="75" t="s">
        <v>92</v>
      </c>
      <c r="C1" s="75" t="s">
        <v>93</v>
      </c>
      <c r="D1" s="75" t="s">
        <v>94</v>
      </c>
      <c r="E1" s="75" t="s">
        <v>95</v>
      </c>
      <c r="F1" s="62"/>
      <c r="G1" s="76" t="s">
        <v>96</v>
      </c>
      <c r="H1" s="62"/>
      <c r="I1" s="62"/>
      <c r="J1" s="62"/>
      <c r="K1" s="62"/>
      <c r="L1" s="62"/>
      <c r="M1" s="62"/>
      <c r="N1" s="62"/>
      <c r="O1" s="62"/>
      <c r="P1" s="62"/>
      <c r="Q1" s="62"/>
      <c r="R1" s="62"/>
      <c r="S1" s="62"/>
      <c r="T1" s="62"/>
      <c r="U1" s="62"/>
      <c r="V1" s="62"/>
      <c r="W1" s="62"/>
      <c r="X1" s="62"/>
      <c r="Y1" s="62"/>
      <c r="Z1" s="62"/>
      <c r="AA1" s="62"/>
      <c r="AB1" s="62"/>
    </row>
    <row r="2">
      <c r="A2" s="77">
        <f t="array" ref="A2:A7">TRANSPOSE(data_aviation!B2:G2)</f>
        <v>2025</v>
      </c>
      <c r="B2" s="78">
        <f t="array" ref="B2:B7">TRANSPOSE(data_aviation!B7:G7)</f>
        <v>0</v>
      </c>
      <c r="C2" s="78"/>
      <c r="D2" s="78">
        <f t="array" ref="D2:D7">TRANSPOSE(data_2!C21:H21)</f>
        <v>1</v>
      </c>
      <c r="E2" s="78">
        <f t="array" ref="E2:E7">TRANSPOSE(data_2!C7:H7)</f>
        <v>45</v>
      </c>
      <c r="G2" s="46" t="s">
        <v>97</v>
      </c>
    </row>
    <row r="3">
      <c r="A3" s="77">
        <v>2030.0</v>
      </c>
      <c r="B3" s="79">
        <v>2.3</v>
      </c>
      <c r="C3" s="79"/>
      <c r="D3" s="79">
        <v>16.0</v>
      </c>
      <c r="E3" s="79">
        <v>50.0</v>
      </c>
      <c r="G3" s="46" t="s">
        <v>98</v>
      </c>
    </row>
    <row r="4">
      <c r="A4" s="77">
        <v>2035.0</v>
      </c>
      <c r="B4" s="79">
        <v>9.5</v>
      </c>
      <c r="C4" s="79"/>
      <c r="D4" s="79">
        <v>50.0</v>
      </c>
      <c r="E4" s="79">
        <v>55.0</v>
      </c>
    </row>
    <row r="5">
      <c r="A5" s="77">
        <v>2040.0</v>
      </c>
      <c r="B5" s="79">
        <v>19.5</v>
      </c>
      <c r="C5" s="79"/>
      <c r="D5" s="79">
        <v>82.0</v>
      </c>
      <c r="E5" s="79">
        <v>60.0</v>
      </c>
    </row>
    <row r="6">
      <c r="A6" s="77">
        <v>2045.0</v>
      </c>
      <c r="B6" s="79">
        <v>30.3</v>
      </c>
      <c r="C6" s="79"/>
      <c r="D6" s="79">
        <v>120.0</v>
      </c>
      <c r="E6" s="79">
        <v>67.0</v>
      </c>
    </row>
    <row r="7">
      <c r="A7" s="77">
        <v>2050.0</v>
      </c>
      <c r="B7" s="79">
        <v>70.2</v>
      </c>
      <c r="C7" s="79"/>
      <c r="D7" s="79">
        <v>178.0</v>
      </c>
      <c r="E7" s="79">
        <v>74.0</v>
      </c>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4" t="s">
        <v>99</v>
      </c>
      <c r="B1" s="75" t="s">
        <v>100</v>
      </c>
      <c r="C1" s="80" t="s">
        <v>101</v>
      </c>
      <c r="D1" s="80" t="s">
        <v>102</v>
      </c>
      <c r="E1" s="80" t="s">
        <v>103</v>
      </c>
      <c r="F1" s="80" t="s">
        <v>104</v>
      </c>
      <c r="G1" s="81" t="s">
        <v>105</v>
      </c>
      <c r="H1" s="82" t="s">
        <v>106</v>
      </c>
    </row>
    <row r="2">
      <c r="A2" s="83" t="s">
        <v>107</v>
      </c>
      <c r="B2" s="84">
        <f>SUM(data_e_kerosene_co2)</f>
        <v>10.44515486</v>
      </c>
      <c r="C2" s="84">
        <f>SUM(data_e_methanol_co2)</f>
        <v>1.6385</v>
      </c>
      <c r="D2" s="79"/>
      <c r="E2" s="79"/>
      <c r="F2" s="79"/>
      <c r="G2" s="79"/>
      <c r="H2" s="78">
        <f>SUM(B2:G2)</f>
        <v>12.08365486</v>
      </c>
    </row>
    <row r="3">
      <c r="A3" s="83" t="s">
        <v>108</v>
      </c>
      <c r="B3" s="85"/>
      <c r="C3" s="79"/>
      <c r="D3" s="84">
        <f>data_1!B20</f>
        <v>53.72979</v>
      </c>
      <c r="E3" s="84">
        <f>data_1!C20</f>
        <v>22.38498</v>
      </c>
      <c r="F3" s="84">
        <f>data_1!D20</f>
        <v>9.241493</v>
      </c>
      <c r="G3" s="84">
        <f>data_1!E20</f>
        <v>6.824593</v>
      </c>
      <c r="H3" s="84">
        <f>data_1!F20</f>
        <v>92.180856</v>
      </c>
    </row>
    <row r="4">
      <c r="A4" s="62"/>
      <c r="E4" s="86"/>
    </row>
    <row r="5">
      <c r="A5" s="62"/>
    </row>
    <row r="6">
      <c r="A6" s="62"/>
    </row>
    <row r="7">
      <c r="A7" s="62"/>
    </row>
    <row r="8">
      <c r="A8" s="62"/>
    </row>
    <row r="9">
      <c r="A9" s="62"/>
    </row>
    <row r="10">
      <c r="A10" s="62"/>
    </row>
    <row r="11">
      <c r="A11" s="62"/>
    </row>
    <row r="12">
      <c r="A12" s="62"/>
    </row>
    <row r="13">
      <c r="A13" s="62"/>
    </row>
    <row r="14">
      <c r="A14" s="62"/>
    </row>
    <row r="15">
      <c r="A15" s="62"/>
    </row>
    <row r="16">
      <c r="A16" s="62"/>
    </row>
    <row r="17">
      <c r="A17" s="62"/>
    </row>
    <row r="18">
      <c r="A18" s="62"/>
    </row>
    <row r="19">
      <c r="A19" s="62"/>
    </row>
    <row r="20">
      <c r="A20" s="62"/>
    </row>
    <row r="21">
      <c r="A21" s="62"/>
    </row>
    <row r="22">
      <c r="A22" s="62"/>
    </row>
    <row r="23">
      <c r="A23" s="62"/>
    </row>
    <row r="24">
      <c r="A24" s="62"/>
    </row>
    <row r="25">
      <c r="A25" s="62"/>
    </row>
    <row r="26">
      <c r="A26" s="62"/>
    </row>
    <row r="27">
      <c r="A27" s="62"/>
    </row>
    <row r="28">
      <c r="A28" s="62"/>
    </row>
    <row r="29">
      <c r="A29" s="62"/>
    </row>
    <row r="30">
      <c r="A30" s="62"/>
    </row>
    <row r="31">
      <c r="A31" s="62"/>
    </row>
    <row r="32">
      <c r="A32" s="62"/>
    </row>
    <row r="33">
      <c r="A33" s="62"/>
    </row>
    <row r="34">
      <c r="A34" s="62"/>
    </row>
    <row r="35">
      <c r="A35" s="62"/>
    </row>
    <row r="36">
      <c r="A36" s="62"/>
    </row>
    <row r="37">
      <c r="A37" s="62"/>
    </row>
    <row r="38">
      <c r="A38" s="62"/>
    </row>
    <row r="39">
      <c r="A39" s="62"/>
    </row>
    <row r="40">
      <c r="A40" s="62"/>
    </row>
    <row r="41">
      <c r="A41" s="62"/>
    </row>
    <row r="42">
      <c r="A42" s="62"/>
    </row>
    <row r="43">
      <c r="A43" s="62"/>
    </row>
    <row r="44">
      <c r="A44" s="62"/>
    </row>
    <row r="45">
      <c r="A45" s="62"/>
    </row>
    <row r="46">
      <c r="A46" s="62"/>
    </row>
    <row r="47">
      <c r="A47" s="62"/>
    </row>
    <row r="48">
      <c r="A48" s="62"/>
    </row>
    <row r="49">
      <c r="A49" s="62"/>
    </row>
    <row r="50">
      <c r="A50" s="62"/>
    </row>
    <row r="51">
      <c r="A51" s="62"/>
    </row>
    <row r="52">
      <c r="A52" s="62"/>
    </row>
    <row r="53">
      <c r="A53" s="62"/>
    </row>
    <row r="54">
      <c r="A54" s="62"/>
    </row>
    <row r="55">
      <c r="A55" s="62"/>
    </row>
    <row r="56">
      <c r="A56" s="62"/>
    </row>
    <row r="57">
      <c r="A57" s="62"/>
    </row>
    <row r="58">
      <c r="A58" s="62"/>
    </row>
    <row r="59">
      <c r="A59" s="62"/>
    </row>
    <row r="60">
      <c r="A60" s="62"/>
    </row>
    <row r="61">
      <c r="A61" s="62"/>
    </row>
    <row r="62">
      <c r="A62" s="62"/>
    </row>
    <row r="63">
      <c r="A63" s="62"/>
    </row>
    <row r="64">
      <c r="A64" s="62"/>
    </row>
    <row r="65">
      <c r="A65" s="62"/>
    </row>
    <row r="66">
      <c r="A66" s="62"/>
    </row>
    <row r="67">
      <c r="A67" s="62"/>
    </row>
    <row r="68">
      <c r="A68" s="62"/>
    </row>
    <row r="69">
      <c r="A69" s="62"/>
    </row>
    <row r="70">
      <c r="A70" s="62"/>
    </row>
    <row r="71">
      <c r="A71" s="62"/>
    </row>
    <row r="72">
      <c r="A72" s="62"/>
    </row>
    <row r="73">
      <c r="A73" s="62"/>
    </row>
    <row r="74">
      <c r="A74" s="62"/>
    </row>
    <row r="75">
      <c r="A75" s="62"/>
    </row>
    <row r="76">
      <c r="A76" s="62"/>
    </row>
    <row r="77">
      <c r="A77" s="62"/>
    </row>
    <row r="78">
      <c r="A78" s="62"/>
    </row>
    <row r="79">
      <c r="A79" s="62"/>
    </row>
    <row r="80">
      <c r="A80" s="62"/>
    </row>
    <row r="81">
      <c r="A81" s="62"/>
    </row>
    <row r="82">
      <c r="A82" s="62"/>
    </row>
    <row r="83">
      <c r="A83" s="62"/>
    </row>
    <row r="84">
      <c r="A84" s="62"/>
    </row>
    <row r="85">
      <c r="A85" s="62"/>
    </row>
    <row r="86">
      <c r="A86" s="62"/>
    </row>
    <row r="87">
      <c r="A87" s="62"/>
    </row>
    <row r="88">
      <c r="A88" s="62"/>
    </row>
    <row r="89">
      <c r="A89" s="62"/>
    </row>
    <row r="90">
      <c r="A90" s="62"/>
    </row>
    <row r="91">
      <c r="A91" s="62"/>
    </row>
    <row r="92">
      <c r="A92" s="62"/>
    </row>
    <row r="93">
      <c r="A93" s="62"/>
    </row>
    <row r="94">
      <c r="A94" s="62"/>
    </row>
    <row r="95">
      <c r="A95" s="62"/>
    </row>
    <row r="96">
      <c r="A96" s="62"/>
    </row>
    <row r="97">
      <c r="A97" s="62"/>
    </row>
    <row r="98">
      <c r="A98" s="62"/>
    </row>
    <row r="99">
      <c r="A99" s="62"/>
    </row>
    <row r="100">
      <c r="A100" s="62"/>
    </row>
    <row r="101">
      <c r="A101" s="62"/>
    </row>
    <row r="102">
      <c r="A102" s="62"/>
    </row>
    <row r="103">
      <c r="A103" s="62"/>
    </row>
    <row r="104">
      <c r="A104" s="62"/>
    </row>
    <row r="105">
      <c r="A105" s="62"/>
    </row>
    <row r="106">
      <c r="A106" s="62"/>
    </row>
    <row r="107">
      <c r="A107" s="62"/>
    </row>
    <row r="108">
      <c r="A108" s="62"/>
    </row>
    <row r="109">
      <c r="A109" s="62"/>
    </row>
    <row r="110">
      <c r="A110" s="62"/>
    </row>
    <row r="111">
      <c r="A111" s="62"/>
    </row>
    <row r="112">
      <c r="A112" s="62"/>
    </row>
    <row r="113">
      <c r="A113" s="62"/>
    </row>
    <row r="114">
      <c r="A114" s="62"/>
    </row>
    <row r="115">
      <c r="A115" s="62"/>
    </row>
    <row r="116">
      <c r="A116" s="62"/>
    </row>
    <row r="117">
      <c r="A117" s="62"/>
    </row>
    <row r="118">
      <c r="A118" s="62"/>
    </row>
    <row r="119">
      <c r="A119" s="62"/>
    </row>
    <row r="120">
      <c r="A120" s="62"/>
    </row>
    <row r="121">
      <c r="A121" s="62"/>
    </row>
    <row r="122">
      <c r="A122" s="62"/>
    </row>
    <row r="123">
      <c r="A123" s="62"/>
    </row>
    <row r="124">
      <c r="A124" s="62"/>
    </row>
    <row r="125">
      <c r="A125" s="62"/>
    </row>
    <row r="126">
      <c r="A126" s="62"/>
    </row>
    <row r="127">
      <c r="A127" s="62"/>
    </row>
    <row r="128">
      <c r="A128" s="62"/>
    </row>
    <row r="129">
      <c r="A129" s="62"/>
    </row>
    <row r="130">
      <c r="A130" s="62"/>
    </row>
    <row r="131">
      <c r="A131" s="62"/>
    </row>
    <row r="132">
      <c r="A132" s="62"/>
    </row>
    <row r="133">
      <c r="A133" s="62"/>
    </row>
    <row r="134">
      <c r="A134" s="62"/>
    </row>
    <row r="135">
      <c r="A135" s="62"/>
    </row>
    <row r="136">
      <c r="A136" s="62"/>
    </row>
    <row r="137">
      <c r="A137" s="62"/>
    </row>
    <row r="138">
      <c r="A138" s="62"/>
    </row>
    <row r="139">
      <c r="A139" s="62"/>
    </row>
    <row r="140">
      <c r="A140" s="62"/>
    </row>
    <row r="141">
      <c r="A141" s="62"/>
    </row>
    <row r="142">
      <c r="A142" s="62"/>
    </row>
    <row r="143">
      <c r="A143" s="62"/>
    </row>
    <row r="144">
      <c r="A144" s="62"/>
    </row>
    <row r="145">
      <c r="A145" s="62"/>
    </row>
    <row r="146">
      <c r="A146" s="62"/>
    </row>
    <row r="147">
      <c r="A147" s="62"/>
    </row>
    <row r="148">
      <c r="A148" s="62"/>
    </row>
    <row r="149">
      <c r="A149" s="62"/>
    </row>
    <row r="150">
      <c r="A150" s="62"/>
    </row>
    <row r="151">
      <c r="A151" s="62"/>
    </row>
    <row r="152">
      <c r="A152" s="62"/>
    </row>
    <row r="153">
      <c r="A153" s="62"/>
    </row>
    <row r="154">
      <c r="A154" s="62"/>
    </row>
    <row r="155">
      <c r="A155" s="62"/>
    </row>
    <row r="156">
      <c r="A156" s="62"/>
    </row>
    <row r="157">
      <c r="A157" s="62"/>
    </row>
    <row r="158">
      <c r="A158" s="62"/>
    </row>
    <row r="159">
      <c r="A159" s="62"/>
    </row>
    <row r="160">
      <c r="A160" s="62"/>
    </row>
    <row r="161">
      <c r="A161" s="62"/>
    </row>
    <row r="162">
      <c r="A162" s="62"/>
    </row>
    <row r="163">
      <c r="A163" s="62"/>
    </row>
    <row r="164">
      <c r="A164" s="62"/>
    </row>
    <row r="165">
      <c r="A165" s="62"/>
    </row>
    <row r="166">
      <c r="A166" s="62"/>
    </row>
    <row r="167">
      <c r="A167" s="62"/>
    </row>
    <row r="168">
      <c r="A168" s="62"/>
    </row>
    <row r="169">
      <c r="A169" s="62"/>
    </row>
    <row r="170">
      <c r="A170" s="62"/>
    </row>
    <row r="171">
      <c r="A171" s="62"/>
    </row>
    <row r="172">
      <c r="A172" s="62"/>
    </row>
    <row r="173">
      <c r="A173" s="62"/>
    </row>
    <row r="174">
      <c r="A174" s="62"/>
    </row>
    <row r="175">
      <c r="A175" s="62"/>
    </row>
    <row r="176">
      <c r="A176" s="62"/>
    </row>
    <row r="177">
      <c r="A177" s="62"/>
    </row>
    <row r="178">
      <c r="A178" s="62"/>
    </row>
    <row r="179">
      <c r="A179" s="62"/>
    </row>
    <row r="180">
      <c r="A180" s="62"/>
    </row>
    <row r="181">
      <c r="A181" s="62"/>
    </row>
    <row r="182">
      <c r="A182" s="62"/>
    </row>
    <row r="183">
      <c r="A183" s="62"/>
    </row>
    <row r="184">
      <c r="A184" s="62"/>
    </row>
    <row r="185">
      <c r="A185" s="62"/>
    </row>
    <row r="186">
      <c r="A186" s="62"/>
    </row>
    <row r="187">
      <c r="A187" s="62"/>
    </row>
    <row r="188">
      <c r="A188" s="62"/>
    </row>
    <row r="189">
      <c r="A189" s="62"/>
    </row>
    <row r="190">
      <c r="A190" s="62"/>
    </row>
    <row r="191">
      <c r="A191" s="62"/>
    </row>
    <row r="192">
      <c r="A192" s="62"/>
    </row>
    <row r="193">
      <c r="A193" s="62"/>
    </row>
    <row r="194">
      <c r="A194" s="62"/>
    </row>
    <row r="195">
      <c r="A195" s="62"/>
    </row>
    <row r="196">
      <c r="A196" s="62"/>
    </row>
    <row r="197">
      <c r="A197" s="62"/>
    </row>
    <row r="198">
      <c r="A198" s="62"/>
    </row>
    <row r="199">
      <c r="A199" s="62"/>
    </row>
    <row r="200">
      <c r="A200" s="62"/>
    </row>
    <row r="201">
      <c r="A201" s="62"/>
    </row>
    <row r="202">
      <c r="A202" s="62"/>
    </row>
    <row r="203">
      <c r="A203" s="62"/>
    </row>
    <row r="204">
      <c r="A204" s="62"/>
    </row>
    <row r="205">
      <c r="A205" s="62"/>
    </row>
    <row r="206">
      <c r="A206" s="62"/>
    </row>
    <row r="207">
      <c r="A207" s="62"/>
    </row>
    <row r="208">
      <c r="A208" s="62"/>
    </row>
    <row r="209">
      <c r="A209" s="62"/>
    </row>
    <row r="210">
      <c r="A210" s="62"/>
    </row>
    <row r="211">
      <c r="A211" s="62"/>
    </row>
    <row r="212">
      <c r="A212" s="62"/>
    </row>
    <row r="213">
      <c r="A213" s="62"/>
    </row>
    <row r="214">
      <c r="A214" s="62"/>
    </row>
    <row r="215">
      <c r="A215" s="62"/>
    </row>
    <row r="216">
      <c r="A216" s="62"/>
    </row>
    <row r="217">
      <c r="A217" s="62"/>
    </row>
    <row r="218">
      <c r="A218" s="62"/>
    </row>
    <row r="219">
      <c r="A219" s="62"/>
    </row>
    <row r="220">
      <c r="A220" s="62"/>
    </row>
    <row r="221">
      <c r="A221" s="62"/>
    </row>
    <row r="222">
      <c r="A222" s="62"/>
    </row>
    <row r="223">
      <c r="A223" s="62"/>
    </row>
    <row r="224">
      <c r="A224" s="62"/>
    </row>
    <row r="225">
      <c r="A225" s="62"/>
    </row>
    <row r="226">
      <c r="A226" s="62"/>
    </row>
    <row r="227">
      <c r="A227" s="62"/>
    </row>
    <row r="228">
      <c r="A228" s="62"/>
    </row>
    <row r="229">
      <c r="A229" s="62"/>
    </row>
    <row r="230">
      <c r="A230" s="62"/>
    </row>
    <row r="231">
      <c r="A231" s="62"/>
    </row>
    <row r="232">
      <c r="A232" s="62"/>
    </row>
    <row r="233">
      <c r="A233" s="62"/>
    </row>
    <row r="234">
      <c r="A234" s="62"/>
    </row>
    <row r="235">
      <c r="A235" s="62"/>
    </row>
    <row r="236">
      <c r="A236" s="62"/>
    </row>
    <row r="237">
      <c r="A237" s="62"/>
    </row>
    <row r="238">
      <c r="A238" s="62"/>
    </row>
    <row r="239">
      <c r="A239" s="62"/>
    </row>
    <row r="240">
      <c r="A240" s="62"/>
    </row>
    <row r="241">
      <c r="A241" s="62"/>
    </row>
    <row r="242">
      <c r="A242" s="62"/>
    </row>
    <row r="243">
      <c r="A243" s="62"/>
    </row>
    <row r="244">
      <c r="A244" s="62"/>
    </row>
    <row r="245">
      <c r="A245" s="62"/>
    </row>
    <row r="246">
      <c r="A246" s="62"/>
    </row>
    <row r="247">
      <c r="A247" s="62"/>
    </row>
    <row r="248">
      <c r="A248" s="62"/>
    </row>
    <row r="249">
      <c r="A249" s="62"/>
    </row>
    <row r="250">
      <c r="A250" s="62"/>
    </row>
    <row r="251">
      <c r="A251" s="62"/>
    </row>
    <row r="252">
      <c r="A252" s="62"/>
    </row>
    <row r="253">
      <c r="A253" s="62"/>
    </row>
    <row r="254">
      <c r="A254" s="62"/>
    </row>
    <row r="255">
      <c r="A255" s="62"/>
    </row>
    <row r="256">
      <c r="A256" s="62"/>
    </row>
    <row r="257">
      <c r="A257" s="62"/>
    </row>
    <row r="258">
      <c r="A258" s="62"/>
    </row>
    <row r="259">
      <c r="A259" s="62"/>
    </row>
    <row r="260">
      <c r="A260" s="62"/>
    </row>
    <row r="261">
      <c r="A261" s="62"/>
    </row>
    <row r="262">
      <c r="A262" s="62"/>
    </row>
    <row r="263">
      <c r="A263" s="62"/>
    </row>
    <row r="264">
      <c r="A264" s="62"/>
    </row>
    <row r="265">
      <c r="A265" s="62"/>
    </row>
    <row r="266">
      <c r="A266" s="62"/>
    </row>
    <row r="267">
      <c r="A267" s="62"/>
    </row>
    <row r="268">
      <c r="A268" s="62"/>
    </row>
    <row r="269">
      <c r="A269" s="62"/>
    </row>
    <row r="270">
      <c r="A270" s="62"/>
    </row>
    <row r="271">
      <c r="A271" s="62"/>
    </row>
    <row r="272">
      <c r="A272" s="62"/>
    </row>
    <row r="273">
      <c r="A273" s="62"/>
    </row>
    <row r="274">
      <c r="A274" s="62"/>
    </row>
    <row r="275">
      <c r="A275" s="62"/>
    </row>
    <row r="276">
      <c r="A276" s="62"/>
    </row>
    <row r="277">
      <c r="A277" s="62"/>
    </row>
    <row r="278">
      <c r="A278" s="62"/>
    </row>
    <row r="279">
      <c r="A279" s="62"/>
    </row>
    <row r="280">
      <c r="A280" s="62"/>
    </row>
    <row r="281">
      <c r="A281" s="62"/>
    </row>
    <row r="282">
      <c r="A282" s="62"/>
    </row>
    <row r="283">
      <c r="A283" s="62"/>
    </row>
    <row r="284">
      <c r="A284" s="62"/>
    </row>
    <row r="285">
      <c r="A285" s="62"/>
    </row>
    <row r="286">
      <c r="A286" s="62"/>
    </row>
    <row r="287">
      <c r="A287" s="62"/>
    </row>
    <row r="288">
      <c r="A288" s="62"/>
    </row>
    <row r="289">
      <c r="A289" s="62"/>
    </row>
    <row r="290">
      <c r="A290" s="62"/>
    </row>
    <row r="291">
      <c r="A291" s="62"/>
    </row>
    <row r="292">
      <c r="A292" s="62"/>
    </row>
    <row r="293">
      <c r="A293" s="62"/>
    </row>
    <row r="294">
      <c r="A294" s="62"/>
    </row>
    <row r="295">
      <c r="A295" s="62"/>
    </row>
    <row r="296">
      <c r="A296" s="62"/>
    </row>
    <row r="297">
      <c r="A297" s="62"/>
    </row>
    <row r="298">
      <c r="A298" s="62"/>
    </row>
    <row r="299">
      <c r="A299" s="62"/>
    </row>
    <row r="300">
      <c r="A300" s="62"/>
    </row>
    <row r="301">
      <c r="A301" s="62"/>
    </row>
    <row r="302">
      <c r="A302" s="62"/>
    </row>
    <row r="303">
      <c r="A303" s="62"/>
    </row>
    <row r="304">
      <c r="A304" s="62"/>
    </row>
    <row r="305">
      <c r="A305" s="62"/>
    </row>
    <row r="306">
      <c r="A306" s="62"/>
    </row>
    <row r="307">
      <c r="A307" s="62"/>
    </row>
    <row r="308">
      <c r="A308" s="62"/>
    </row>
    <row r="309">
      <c r="A309" s="62"/>
    </row>
    <row r="310">
      <c r="A310" s="62"/>
    </row>
    <row r="311">
      <c r="A311" s="62"/>
    </row>
    <row r="312">
      <c r="A312" s="62"/>
    </row>
    <row r="313">
      <c r="A313" s="62"/>
    </row>
    <row r="314">
      <c r="A314" s="62"/>
    </row>
    <row r="315">
      <c r="A315" s="62"/>
    </row>
    <row r="316">
      <c r="A316" s="62"/>
    </row>
    <row r="317">
      <c r="A317" s="62"/>
    </row>
    <row r="318">
      <c r="A318" s="62"/>
    </row>
    <row r="319">
      <c r="A319" s="62"/>
    </row>
    <row r="320">
      <c r="A320" s="62"/>
    </row>
    <row r="321">
      <c r="A321" s="62"/>
    </row>
    <row r="322">
      <c r="A322" s="62"/>
    </row>
    <row r="323">
      <c r="A323" s="62"/>
    </row>
    <row r="324">
      <c r="A324" s="62"/>
    </row>
    <row r="325">
      <c r="A325" s="62"/>
    </row>
    <row r="326">
      <c r="A326" s="62"/>
    </row>
    <row r="327">
      <c r="A327" s="62"/>
    </row>
    <row r="328">
      <c r="A328" s="62"/>
    </row>
    <row r="329">
      <c r="A329" s="62"/>
    </row>
    <row r="330">
      <c r="A330" s="62"/>
    </row>
    <row r="331">
      <c r="A331" s="62"/>
    </row>
    <row r="332">
      <c r="A332" s="62"/>
    </row>
    <row r="333">
      <c r="A333" s="62"/>
    </row>
    <row r="334">
      <c r="A334" s="62"/>
    </row>
    <row r="335">
      <c r="A335" s="62"/>
    </row>
    <row r="336">
      <c r="A336" s="62"/>
    </row>
    <row r="337">
      <c r="A337" s="62"/>
    </row>
    <row r="338">
      <c r="A338" s="62"/>
    </row>
    <row r="339">
      <c r="A339" s="62"/>
    </row>
    <row r="340">
      <c r="A340" s="62"/>
    </row>
    <row r="341">
      <c r="A341" s="62"/>
    </row>
    <row r="342">
      <c r="A342" s="62"/>
    </row>
    <row r="343">
      <c r="A343" s="62"/>
    </row>
    <row r="344">
      <c r="A344" s="62"/>
    </row>
    <row r="345">
      <c r="A345" s="62"/>
    </row>
    <row r="346">
      <c r="A346" s="62"/>
    </row>
    <row r="347">
      <c r="A347" s="62"/>
    </row>
    <row r="348">
      <c r="A348" s="62"/>
    </row>
    <row r="349">
      <c r="A349" s="62"/>
    </row>
    <row r="350">
      <c r="A350" s="62"/>
    </row>
    <row r="351">
      <c r="A351" s="62"/>
    </row>
    <row r="352">
      <c r="A352" s="62"/>
    </row>
    <row r="353">
      <c r="A353" s="62"/>
    </row>
    <row r="354">
      <c r="A354" s="62"/>
    </row>
    <row r="355">
      <c r="A355" s="62"/>
    </row>
    <row r="356">
      <c r="A356" s="62"/>
    </row>
    <row r="357">
      <c r="A357" s="62"/>
    </row>
    <row r="358">
      <c r="A358" s="62"/>
    </row>
    <row r="359">
      <c r="A359" s="62"/>
    </row>
    <row r="360">
      <c r="A360" s="62"/>
    </row>
    <row r="361">
      <c r="A361" s="62"/>
    </row>
    <row r="362">
      <c r="A362" s="62"/>
    </row>
    <row r="363">
      <c r="A363" s="62"/>
    </row>
    <row r="364">
      <c r="A364" s="62"/>
    </row>
    <row r="365">
      <c r="A365" s="62"/>
    </row>
    <row r="366">
      <c r="A366" s="62"/>
    </row>
    <row r="367">
      <c r="A367" s="62"/>
    </row>
    <row r="368">
      <c r="A368" s="62"/>
    </row>
    <row r="369">
      <c r="A369" s="62"/>
    </row>
    <row r="370">
      <c r="A370" s="62"/>
    </row>
    <row r="371">
      <c r="A371" s="62"/>
    </row>
    <row r="372">
      <c r="A372" s="62"/>
    </row>
    <row r="373">
      <c r="A373" s="62"/>
    </row>
    <row r="374">
      <c r="A374" s="62"/>
    </row>
    <row r="375">
      <c r="A375" s="62"/>
    </row>
    <row r="376">
      <c r="A376" s="62"/>
    </row>
    <row r="377">
      <c r="A377" s="62"/>
    </row>
    <row r="378">
      <c r="A378" s="62"/>
    </row>
    <row r="379">
      <c r="A379" s="62"/>
    </row>
    <row r="380">
      <c r="A380" s="62"/>
    </row>
    <row r="381">
      <c r="A381" s="62"/>
    </row>
    <row r="382">
      <c r="A382" s="62"/>
    </row>
    <row r="383">
      <c r="A383" s="62"/>
    </row>
    <row r="384">
      <c r="A384" s="62"/>
    </row>
    <row r="385">
      <c r="A385" s="62"/>
    </row>
    <row r="386">
      <c r="A386" s="62"/>
    </row>
    <row r="387">
      <c r="A387" s="62"/>
    </row>
    <row r="388">
      <c r="A388" s="62"/>
    </row>
    <row r="389">
      <c r="A389" s="62"/>
    </row>
    <row r="390">
      <c r="A390" s="62"/>
    </row>
    <row r="391">
      <c r="A391" s="62"/>
    </row>
    <row r="392">
      <c r="A392" s="62"/>
    </row>
    <row r="393">
      <c r="A393" s="62"/>
    </row>
    <row r="394">
      <c r="A394" s="62"/>
    </row>
    <row r="395">
      <c r="A395" s="62"/>
    </row>
    <row r="396">
      <c r="A396" s="62"/>
    </row>
    <row r="397">
      <c r="A397" s="62"/>
    </row>
    <row r="398">
      <c r="A398" s="62"/>
    </row>
    <row r="399">
      <c r="A399" s="62"/>
    </row>
    <row r="400">
      <c r="A400" s="62"/>
    </row>
    <row r="401">
      <c r="A401" s="62"/>
    </row>
    <row r="402">
      <c r="A402" s="62"/>
    </row>
    <row r="403">
      <c r="A403" s="62"/>
    </row>
    <row r="404">
      <c r="A404" s="62"/>
    </row>
    <row r="405">
      <c r="A405" s="62"/>
    </row>
    <row r="406">
      <c r="A406" s="62"/>
    </row>
    <row r="407">
      <c r="A407" s="62"/>
    </row>
    <row r="408">
      <c r="A408" s="62"/>
    </row>
    <row r="409">
      <c r="A409" s="62"/>
    </row>
    <row r="410">
      <c r="A410" s="62"/>
    </row>
    <row r="411">
      <c r="A411" s="62"/>
    </row>
    <row r="412">
      <c r="A412" s="62"/>
    </row>
    <row r="413">
      <c r="A413" s="62"/>
    </row>
    <row r="414">
      <c r="A414" s="62"/>
    </row>
    <row r="415">
      <c r="A415" s="62"/>
    </row>
    <row r="416">
      <c r="A416" s="62"/>
    </row>
    <row r="417">
      <c r="A417" s="62"/>
    </row>
    <row r="418">
      <c r="A418" s="62"/>
    </row>
    <row r="419">
      <c r="A419" s="62"/>
    </row>
    <row r="420">
      <c r="A420" s="62"/>
    </row>
    <row r="421">
      <c r="A421" s="62"/>
    </row>
    <row r="422">
      <c r="A422" s="62"/>
    </row>
    <row r="423">
      <c r="A423" s="62"/>
    </row>
    <row r="424">
      <c r="A424" s="62"/>
    </row>
    <row r="425">
      <c r="A425" s="62"/>
    </row>
    <row r="426">
      <c r="A426" s="62"/>
    </row>
    <row r="427">
      <c r="A427" s="62"/>
    </row>
    <row r="428">
      <c r="A428" s="62"/>
    </row>
    <row r="429">
      <c r="A429" s="62"/>
    </row>
    <row r="430">
      <c r="A430" s="62"/>
    </row>
    <row r="431">
      <c r="A431" s="62"/>
    </row>
    <row r="432">
      <c r="A432" s="62"/>
    </row>
    <row r="433">
      <c r="A433" s="62"/>
    </row>
    <row r="434">
      <c r="A434" s="62"/>
    </row>
    <row r="435">
      <c r="A435" s="62"/>
    </row>
    <row r="436">
      <c r="A436" s="62"/>
    </row>
    <row r="437">
      <c r="A437" s="62"/>
    </row>
    <row r="438">
      <c r="A438" s="62"/>
    </row>
    <row r="439">
      <c r="A439" s="62"/>
    </row>
    <row r="440">
      <c r="A440" s="62"/>
    </row>
    <row r="441">
      <c r="A441" s="62"/>
    </row>
    <row r="442">
      <c r="A442" s="62"/>
    </row>
    <row r="443">
      <c r="A443" s="62"/>
    </row>
    <row r="444">
      <c r="A444" s="62"/>
    </row>
    <row r="445">
      <c r="A445" s="62"/>
    </row>
    <row r="446">
      <c r="A446" s="62"/>
    </row>
    <row r="447">
      <c r="A447" s="62"/>
    </row>
    <row r="448">
      <c r="A448" s="62"/>
    </row>
    <row r="449">
      <c r="A449" s="62"/>
    </row>
    <row r="450">
      <c r="A450" s="62"/>
    </row>
    <row r="451">
      <c r="A451" s="62"/>
    </row>
    <row r="452">
      <c r="A452" s="62"/>
    </row>
    <row r="453">
      <c r="A453" s="62"/>
    </row>
    <row r="454">
      <c r="A454" s="62"/>
    </row>
    <row r="455">
      <c r="A455" s="62"/>
    </row>
    <row r="456">
      <c r="A456" s="62"/>
    </row>
    <row r="457">
      <c r="A457" s="62"/>
    </row>
    <row r="458">
      <c r="A458" s="62"/>
    </row>
    <row r="459">
      <c r="A459" s="62"/>
    </row>
    <row r="460">
      <c r="A460" s="62"/>
    </row>
    <row r="461">
      <c r="A461" s="62"/>
    </row>
    <row r="462">
      <c r="A462" s="62"/>
    </row>
    <row r="463">
      <c r="A463" s="62"/>
    </row>
    <row r="464">
      <c r="A464" s="62"/>
    </row>
    <row r="465">
      <c r="A465" s="62"/>
    </row>
    <row r="466">
      <c r="A466" s="62"/>
    </row>
    <row r="467">
      <c r="A467" s="62"/>
    </row>
    <row r="468">
      <c r="A468" s="62"/>
    </row>
    <row r="469">
      <c r="A469" s="62"/>
    </row>
    <row r="470">
      <c r="A470" s="62"/>
    </row>
    <row r="471">
      <c r="A471" s="62"/>
    </row>
    <row r="472">
      <c r="A472" s="62"/>
    </row>
    <row r="473">
      <c r="A473" s="62"/>
    </row>
    <row r="474">
      <c r="A474" s="62"/>
    </row>
    <row r="475">
      <c r="A475" s="62"/>
    </row>
    <row r="476">
      <c r="A476" s="62"/>
    </row>
    <row r="477">
      <c r="A477" s="62"/>
    </row>
    <row r="478">
      <c r="A478" s="62"/>
    </row>
    <row r="479">
      <c r="A479" s="62"/>
    </row>
    <row r="480">
      <c r="A480" s="62"/>
    </row>
    <row r="481">
      <c r="A481" s="62"/>
    </row>
    <row r="482">
      <c r="A482" s="62"/>
    </row>
    <row r="483">
      <c r="A483" s="62"/>
    </row>
    <row r="484">
      <c r="A484" s="62"/>
    </row>
    <row r="485">
      <c r="A485" s="62"/>
    </row>
    <row r="486">
      <c r="A486" s="62"/>
    </row>
    <row r="487">
      <c r="A487" s="62"/>
    </row>
    <row r="488">
      <c r="A488" s="62"/>
    </row>
    <row r="489">
      <c r="A489" s="62"/>
    </row>
    <row r="490">
      <c r="A490" s="62"/>
    </row>
    <row r="491">
      <c r="A491" s="62"/>
    </row>
    <row r="492">
      <c r="A492" s="62"/>
    </row>
    <row r="493">
      <c r="A493" s="62"/>
    </row>
    <row r="494">
      <c r="A494" s="62"/>
    </row>
    <row r="495">
      <c r="A495" s="62"/>
    </row>
    <row r="496">
      <c r="A496" s="62"/>
    </row>
    <row r="497">
      <c r="A497" s="62"/>
    </row>
    <row r="498">
      <c r="A498" s="62"/>
    </row>
    <row r="499">
      <c r="A499" s="62"/>
    </row>
    <row r="500">
      <c r="A500" s="62"/>
    </row>
    <row r="501">
      <c r="A501" s="62"/>
    </row>
    <row r="502">
      <c r="A502" s="62"/>
    </row>
    <row r="503">
      <c r="A503" s="62"/>
    </row>
    <row r="504">
      <c r="A504" s="62"/>
    </row>
    <row r="505">
      <c r="A505" s="62"/>
    </row>
    <row r="506">
      <c r="A506" s="62"/>
    </row>
    <row r="507">
      <c r="A507" s="62"/>
    </row>
    <row r="508">
      <c r="A508" s="62"/>
    </row>
    <row r="509">
      <c r="A509" s="62"/>
    </row>
    <row r="510">
      <c r="A510" s="62"/>
    </row>
    <row r="511">
      <c r="A511" s="62"/>
    </row>
    <row r="512">
      <c r="A512" s="62"/>
    </row>
    <row r="513">
      <c r="A513" s="62"/>
    </row>
    <row r="514">
      <c r="A514" s="62"/>
    </row>
    <row r="515">
      <c r="A515" s="62"/>
    </row>
    <row r="516">
      <c r="A516" s="62"/>
    </row>
    <row r="517">
      <c r="A517" s="62"/>
    </row>
    <row r="518">
      <c r="A518" s="62"/>
    </row>
    <row r="519">
      <c r="A519" s="62"/>
    </row>
    <row r="520">
      <c r="A520" s="62"/>
    </row>
    <row r="521">
      <c r="A521" s="62"/>
    </row>
    <row r="522">
      <c r="A522" s="62"/>
    </row>
    <row r="523">
      <c r="A523" s="62"/>
    </row>
    <row r="524">
      <c r="A524" s="62"/>
    </row>
    <row r="525">
      <c r="A525" s="62"/>
    </row>
    <row r="526">
      <c r="A526" s="62"/>
    </row>
    <row r="527">
      <c r="A527" s="62"/>
    </row>
    <row r="528">
      <c r="A528" s="62"/>
    </row>
    <row r="529">
      <c r="A529" s="62"/>
    </row>
    <row r="530">
      <c r="A530" s="62"/>
    </row>
    <row r="531">
      <c r="A531" s="62"/>
    </row>
    <row r="532">
      <c r="A532" s="62"/>
    </row>
    <row r="533">
      <c r="A533" s="62"/>
    </row>
    <row r="534">
      <c r="A534" s="62"/>
    </row>
    <row r="535">
      <c r="A535" s="62"/>
    </row>
    <row r="536">
      <c r="A536" s="62"/>
    </row>
    <row r="537">
      <c r="A537" s="62"/>
    </row>
    <row r="538">
      <c r="A538" s="62"/>
    </row>
    <row r="539">
      <c r="A539" s="62"/>
    </row>
    <row r="540">
      <c r="A540" s="62"/>
    </row>
    <row r="541">
      <c r="A541" s="62"/>
    </row>
    <row r="542">
      <c r="A542" s="62"/>
    </row>
    <row r="543">
      <c r="A543" s="62"/>
    </row>
    <row r="544">
      <c r="A544" s="62"/>
    </row>
    <row r="545">
      <c r="A545" s="62"/>
    </row>
    <row r="546">
      <c r="A546" s="62"/>
    </row>
    <row r="547">
      <c r="A547" s="62"/>
    </row>
    <row r="548">
      <c r="A548" s="62"/>
    </row>
    <row r="549">
      <c r="A549" s="62"/>
    </row>
    <row r="550">
      <c r="A550" s="62"/>
    </row>
    <row r="551">
      <c r="A551" s="62"/>
    </row>
    <row r="552">
      <c r="A552" s="62"/>
    </row>
    <row r="553">
      <c r="A553" s="62"/>
    </row>
    <row r="554">
      <c r="A554" s="62"/>
    </row>
    <row r="555">
      <c r="A555" s="62"/>
    </row>
    <row r="556">
      <c r="A556" s="62"/>
    </row>
    <row r="557">
      <c r="A557" s="62"/>
    </row>
    <row r="558">
      <c r="A558" s="62"/>
    </row>
    <row r="559">
      <c r="A559" s="62"/>
    </row>
    <row r="560">
      <c r="A560" s="62"/>
    </row>
    <row r="561">
      <c r="A561" s="62"/>
    </row>
    <row r="562">
      <c r="A562" s="62"/>
    </row>
    <row r="563">
      <c r="A563" s="62"/>
    </row>
    <row r="564">
      <c r="A564" s="62"/>
    </row>
    <row r="565">
      <c r="A565" s="62"/>
    </row>
    <row r="566">
      <c r="A566" s="62"/>
    </row>
    <row r="567">
      <c r="A567" s="62"/>
    </row>
    <row r="568">
      <c r="A568" s="62"/>
    </row>
    <row r="569">
      <c r="A569" s="62"/>
    </row>
    <row r="570">
      <c r="A570" s="62"/>
    </row>
    <row r="571">
      <c r="A571" s="62"/>
    </row>
    <row r="572">
      <c r="A572" s="62"/>
    </row>
    <row r="573">
      <c r="A573" s="62"/>
    </row>
    <row r="574">
      <c r="A574" s="62"/>
    </row>
    <row r="575">
      <c r="A575" s="62"/>
    </row>
    <row r="576">
      <c r="A576" s="62"/>
    </row>
    <row r="577">
      <c r="A577" s="62"/>
    </row>
    <row r="578">
      <c r="A578" s="62"/>
    </row>
    <row r="579">
      <c r="A579" s="62"/>
    </row>
    <row r="580">
      <c r="A580" s="62"/>
    </row>
    <row r="581">
      <c r="A581" s="62"/>
    </row>
    <row r="582">
      <c r="A582" s="62"/>
    </row>
    <row r="583">
      <c r="A583" s="62"/>
    </row>
    <row r="584">
      <c r="A584" s="62"/>
    </row>
    <row r="585">
      <c r="A585" s="62"/>
    </row>
    <row r="586">
      <c r="A586" s="62"/>
    </row>
    <row r="587">
      <c r="A587" s="62"/>
    </row>
    <row r="588">
      <c r="A588" s="62"/>
    </row>
    <row r="589">
      <c r="A589" s="62"/>
    </row>
    <row r="590">
      <c r="A590" s="62"/>
    </row>
    <row r="591">
      <c r="A591" s="62"/>
    </row>
    <row r="592">
      <c r="A592" s="62"/>
    </row>
    <row r="593">
      <c r="A593" s="62"/>
    </row>
    <row r="594">
      <c r="A594" s="62"/>
    </row>
    <row r="595">
      <c r="A595" s="62"/>
    </row>
    <row r="596">
      <c r="A596" s="62"/>
    </row>
    <row r="597">
      <c r="A597" s="62"/>
    </row>
    <row r="598">
      <c r="A598" s="62"/>
    </row>
    <row r="599">
      <c r="A599" s="62"/>
    </row>
    <row r="600">
      <c r="A600" s="62"/>
    </row>
    <row r="601">
      <c r="A601" s="62"/>
    </row>
    <row r="602">
      <c r="A602" s="62"/>
    </row>
    <row r="603">
      <c r="A603" s="62"/>
    </row>
    <row r="604">
      <c r="A604" s="62"/>
    </row>
    <row r="605">
      <c r="A605" s="62"/>
    </row>
    <row r="606">
      <c r="A606" s="62"/>
    </row>
    <row r="607">
      <c r="A607" s="62"/>
    </row>
    <row r="608">
      <c r="A608" s="62"/>
    </row>
    <row r="609">
      <c r="A609" s="62"/>
    </row>
    <row r="610">
      <c r="A610" s="62"/>
    </row>
    <row r="611">
      <c r="A611" s="62"/>
    </row>
    <row r="612">
      <c r="A612" s="62"/>
    </row>
    <row r="613">
      <c r="A613" s="62"/>
    </row>
    <row r="614">
      <c r="A614" s="62"/>
    </row>
    <row r="615">
      <c r="A615" s="62"/>
    </row>
    <row r="616">
      <c r="A616" s="62"/>
    </row>
    <row r="617">
      <c r="A617" s="62"/>
    </row>
    <row r="618">
      <c r="A618" s="62"/>
    </row>
    <row r="619">
      <c r="A619" s="62"/>
    </row>
    <row r="620">
      <c r="A620" s="62"/>
    </row>
    <row r="621">
      <c r="A621" s="62"/>
    </row>
    <row r="622">
      <c r="A622" s="62"/>
    </row>
    <row r="623">
      <c r="A623" s="62"/>
    </row>
    <row r="624">
      <c r="A624" s="62"/>
    </row>
    <row r="625">
      <c r="A625" s="62"/>
    </row>
    <row r="626">
      <c r="A626" s="62"/>
    </row>
    <row r="627">
      <c r="A627" s="62"/>
    </row>
    <row r="628">
      <c r="A628" s="62"/>
    </row>
    <row r="629">
      <c r="A629" s="62"/>
    </row>
    <row r="630">
      <c r="A630" s="62"/>
    </row>
    <row r="631">
      <c r="A631" s="62"/>
    </row>
    <row r="632">
      <c r="A632" s="62"/>
    </row>
    <row r="633">
      <c r="A633" s="62"/>
    </row>
    <row r="634">
      <c r="A634" s="62"/>
    </row>
    <row r="635">
      <c r="A635" s="62"/>
    </row>
    <row r="636">
      <c r="A636" s="62"/>
    </row>
    <row r="637">
      <c r="A637" s="62"/>
    </row>
    <row r="638">
      <c r="A638" s="62"/>
    </row>
    <row r="639">
      <c r="A639" s="62"/>
    </row>
    <row r="640">
      <c r="A640" s="62"/>
    </row>
    <row r="641">
      <c r="A641" s="62"/>
    </row>
    <row r="642">
      <c r="A642" s="62"/>
    </row>
    <row r="643">
      <c r="A643" s="62"/>
    </row>
    <row r="644">
      <c r="A644" s="62"/>
    </row>
    <row r="645">
      <c r="A645" s="62"/>
    </row>
    <row r="646">
      <c r="A646" s="62"/>
    </row>
    <row r="647">
      <c r="A647" s="62"/>
    </row>
    <row r="648">
      <c r="A648" s="62"/>
    </row>
    <row r="649">
      <c r="A649" s="62"/>
    </row>
    <row r="650">
      <c r="A650" s="62"/>
    </row>
    <row r="651">
      <c r="A651" s="62"/>
    </row>
    <row r="652">
      <c r="A652" s="62"/>
    </row>
    <row r="653">
      <c r="A653" s="62"/>
    </row>
    <row r="654">
      <c r="A654" s="62"/>
    </row>
    <row r="655">
      <c r="A655" s="62"/>
    </row>
    <row r="656">
      <c r="A656" s="62"/>
    </row>
    <row r="657">
      <c r="A657" s="62"/>
    </row>
    <row r="658">
      <c r="A658" s="62"/>
    </row>
    <row r="659">
      <c r="A659" s="62"/>
    </row>
    <row r="660">
      <c r="A660" s="62"/>
    </row>
    <row r="661">
      <c r="A661" s="62"/>
    </row>
    <row r="662">
      <c r="A662" s="62"/>
    </row>
    <row r="663">
      <c r="A663" s="62"/>
    </row>
    <row r="664">
      <c r="A664" s="62"/>
    </row>
    <row r="665">
      <c r="A665" s="62"/>
    </row>
    <row r="666">
      <c r="A666" s="62"/>
    </row>
    <row r="667">
      <c r="A667" s="62"/>
    </row>
    <row r="668">
      <c r="A668" s="62"/>
    </row>
    <row r="669">
      <c r="A669" s="62"/>
    </row>
    <row r="670">
      <c r="A670" s="62"/>
    </row>
    <row r="671">
      <c r="A671" s="62"/>
    </row>
    <row r="672">
      <c r="A672" s="62"/>
    </row>
    <row r="673">
      <c r="A673" s="62"/>
    </row>
    <row r="674">
      <c r="A674" s="62"/>
    </row>
    <row r="675">
      <c r="A675" s="62"/>
    </row>
    <row r="676">
      <c r="A676" s="62"/>
    </row>
    <row r="677">
      <c r="A677" s="62"/>
    </row>
    <row r="678">
      <c r="A678" s="62"/>
    </row>
    <row r="679">
      <c r="A679" s="62"/>
    </row>
    <row r="680">
      <c r="A680" s="62"/>
    </row>
    <row r="681">
      <c r="A681" s="62"/>
    </row>
    <row r="682">
      <c r="A682" s="62"/>
    </row>
    <row r="683">
      <c r="A683" s="62"/>
    </row>
    <row r="684">
      <c r="A684" s="62"/>
    </row>
    <row r="685">
      <c r="A685" s="62"/>
    </row>
    <row r="686">
      <c r="A686" s="62"/>
    </row>
    <row r="687">
      <c r="A687" s="62"/>
    </row>
    <row r="688">
      <c r="A688" s="62"/>
    </row>
    <row r="689">
      <c r="A689" s="62"/>
    </row>
    <row r="690">
      <c r="A690" s="62"/>
    </row>
    <row r="691">
      <c r="A691" s="62"/>
    </row>
    <row r="692">
      <c r="A692" s="62"/>
    </row>
    <row r="693">
      <c r="A693" s="62"/>
    </row>
    <row r="694">
      <c r="A694" s="62"/>
    </row>
    <row r="695">
      <c r="A695" s="62"/>
    </row>
    <row r="696">
      <c r="A696" s="62"/>
    </row>
    <row r="697">
      <c r="A697" s="62"/>
    </row>
    <row r="698">
      <c r="A698" s="62"/>
    </row>
    <row r="699">
      <c r="A699" s="62"/>
    </row>
    <row r="700">
      <c r="A700" s="62"/>
    </row>
    <row r="701">
      <c r="A701" s="62"/>
    </row>
    <row r="702">
      <c r="A702" s="62"/>
    </row>
    <row r="703">
      <c r="A703" s="62"/>
    </row>
    <row r="704">
      <c r="A704" s="62"/>
    </row>
    <row r="705">
      <c r="A705" s="62"/>
    </row>
    <row r="706">
      <c r="A706" s="62"/>
    </row>
    <row r="707">
      <c r="A707" s="62"/>
    </row>
    <row r="708">
      <c r="A708" s="62"/>
    </row>
    <row r="709">
      <c r="A709" s="62"/>
    </row>
    <row r="710">
      <c r="A710" s="62"/>
    </row>
    <row r="711">
      <c r="A711" s="62"/>
    </row>
    <row r="712">
      <c r="A712" s="62"/>
    </row>
    <row r="713">
      <c r="A713" s="62"/>
    </row>
    <row r="714">
      <c r="A714" s="62"/>
    </row>
    <row r="715">
      <c r="A715" s="62"/>
    </row>
    <row r="716">
      <c r="A716" s="62"/>
    </row>
    <row r="717">
      <c r="A717" s="62"/>
    </row>
    <row r="718">
      <c r="A718" s="62"/>
    </row>
    <row r="719">
      <c r="A719" s="62"/>
    </row>
    <row r="720">
      <c r="A720" s="62"/>
    </row>
    <row r="721">
      <c r="A721" s="62"/>
    </row>
    <row r="722">
      <c r="A722" s="62"/>
    </row>
    <row r="723">
      <c r="A723" s="62"/>
    </row>
    <row r="724">
      <c r="A724" s="62"/>
    </row>
    <row r="725">
      <c r="A725" s="62"/>
    </row>
    <row r="726">
      <c r="A726" s="62"/>
    </row>
    <row r="727">
      <c r="A727" s="62"/>
    </row>
    <row r="728">
      <c r="A728" s="62"/>
    </row>
    <row r="729">
      <c r="A729" s="62"/>
    </row>
    <row r="730">
      <c r="A730" s="62"/>
    </row>
    <row r="731">
      <c r="A731" s="62"/>
    </row>
    <row r="732">
      <c r="A732" s="62"/>
    </row>
    <row r="733">
      <c r="A733" s="62"/>
    </row>
    <row r="734">
      <c r="A734" s="62"/>
    </row>
    <row r="735">
      <c r="A735" s="62"/>
    </row>
    <row r="736">
      <c r="A736" s="62"/>
    </row>
    <row r="737">
      <c r="A737" s="62"/>
    </row>
    <row r="738">
      <c r="A738" s="62"/>
    </row>
    <row r="739">
      <c r="A739" s="62"/>
    </row>
    <row r="740">
      <c r="A740" s="62"/>
    </row>
    <row r="741">
      <c r="A741" s="62"/>
    </row>
    <row r="742">
      <c r="A742" s="62"/>
    </row>
    <row r="743">
      <c r="A743" s="62"/>
    </row>
    <row r="744">
      <c r="A744" s="62"/>
    </row>
    <row r="745">
      <c r="A745" s="62"/>
    </row>
    <row r="746">
      <c r="A746" s="62"/>
    </row>
    <row r="747">
      <c r="A747" s="62"/>
    </row>
    <row r="748">
      <c r="A748" s="62"/>
    </row>
    <row r="749">
      <c r="A749" s="62"/>
    </row>
    <row r="750">
      <c r="A750" s="62"/>
    </row>
    <row r="751">
      <c r="A751" s="62"/>
    </row>
    <row r="752">
      <c r="A752" s="62"/>
    </row>
    <row r="753">
      <c r="A753" s="62"/>
    </row>
    <row r="754">
      <c r="A754" s="62"/>
    </row>
    <row r="755">
      <c r="A755" s="62"/>
    </row>
    <row r="756">
      <c r="A756" s="62"/>
    </row>
    <row r="757">
      <c r="A757" s="62"/>
    </row>
    <row r="758">
      <c r="A758" s="62"/>
    </row>
    <row r="759">
      <c r="A759" s="62"/>
    </row>
    <row r="760">
      <c r="A760" s="62"/>
    </row>
    <row r="761">
      <c r="A761" s="62"/>
    </row>
    <row r="762">
      <c r="A762" s="62"/>
    </row>
    <row r="763">
      <c r="A763" s="62"/>
    </row>
    <row r="764">
      <c r="A764" s="62"/>
    </row>
    <row r="765">
      <c r="A765" s="62"/>
    </row>
    <row r="766">
      <c r="A766" s="62"/>
    </row>
    <row r="767">
      <c r="A767" s="62"/>
    </row>
    <row r="768">
      <c r="A768" s="62"/>
    </row>
    <row r="769">
      <c r="A769" s="62"/>
    </row>
    <row r="770">
      <c r="A770" s="62"/>
    </row>
    <row r="771">
      <c r="A771" s="62"/>
    </row>
    <row r="772">
      <c r="A772" s="62"/>
    </row>
    <row r="773">
      <c r="A773" s="62"/>
    </row>
    <row r="774">
      <c r="A774" s="62"/>
    </row>
    <row r="775">
      <c r="A775" s="62"/>
    </row>
    <row r="776">
      <c r="A776" s="62"/>
    </row>
    <row r="777">
      <c r="A777" s="62"/>
    </row>
    <row r="778">
      <c r="A778" s="62"/>
    </row>
    <row r="779">
      <c r="A779" s="62"/>
    </row>
    <row r="780">
      <c r="A780" s="62"/>
    </row>
    <row r="781">
      <c r="A781" s="62"/>
    </row>
    <row r="782">
      <c r="A782" s="62"/>
    </row>
    <row r="783">
      <c r="A783" s="62"/>
    </row>
    <row r="784">
      <c r="A784" s="62"/>
    </row>
    <row r="785">
      <c r="A785" s="62"/>
    </row>
    <row r="786">
      <c r="A786" s="62"/>
    </row>
    <row r="787">
      <c r="A787" s="62"/>
    </row>
    <row r="788">
      <c r="A788" s="62"/>
    </row>
    <row r="789">
      <c r="A789" s="62"/>
    </row>
    <row r="790">
      <c r="A790" s="62"/>
    </row>
    <row r="791">
      <c r="A791" s="62"/>
    </row>
    <row r="792">
      <c r="A792" s="62"/>
    </row>
    <row r="793">
      <c r="A793" s="62"/>
    </row>
    <row r="794">
      <c r="A794" s="62"/>
    </row>
    <row r="795">
      <c r="A795" s="62"/>
    </row>
    <row r="796">
      <c r="A796" s="62"/>
    </row>
    <row r="797">
      <c r="A797" s="62"/>
    </row>
    <row r="798">
      <c r="A798" s="62"/>
    </row>
    <row r="799">
      <c r="A799" s="62"/>
    </row>
    <row r="800">
      <c r="A800" s="62"/>
    </row>
    <row r="801">
      <c r="A801" s="62"/>
    </row>
    <row r="802">
      <c r="A802" s="62"/>
    </row>
    <row r="803">
      <c r="A803" s="62"/>
    </row>
    <row r="804">
      <c r="A804" s="62"/>
    </row>
    <row r="805">
      <c r="A805" s="62"/>
    </row>
    <row r="806">
      <c r="A806" s="62"/>
    </row>
    <row r="807">
      <c r="A807" s="62"/>
    </row>
    <row r="808">
      <c r="A808" s="62"/>
    </row>
    <row r="809">
      <c r="A809" s="62"/>
    </row>
    <row r="810">
      <c r="A810" s="62"/>
    </row>
    <row r="811">
      <c r="A811" s="62"/>
    </row>
    <row r="812">
      <c r="A812" s="62"/>
    </row>
    <row r="813">
      <c r="A813" s="62"/>
    </row>
    <row r="814">
      <c r="A814" s="62"/>
    </row>
    <row r="815">
      <c r="A815" s="62"/>
    </row>
    <row r="816">
      <c r="A816" s="62"/>
    </row>
    <row r="817">
      <c r="A817" s="62"/>
    </row>
    <row r="818">
      <c r="A818" s="62"/>
    </row>
    <row r="819">
      <c r="A819" s="62"/>
    </row>
    <row r="820">
      <c r="A820" s="62"/>
    </row>
    <row r="821">
      <c r="A821" s="62"/>
    </row>
    <row r="822">
      <c r="A822" s="62"/>
    </row>
    <row r="823">
      <c r="A823" s="62"/>
    </row>
    <row r="824">
      <c r="A824" s="62"/>
    </row>
    <row r="825">
      <c r="A825" s="62"/>
    </row>
    <row r="826">
      <c r="A826" s="62"/>
    </row>
    <row r="827">
      <c r="A827" s="62"/>
    </row>
    <row r="828">
      <c r="A828" s="62"/>
    </row>
    <row r="829">
      <c r="A829" s="62"/>
    </row>
    <row r="830">
      <c r="A830" s="62"/>
    </row>
    <row r="831">
      <c r="A831" s="62"/>
    </row>
    <row r="832">
      <c r="A832" s="62"/>
    </row>
    <row r="833">
      <c r="A833" s="62"/>
    </row>
    <row r="834">
      <c r="A834" s="62"/>
    </row>
    <row r="835">
      <c r="A835" s="62"/>
    </row>
    <row r="836">
      <c r="A836" s="62"/>
    </row>
    <row r="837">
      <c r="A837" s="62"/>
    </row>
    <row r="838">
      <c r="A838" s="62"/>
    </row>
    <row r="839">
      <c r="A839" s="62"/>
    </row>
    <row r="840">
      <c r="A840" s="62"/>
    </row>
    <row r="841">
      <c r="A841" s="62"/>
    </row>
    <row r="842">
      <c r="A842" s="62"/>
    </row>
    <row r="843">
      <c r="A843" s="62"/>
    </row>
    <row r="844">
      <c r="A844" s="62"/>
    </row>
    <row r="845">
      <c r="A845" s="62"/>
    </row>
    <row r="846">
      <c r="A846" s="62"/>
    </row>
    <row r="847">
      <c r="A847" s="62"/>
    </row>
    <row r="848">
      <c r="A848" s="62"/>
    </row>
    <row r="849">
      <c r="A849" s="62"/>
    </row>
    <row r="850">
      <c r="A850" s="62"/>
    </row>
    <row r="851">
      <c r="A851" s="62"/>
    </row>
    <row r="852">
      <c r="A852" s="62"/>
    </row>
    <row r="853">
      <c r="A853" s="62"/>
    </row>
    <row r="854">
      <c r="A854" s="62"/>
    </row>
    <row r="855">
      <c r="A855" s="62"/>
    </row>
    <row r="856">
      <c r="A856" s="62"/>
    </row>
    <row r="857">
      <c r="A857" s="62"/>
    </row>
    <row r="858">
      <c r="A858" s="62"/>
    </row>
    <row r="859">
      <c r="A859" s="62"/>
    </row>
    <row r="860">
      <c r="A860" s="62"/>
    </row>
    <row r="861">
      <c r="A861" s="62"/>
    </row>
    <row r="862">
      <c r="A862" s="62"/>
    </row>
    <row r="863">
      <c r="A863" s="62"/>
    </row>
    <row r="864">
      <c r="A864" s="62"/>
    </row>
    <row r="865">
      <c r="A865" s="62"/>
    </row>
    <row r="866">
      <c r="A866" s="62"/>
    </row>
    <row r="867">
      <c r="A867" s="62"/>
    </row>
    <row r="868">
      <c r="A868" s="62"/>
    </row>
    <row r="869">
      <c r="A869" s="62"/>
    </row>
    <row r="870">
      <c r="A870" s="62"/>
    </row>
    <row r="871">
      <c r="A871" s="62"/>
    </row>
    <row r="872">
      <c r="A872" s="62"/>
    </row>
    <row r="873">
      <c r="A873" s="62"/>
    </row>
    <row r="874">
      <c r="A874" s="62"/>
    </row>
    <row r="875">
      <c r="A875" s="62"/>
    </row>
    <row r="876">
      <c r="A876" s="62"/>
    </row>
    <row r="877">
      <c r="A877" s="62"/>
    </row>
    <row r="878">
      <c r="A878" s="62"/>
    </row>
    <row r="879">
      <c r="A879" s="62"/>
    </row>
    <row r="880">
      <c r="A880" s="62"/>
    </row>
    <row r="881">
      <c r="A881" s="62"/>
    </row>
    <row r="882">
      <c r="A882" s="62"/>
    </row>
    <row r="883">
      <c r="A883" s="62"/>
    </row>
    <row r="884">
      <c r="A884" s="62"/>
    </row>
    <row r="885">
      <c r="A885" s="62"/>
    </row>
    <row r="886">
      <c r="A886" s="62"/>
    </row>
    <row r="887">
      <c r="A887" s="62"/>
    </row>
    <row r="888">
      <c r="A888" s="62"/>
    </row>
    <row r="889">
      <c r="A889" s="62"/>
    </row>
    <row r="890">
      <c r="A890" s="62"/>
    </row>
    <row r="891">
      <c r="A891" s="62"/>
    </row>
    <row r="892">
      <c r="A892" s="62"/>
    </row>
    <row r="893">
      <c r="A893" s="62"/>
    </row>
    <row r="894">
      <c r="A894" s="62"/>
    </row>
    <row r="895">
      <c r="A895" s="62"/>
    </row>
    <row r="896">
      <c r="A896" s="62"/>
    </row>
    <row r="897">
      <c r="A897" s="62"/>
    </row>
    <row r="898">
      <c r="A898" s="62"/>
    </row>
    <row r="899">
      <c r="A899" s="62"/>
    </row>
    <row r="900">
      <c r="A900" s="62"/>
    </row>
    <row r="901">
      <c r="A901" s="62"/>
    </row>
    <row r="902">
      <c r="A902" s="62"/>
    </row>
    <row r="903">
      <c r="A903" s="62"/>
    </row>
    <row r="904">
      <c r="A904" s="62"/>
    </row>
    <row r="905">
      <c r="A905" s="62"/>
    </row>
    <row r="906">
      <c r="A906" s="62"/>
    </row>
    <row r="907">
      <c r="A907" s="62"/>
    </row>
    <row r="908">
      <c r="A908" s="62"/>
    </row>
    <row r="909">
      <c r="A909" s="62"/>
    </row>
    <row r="910">
      <c r="A910" s="62"/>
    </row>
    <row r="911">
      <c r="A911" s="62"/>
    </row>
    <row r="912">
      <c r="A912" s="62"/>
    </row>
    <row r="913">
      <c r="A913" s="62"/>
    </row>
    <row r="914">
      <c r="A914" s="62"/>
    </row>
    <row r="915">
      <c r="A915" s="62"/>
    </row>
    <row r="916">
      <c r="A916" s="62"/>
    </row>
    <row r="917">
      <c r="A917" s="62"/>
    </row>
    <row r="918">
      <c r="A918" s="62"/>
    </row>
    <row r="919">
      <c r="A919" s="62"/>
    </row>
    <row r="920">
      <c r="A920" s="62"/>
    </row>
    <row r="921">
      <c r="A921" s="62"/>
    </row>
    <row r="922">
      <c r="A922" s="62"/>
    </row>
    <row r="923">
      <c r="A923" s="62"/>
    </row>
    <row r="924">
      <c r="A924" s="62"/>
    </row>
    <row r="925">
      <c r="A925" s="62"/>
    </row>
    <row r="926">
      <c r="A926" s="62"/>
    </row>
    <row r="927">
      <c r="A927" s="62"/>
    </row>
    <row r="928">
      <c r="A928" s="62"/>
    </row>
    <row r="929">
      <c r="A929" s="62"/>
    </row>
    <row r="930">
      <c r="A930" s="62"/>
    </row>
    <row r="931">
      <c r="A931" s="62"/>
    </row>
    <row r="932">
      <c r="A932" s="62"/>
    </row>
    <row r="933">
      <c r="A933" s="62"/>
    </row>
    <row r="934">
      <c r="A934" s="62"/>
    </row>
    <row r="935">
      <c r="A935" s="62"/>
    </row>
    <row r="936">
      <c r="A936" s="62"/>
    </row>
    <row r="937">
      <c r="A937" s="62"/>
    </row>
    <row r="938">
      <c r="A938" s="62"/>
    </row>
    <row r="939">
      <c r="A939" s="62"/>
    </row>
    <row r="940">
      <c r="A940" s="62"/>
    </row>
    <row r="941">
      <c r="A941" s="62"/>
    </row>
    <row r="942">
      <c r="A942" s="62"/>
    </row>
    <row r="943">
      <c r="A943" s="62"/>
    </row>
    <row r="944">
      <c r="A944" s="62"/>
    </row>
    <row r="945">
      <c r="A945" s="62"/>
    </row>
    <row r="946">
      <c r="A946" s="62"/>
    </row>
    <row r="947">
      <c r="A947" s="62"/>
    </row>
    <row r="948">
      <c r="A948" s="62"/>
    </row>
    <row r="949">
      <c r="A949" s="62"/>
    </row>
    <row r="950">
      <c r="A950" s="62"/>
    </row>
    <row r="951">
      <c r="A951" s="62"/>
    </row>
    <row r="952">
      <c r="A952" s="62"/>
    </row>
    <row r="953">
      <c r="A953" s="62"/>
    </row>
    <row r="954">
      <c r="A954" s="62"/>
    </row>
    <row r="955">
      <c r="A955" s="62"/>
    </row>
    <row r="956">
      <c r="A956" s="62"/>
    </row>
    <row r="957">
      <c r="A957" s="62"/>
    </row>
    <row r="958">
      <c r="A958" s="62"/>
    </row>
    <row r="959">
      <c r="A959" s="62"/>
    </row>
    <row r="960">
      <c r="A960" s="62"/>
    </row>
    <row r="961">
      <c r="A961" s="62"/>
    </row>
    <row r="962">
      <c r="A962" s="62"/>
    </row>
    <row r="963">
      <c r="A963" s="62"/>
    </row>
    <row r="964">
      <c r="A964" s="62"/>
    </row>
    <row r="965">
      <c r="A965" s="62"/>
    </row>
    <row r="966">
      <c r="A966" s="62"/>
    </row>
    <row r="967">
      <c r="A967" s="62"/>
    </row>
    <row r="968">
      <c r="A968" s="62"/>
    </row>
    <row r="969">
      <c r="A969" s="62"/>
    </row>
    <row r="970">
      <c r="A970" s="62"/>
    </row>
    <row r="971">
      <c r="A971" s="62"/>
    </row>
    <row r="972">
      <c r="A972" s="62"/>
    </row>
    <row r="973">
      <c r="A973" s="62"/>
    </row>
    <row r="974">
      <c r="A974" s="62"/>
    </row>
    <row r="975">
      <c r="A975" s="62"/>
    </row>
    <row r="976">
      <c r="A976" s="62"/>
    </row>
    <row r="977">
      <c r="A977" s="62"/>
    </row>
    <row r="978">
      <c r="A978" s="62"/>
    </row>
    <row r="979">
      <c r="A979" s="62"/>
    </row>
    <row r="980">
      <c r="A980" s="62"/>
    </row>
    <row r="981">
      <c r="A981" s="62"/>
    </row>
    <row r="982">
      <c r="A982" s="62"/>
    </row>
    <row r="983">
      <c r="A983" s="62"/>
    </row>
    <row r="984">
      <c r="A984" s="62"/>
    </row>
    <row r="985">
      <c r="A985" s="62"/>
    </row>
  </sheetData>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13"/>
    <col customWidth="1" min="2" max="2" width="18.75"/>
    <col customWidth="1" min="3" max="3" width="16.63"/>
    <col customWidth="1" min="4" max="4" width="23.5"/>
    <col customWidth="1" min="5" max="5" width="27.5"/>
    <col customWidth="1" min="6" max="6" width="38.5"/>
  </cols>
  <sheetData>
    <row r="1">
      <c r="A1" s="87" t="s">
        <v>109</v>
      </c>
      <c r="B1" s="88"/>
      <c r="C1" s="46"/>
    </row>
    <row r="2">
      <c r="A2" s="88"/>
      <c r="B2" s="88"/>
      <c r="C2" s="46"/>
      <c r="E2" s="46" t="s">
        <v>0</v>
      </c>
    </row>
    <row r="4">
      <c r="A4" s="89" t="s">
        <v>110</v>
      </c>
    </row>
    <row r="5">
      <c r="A5" s="90"/>
      <c r="B5" s="91" t="s">
        <v>111</v>
      </c>
      <c r="C5" s="91" t="s">
        <v>112</v>
      </c>
      <c r="D5" s="91" t="s">
        <v>113</v>
      </c>
    </row>
    <row r="6">
      <c r="A6" s="92" t="s">
        <v>105</v>
      </c>
      <c r="B6" s="93">
        <v>0.779324</v>
      </c>
      <c r="C6" s="93">
        <v>1.00991</v>
      </c>
      <c r="D6" s="93">
        <v>2.587318</v>
      </c>
    </row>
    <row r="7">
      <c r="A7" s="92" t="s">
        <v>114</v>
      </c>
      <c r="B7" s="93">
        <v>1.22313</v>
      </c>
      <c r="C7" s="93">
        <v>1.826745</v>
      </c>
      <c r="D7" s="93">
        <v>4.237275</v>
      </c>
    </row>
    <row r="8">
      <c r="A8" s="92" t="s">
        <v>115</v>
      </c>
      <c r="B8" s="93">
        <v>2.203522</v>
      </c>
      <c r="C8" s="93">
        <v>2.587211</v>
      </c>
      <c r="D8" s="93">
        <v>4.838956</v>
      </c>
    </row>
    <row r="9">
      <c r="A9" s="92" t="s">
        <v>104</v>
      </c>
      <c r="B9" s="93">
        <v>3.405747</v>
      </c>
      <c r="C9" s="93">
        <v>5.462687</v>
      </c>
      <c r="D9" s="93">
        <v>9.241493</v>
      </c>
    </row>
    <row r="10">
      <c r="A10" s="92" t="s">
        <v>116</v>
      </c>
      <c r="B10" s="93">
        <v>10.59162</v>
      </c>
      <c r="C10" s="93">
        <v>15.53744</v>
      </c>
      <c r="D10" s="93">
        <v>22.38498</v>
      </c>
    </row>
    <row r="11">
      <c r="A11" s="92" t="s">
        <v>117</v>
      </c>
      <c r="B11" s="93">
        <v>0.229471</v>
      </c>
      <c r="C11" s="93">
        <v>0.343241</v>
      </c>
      <c r="D11" s="93">
        <v>14.5679</v>
      </c>
    </row>
    <row r="12">
      <c r="A12" s="92" t="s">
        <v>118</v>
      </c>
      <c r="B12" s="93">
        <v>4.080377</v>
      </c>
      <c r="C12" s="93">
        <v>5.859407</v>
      </c>
      <c r="D12" s="93">
        <v>53.72979</v>
      </c>
    </row>
    <row r="13">
      <c r="A13" s="94" t="s">
        <v>119</v>
      </c>
      <c r="B13" s="93">
        <v>22.513191</v>
      </c>
      <c r="C13" s="93">
        <v>32.626641</v>
      </c>
      <c r="D13" s="93">
        <v>111.58771200000001</v>
      </c>
    </row>
    <row r="14">
      <c r="A14" s="92" t="s">
        <v>120</v>
      </c>
      <c r="B14" s="93">
        <v>18.01055</v>
      </c>
      <c r="C14" s="93">
        <v>26.10132</v>
      </c>
      <c r="D14" s="93">
        <v>89.27016</v>
      </c>
    </row>
    <row r="15">
      <c r="A15" s="92" t="s">
        <v>121</v>
      </c>
      <c r="B15" s="93">
        <v>27.01583</v>
      </c>
      <c r="C15" s="93">
        <v>39.15197</v>
      </c>
      <c r="D15" s="93">
        <v>133.9052</v>
      </c>
    </row>
    <row r="18">
      <c r="A18" s="95" t="s">
        <v>122</v>
      </c>
    </row>
    <row r="19">
      <c r="A19" s="31"/>
      <c r="B19" s="43" t="s">
        <v>123</v>
      </c>
      <c r="C19" s="43" t="s">
        <v>116</v>
      </c>
      <c r="D19" s="29" t="s">
        <v>104</v>
      </c>
      <c r="E19" s="96" t="s">
        <v>105</v>
      </c>
      <c r="F19" s="35" t="s">
        <v>106</v>
      </c>
    </row>
    <row r="20">
      <c r="A20" s="83" t="s">
        <v>124</v>
      </c>
      <c r="B20" s="78">
        <f>D12</f>
        <v>53.72979</v>
      </c>
      <c r="C20" s="78">
        <f>D10</f>
        <v>22.38498</v>
      </c>
      <c r="D20" s="78">
        <f>D9</f>
        <v>9.241493</v>
      </c>
      <c r="E20" s="78">
        <f>D7+D6</f>
        <v>6.824593</v>
      </c>
      <c r="F20" s="78">
        <f t="shared" ref="F20:F22" si="1">SUM(B20:E20)</f>
        <v>92.180856</v>
      </c>
    </row>
    <row r="21">
      <c r="A21" s="83" t="s">
        <v>125</v>
      </c>
      <c r="B21" s="84">
        <f>D12-B12</f>
        <v>49.649413</v>
      </c>
      <c r="C21" s="78">
        <f>D10-B10</f>
        <v>11.79336</v>
      </c>
      <c r="D21" s="78">
        <f>D9-B9</f>
        <v>5.835746</v>
      </c>
      <c r="E21" s="78">
        <f>D7-B7+D6-B6</f>
        <v>4.822139</v>
      </c>
      <c r="F21" s="78">
        <f t="shared" si="1"/>
        <v>72.100658</v>
      </c>
    </row>
    <row r="22">
      <c r="A22" s="83" t="s">
        <v>126</v>
      </c>
      <c r="B22" s="78">
        <f>D12-C12</f>
        <v>47.870383</v>
      </c>
      <c r="C22" s="78">
        <f>D10-C10</f>
        <v>6.84754</v>
      </c>
      <c r="D22" s="78">
        <f>D9-C9</f>
        <v>3.778806</v>
      </c>
      <c r="E22" s="78">
        <f>D7-C7+D6-C6</f>
        <v>3.987938</v>
      </c>
      <c r="F22" s="78">
        <f t="shared" si="1"/>
        <v>62.484667</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0"/>
    <col customWidth="1" min="3" max="3" width="18.38"/>
  </cols>
  <sheetData>
    <row r="1">
      <c r="A1" s="74" t="s">
        <v>91</v>
      </c>
      <c r="B1" s="75" t="s">
        <v>92</v>
      </c>
      <c r="C1" s="75" t="s">
        <v>127</v>
      </c>
      <c r="D1" s="75" t="s">
        <v>128</v>
      </c>
      <c r="E1" s="25" t="s">
        <v>129</v>
      </c>
      <c r="F1" s="75" t="s">
        <v>130</v>
      </c>
      <c r="G1" s="75" t="s">
        <v>131</v>
      </c>
      <c r="H1" s="75" t="s">
        <v>45</v>
      </c>
      <c r="I1" s="62"/>
      <c r="J1" s="62"/>
      <c r="K1" s="62"/>
      <c r="L1" s="62"/>
      <c r="M1" s="62"/>
      <c r="N1" s="62"/>
      <c r="O1" s="62"/>
      <c r="P1" s="62"/>
      <c r="Q1" s="62"/>
      <c r="R1" s="62"/>
      <c r="S1" s="62"/>
      <c r="T1" s="62"/>
      <c r="U1" s="62"/>
      <c r="V1" s="62"/>
      <c r="W1" s="62"/>
      <c r="X1" s="62"/>
      <c r="Y1" s="62"/>
    </row>
    <row r="2">
      <c r="A2" s="35"/>
      <c r="B2" s="85"/>
      <c r="C2" s="85"/>
      <c r="D2" s="85"/>
      <c r="E2" s="85"/>
      <c r="F2" s="85"/>
      <c r="G2" s="85"/>
      <c r="H2" s="35"/>
    </row>
    <row r="3">
      <c r="A3" s="35" t="s">
        <v>132</v>
      </c>
      <c r="B3" s="85">
        <v>70.0</v>
      </c>
      <c r="C3" s="85">
        <v>0.0</v>
      </c>
      <c r="D3" s="85">
        <v>0.0</v>
      </c>
      <c r="E3" s="85">
        <v>0.0</v>
      </c>
      <c r="F3" s="85">
        <v>0.0</v>
      </c>
      <c r="G3" s="85">
        <v>70.0</v>
      </c>
      <c r="H3" s="35" t="s">
        <v>133</v>
      </c>
    </row>
    <row r="4">
      <c r="A4" s="35" t="s">
        <v>134</v>
      </c>
      <c r="B4" s="85">
        <v>70.0</v>
      </c>
      <c r="C4" s="85">
        <f t="shared" ref="C4:C7" si="1">30*0.2*3</f>
        <v>18</v>
      </c>
      <c r="D4" s="85">
        <v>0.0</v>
      </c>
      <c r="E4" s="85">
        <v>0.0</v>
      </c>
      <c r="F4" s="85">
        <v>0.0</v>
      </c>
      <c r="G4" s="85">
        <v>70.0</v>
      </c>
      <c r="H4" s="35" t="s">
        <v>135</v>
      </c>
    </row>
    <row r="5">
      <c r="A5" s="35" t="s">
        <v>136</v>
      </c>
      <c r="B5" s="85">
        <v>70.0</v>
      </c>
      <c r="C5" s="85">
        <f t="shared" si="1"/>
        <v>18</v>
      </c>
      <c r="D5" s="85">
        <v>45.0</v>
      </c>
      <c r="E5" s="85">
        <v>0.0</v>
      </c>
      <c r="F5" s="85">
        <v>0.0</v>
      </c>
      <c r="G5" s="85">
        <v>70.0</v>
      </c>
      <c r="H5" s="35" t="s">
        <v>137</v>
      </c>
    </row>
    <row r="6">
      <c r="A6" s="35" t="s">
        <v>138</v>
      </c>
      <c r="B6" s="85">
        <v>70.0</v>
      </c>
      <c r="C6" s="85">
        <f t="shared" si="1"/>
        <v>18</v>
      </c>
      <c r="D6" s="85">
        <v>45.0</v>
      </c>
      <c r="E6" s="85">
        <v>0.0</v>
      </c>
      <c r="F6" s="85">
        <v>0.0</v>
      </c>
      <c r="G6" s="85">
        <v>178.0</v>
      </c>
      <c r="H6" s="35" t="s">
        <v>139</v>
      </c>
    </row>
    <row r="7">
      <c r="A7" s="35" t="s">
        <v>140</v>
      </c>
      <c r="B7" s="85">
        <v>70.0</v>
      </c>
      <c r="C7" s="85">
        <f t="shared" si="1"/>
        <v>18</v>
      </c>
      <c r="D7" s="85">
        <v>45.0</v>
      </c>
      <c r="E7" s="85">
        <v>71.0</v>
      </c>
      <c r="F7" s="85">
        <v>16.0</v>
      </c>
      <c r="G7" s="85">
        <v>178.0</v>
      </c>
      <c r="H7" s="35" t="s">
        <v>141</v>
      </c>
    </row>
    <row r="8">
      <c r="A8" s="65"/>
      <c r="B8" s="65"/>
      <c r="C8" s="31"/>
      <c r="D8" s="65"/>
      <c r="E8" s="65"/>
      <c r="F8" s="65"/>
      <c r="G8" s="65"/>
      <c r="H8" s="65"/>
    </row>
    <row r="9">
      <c r="A9" s="97"/>
      <c r="B9" s="97"/>
      <c r="C9" s="97"/>
      <c r="D9" s="97"/>
      <c r="E9" s="97"/>
      <c r="F9" s="97"/>
      <c r="G9" s="97"/>
      <c r="H9" s="65"/>
    </row>
    <row r="10">
      <c r="A10" s="65"/>
      <c r="B10" s="65"/>
      <c r="C10" s="31"/>
      <c r="D10" s="65"/>
      <c r="E10" s="65"/>
      <c r="F10" s="65"/>
      <c r="G10" s="65"/>
      <c r="H10" s="65"/>
    </row>
    <row r="11">
      <c r="A11" s="65"/>
      <c r="B11" s="65"/>
      <c r="C11" s="31"/>
      <c r="D11" s="65"/>
      <c r="E11" s="65"/>
      <c r="F11" s="65"/>
      <c r="G11" s="65"/>
      <c r="H11" s="65"/>
    </row>
    <row r="12">
      <c r="A12" s="65"/>
      <c r="B12" s="65"/>
      <c r="C12" s="31"/>
      <c r="D12" s="65"/>
      <c r="E12" s="65"/>
      <c r="F12" s="65"/>
      <c r="G12" s="65"/>
      <c r="H12" s="65"/>
    </row>
    <row r="13">
      <c r="A13" s="65"/>
      <c r="B13" s="65"/>
      <c r="C13" s="31"/>
      <c r="D13" s="65"/>
      <c r="E13" s="65"/>
      <c r="F13" s="65"/>
      <c r="G13" s="65"/>
      <c r="H13" s="65"/>
    </row>
    <row r="14">
      <c r="A14" s="65"/>
      <c r="B14" s="65"/>
      <c r="C14" s="31"/>
      <c r="D14" s="65"/>
      <c r="E14" s="65"/>
      <c r="F14" s="65"/>
      <c r="G14" s="65"/>
      <c r="H14" s="65"/>
    </row>
    <row r="15">
      <c r="A15" s="65"/>
      <c r="B15" s="65"/>
      <c r="C15" s="31"/>
      <c r="D15" s="65"/>
      <c r="E15" s="65"/>
      <c r="F15" s="65"/>
      <c r="G15" s="65"/>
      <c r="H15" s="65"/>
    </row>
    <row r="16">
      <c r="A16" s="65"/>
      <c r="B16" s="65"/>
      <c r="C16" s="31"/>
      <c r="D16" s="65"/>
      <c r="E16" s="65"/>
      <c r="F16" s="65"/>
      <c r="G16" s="65"/>
      <c r="H16" s="65"/>
    </row>
    <row r="17">
      <c r="A17" s="65"/>
      <c r="B17" s="65"/>
      <c r="C17" s="31"/>
      <c r="D17" s="65"/>
      <c r="E17" s="65"/>
      <c r="F17" s="65"/>
      <c r="G17" s="65"/>
      <c r="H17" s="65"/>
    </row>
    <row r="18">
      <c r="A18" s="65"/>
      <c r="B18" s="65"/>
      <c r="C18" s="31"/>
      <c r="D18" s="65"/>
      <c r="E18" s="65"/>
      <c r="F18" s="65"/>
      <c r="G18" s="65"/>
      <c r="H18" s="65"/>
    </row>
    <row r="19">
      <c r="A19" s="65"/>
      <c r="B19" s="65"/>
      <c r="C19" s="31"/>
      <c r="D19" s="65"/>
      <c r="E19" s="65"/>
      <c r="F19" s="65"/>
      <c r="G19" s="65"/>
      <c r="H19" s="65"/>
    </row>
    <row r="20">
      <c r="A20" s="65"/>
      <c r="B20" s="65"/>
      <c r="C20" s="31"/>
      <c r="D20" s="65"/>
      <c r="E20" s="65"/>
      <c r="F20" s="65"/>
      <c r="G20" s="65"/>
      <c r="H20" s="65"/>
    </row>
    <row r="21">
      <c r="A21" s="65"/>
      <c r="B21" s="65"/>
      <c r="C21" s="31"/>
      <c r="D21" s="65"/>
      <c r="E21" s="65"/>
      <c r="F21" s="65"/>
      <c r="G21" s="65"/>
      <c r="H21" s="65"/>
    </row>
    <row r="22">
      <c r="A22" s="65"/>
      <c r="B22" s="65"/>
      <c r="C22" s="31"/>
      <c r="D22" s="65"/>
      <c r="E22" s="65"/>
      <c r="F22" s="65"/>
      <c r="G22" s="65"/>
      <c r="H22" s="65"/>
    </row>
    <row r="23">
      <c r="A23" s="65"/>
      <c r="B23" s="65"/>
      <c r="C23" s="31"/>
      <c r="D23" s="65"/>
      <c r="E23" s="65"/>
      <c r="F23" s="65"/>
      <c r="G23" s="65"/>
      <c r="H23" s="65"/>
    </row>
    <row r="24">
      <c r="A24" s="65"/>
      <c r="B24" s="65"/>
      <c r="C24" s="31"/>
      <c r="D24" s="65"/>
      <c r="E24" s="65"/>
      <c r="F24" s="65"/>
      <c r="G24" s="65"/>
      <c r="H24" s="65"/>
    </row>
    <row r="25">
      <c r="A25" s="65"/>
      <c r="B25" s="65"/>
      <c r="C25" s="31"/>
      <c r="D25" s="65"/>
      <c r="E25" s="65"/>
      <c r="F25" s="65"/>
      <c r="G25" s="65"/>
      <c r="H25" s="65"/>
    </row>
    <row r="26">
      <c r="A26" s="65"/>
      <c r="B26" s="65"/>
      <c r="C26" s="31"/>
      <c r="D26" s="65"/>
      <c r="E26" s="65"/>
      <c r="F26" s="65"/>
      <c r="G26" s="65"/>
      <c r="H26" s="65"/>
    </row>
    <row r="27">
      <c r="A27" s="65"/>
      <c r="B27" s="65"/>
      <c r="C27" s="31"/>
      <c r="D27" s="65"/>
      <c r="E27" s="65"/>
      <c r="F27" s="65"/>
      <c r="G27" s="65"/>
      <c r="H27" s="65"/>
    </row>
    <row r="28">
      <c r="A28" s="65"/>
      <c r="B28" s="65"/>
      <c r="C28" s="31"/>
      <c r="D28" s="65"/>
      <c r="E28" s="65"/>
      <c r="F28" s="65"/>
      <c r="G28" s="65"/>
      <c r="H28" s="65"/>
    </row>
    <row r="29">
      <c r="A29" s="65"/>
      <c r="B29" s="65"/>
      <c r="C29" s="31"/>
      <c r="D29" s="65"/>
      <c r="E29" s="65"/>
      <c r="F29" s="65"/>
      <c r="G29" s="65"/>
      <c r="H29" s="65"/>
    </row>
    <row r="30">
      <c r="A30" s="65"/>
      <c r="B30" s="65"/>
      <c r="C30" s="31"/>
      <c r="D30" s="65"/>
      <c r="E30" s="65"/>
      <c r="F30" s="65"/>
      <c r="G30" s="65"/>
      <c r="H30" s="65"/>
    </row>
    <row r="31">
      <c r="A31" s="65"/>
      <c r="B31" s="65"/>
      <c r="C31" s="31"/>
      <c r="D31" s="65"/>
      <c r="E31" s="65"/>
      <c r="F31" s="65"/>
      <c r="G31" s="65"/>
      <c r="H31" s="65"/>
    </row>
    <row r="32">
      <c r="A32" s="65"/>
      <c r="B32" s="65"/>
      <c r="C32" s="31"/>
      <c r="D32" s="65"/>
      <c r="E32" s="65"/>
      <c r="F32" s="65"/>
      <c r="G32" s="65"/>
      <c r="H32" s="65"/>
    </row>
    <row r="33">
      <c r="A33" s="65"/>
      <c r="B33" s="65"/>
      <c r="C33" s="31"/>
      <c r="D33" s="65"/>
      <c r="E33" s="65"/>
      <c r="F33" s="65"/>
      <c r="G33" s="65"/>
      <c r="H33" s="65"/>
    </row>
    <row r="34">
      <c r="A34" s="65"/>
      <c r="B34" s="65"/>
      <c r="C34" s="31"/>
      <c r="D34" s="65"/>
      <c r="E34" s="65"/>
      <c r="F34" s="65"/>
      <c r="G34" s="65"/>
      <c r="H34" s="65"/>
    </row>
    <row r="35">
      <c r="A35" s="65"/>
      <c r="B35" s="65"/>
      <c r="C35" s="31"/>
      <c r="D35" s="65"/>
      <c r="E35" s="65"/>
      <c r="F35" s="65"/>
      <c r="G35" s="65"/>
      <c r="H35" s="65"/>
    </row>
    <row r="36">
      <c r="A36" s="65"/>
      <c r="B36" s="65"/>
      <c r="C36" s="31"/>
      <c r="D36" s="65"/>
      <c r="E36" s="65"/>
      <c r="F36" s="65"/>
      <c r="G36" s="65"/>
      <c r="H36" s="65"/>
    </row>
    <row r="37">
      <c r="A37" s="65"/>
      <c r="B37" s="65"/>
      <c r="C37" s="31"/>
      <c r="D37" s="65"/>
      <c r="E37" s="65"/>
      <c r="F37" s="65"/>
      <c r="G37" s="65"/>
      <c r="H37" s="65"/>
    </row>
    <row r="38">
      <c r="A38" s="65"/>
      <c r="B38" s="65"/>
      <c r="C38" s="31"/>
      <c r="D38" s="65"/>
      <c r="E38" s="65"/>
      <c r="F38" s="65"/>
      <c r="G38" s="65"/>
      <c r="H38" s="65"/>
    </row>
    <row r="39">
      <c r="A39" s="65"/>
      <c r="B39" s="65"/>
      <c r="C39" s="31"/>
      <c r="D39" s="65"/>
      <c r="E39" s="65"/>
      <c r="F39" s="65"/>
      <c r="G39" s="65"/>
      <c r="H39" s="65"/>
    </row>
    <row r="40">
      <c r="A40" s="65"/>
      <c r="B40" s="65"/>
      <c r="C40" s="31"/>
      <c r="D40" s="65"/>
      <c r="E40" s="65"/>
      <c r="F40" s="65"/>
      <c r="G40" s="65"/>
      <c r="H40" s="65"/>
    </row>
    <row r="41">
      <c r="A41" s="65"/>
      <c r="B41" s="65"/>
      <c r="C41" s="31"/>
      <c r="D41" s="65"/>
      <c r="E41" s="65"/>
      <c r="F41" s="65"/>
      <c r="G41" s="65"/>
      <c r="H41" s="65"/>
    </row>
    <row r="42">
      <c r="A42" s="65"/>
      <c r="B42" s="65"/>
      <c r="C42" s="31"/>
      <c r="D42" s="65"/>
      <c r="E42" s="65"/>
      <c r="F42" s="65"/>
      <c r="G42" s="65"/>
      <c r="H42" s="65"/>
    </row>
    <row r="43">
      <c r="A43" s="65"/>
      <c r="B43" s="65"/>
      <c r="C43" s="31"/>
      <c r="D43" s="65"/>
      <c r="E43" s="65"/>
      <c r="F43" s="65"/>
      <c r="G43" s="65"/>
      <c r="H43" s="65"/>
    </row>
    <row r="44">
      <c r="A44" s="65"/>
      <c r="B44" s="65"/>
      <c r="C44" s="31"/>
      <c r="D44" s="65"/>
      <c r="E44" s="65"/>
      <c r="F44" s="65"/>
      <c r="G44" s="65"/>
      <c r="H44" s="65"/>
    </row>
    <row r="45">
      <c r="A45" s="65"/>
      <c r="B45" s="65"/>
      <c r="C45" s="31"/>
      <c r="D45" s="65"/>
      <c r="E45" s="65"/>
      <c r="F45" s="65"/>
      <c r="G45" s="65"/>
      <c r="H45" s="65"/>
    </row>
    <row r="46">
      <c r="A46" s="65"/>
      <c r="B46" s="65"/>
      <c r="C46" s="31"/>
      <c r="D46" s="65"/>
      <c r="E46" s="65"/>
      <c r="F46" s="65"/>
      <c r="G46" s="65"/>
      <c r="H46" s="65"/>
    </row>
    <row r="47">
      <c r="A47" s="65"/>
      <c r="B47" s="65"/>
      <c r="C47" s="31"/>
      <c r="D47" s="65"/>
      <c r="E47" s="65"/>
      <c r="F47" s="65"/>
      <c r="G47" s="65"/>
      <c r="H47" s="65"/>
    </row>
    <row r="48">
      <c r="A48" s="65"/>
      <c r="B48" s="65"/>
      <c r="C48" s="31"/>
      <c r="D48" s="65"/>
      <c r="E48" s="65"/>
      <c r="F48" s="65"/>
      <c r="G48" s="65"/>
      <c r="H48" s="65"/>
    </row>
    <row r="49">
      <c r="A49" s="65"/>
      <c r="B49" s="65"/>
      <c r="C49" s="31"/>
      <c r="D49" s="65"/>
      <c r="E49" s="65"/>
      <c r="F49" s="65"/>
      <c r="G49" s="65"/>
      <c r="H49" s="65"/>
    </row>
    <row r="50">
      <c r="A50" s="65"/>
      <c r="B50" s="65"/>
      <c r="C50" s="31"/>
      <c r="D50" s="65"/>
      <c r="E50" s="65"/>
      <c r="F50" s="65"/>
      <c r="G50" s="65"/>
      <c r="H50" s="65"/>
    </row>
    <row r="51">
      <c r="A51" s="65"/>
      <c r="B51" s="65"/>
      <c r="C51" s="31"/>
      <c r="D51" s="65"/>
      <c r="E51" s="65"/>
      <c r="F51" s="65"/>
      <c r="G51" s="65"/>
      <c r="H51" s="65"/>
    </row>
    <row r="52">
      <c r="A52" s="65"/>
      <c r="B52" s="65"/>
      <c r="C52" s="31"/>
      <c r="D52" s="65"/>
      <c r="E52" s="65"/>
      <c r="F52" s="65"/>
      <c r="G52" s="65"/>
      <c r="H52" s="65"/>
    </row>
    <row r="53">
      <c r="A53" s="65"/>
      <c r="B53" s="65"/>
      <c r="C53" s="31"/>
      <c r="D53" s="65"/>
      <c r="E53" s="65"/>
      <c r="F53" s="65"/>
      <c r="G53" s="65"/>
      <c r="H53" s="65"/>
    </row>
    <row r="54">
      <c r="A54" s="65"/>
      <c r="B54" s="65"/>
      <c r="C54" s="31"/>
      <c r="D54" s="65"/>
      <c r="E54" s="65"/>
      <c r="F54" s="65"/>
      <c r="G54" s="65"/>
      <c r="H54" s="65"/>
    </row>
    <row r="55">
      <c r="A55" s="65"/>
      <c r="B55" s="65"/>
      <c r="C55" s="31"/>
      <c r="D55" s="65"/>
      <c r="E55" s="65"/>
      <c r="F55" s="65"/>
      <c r="G55" s="65"/>
      <c r="H55" s="65"/>
    </row>
    <row r="56">
      <c r="A56" s="65"/>
      <c r="B56" s="65"/>
      <c r="C56" s="31"/>
      <c r="D56" s="65"/>
      <c r="E56" s="65"/>
      <c r="F56" s="65"/>
      <c r="G56" s="65"/>
      <c r="H56" s="65"/>
    </row>
    <row r="57">
      <c r="A57" s="65"/>
      <c r="B57" s="65"/>
      <c r="C57" s="31"/>
      <c r="D57" s="65"/>
      <c r="E57" s="65"/>
      <c r="F57" s="65"/>
      <c r="G57" s="65"/>
      <c r="H57" s="65"/>
    </row>
    <row r="58">
      <c r="A58" s="65"/>
      <c r="B58" s="65"/>
      <c r="C58" s="31"/>
      <c r="D58" s="65"/>
      <c r="E58" s="65"/>
      <c r="F58" s="65"/>
      <c r="G58" s="65"/>
      <c r="H58" s="65"/>
    </row>
    <row r="59">
      <c r="A59" s="65"/>
      <c r="B59" s="65"/>
      <c r="C59" s="31"/>
      <c r="D59" s="65"/>
      <c r="E59" s="65"/>
      <c r="F59" s="65"/>
      <c r="G59" s="65"/>
      <c r="H59" s="65"/>
    </row>
    <row r="60">
      <c r="A60" s="65"/>
      <c r="B60" s="65"/>
      <c r="C60" s="31"/>
      <c r="D60" s="65"/>
      <c r="E60" s="65"/>
      <c r="F60" s="65"/>
      <c r="G60" s="65"/>
      <c r="H60" s="65"/>
    </row>
    <row r="61">
      <c r="A61" s="65"/>
      <c r="B61" s="65"/>
      <c r="C61" s="31"/>
      <c r="D61" s="65"/>
      <c r="E61" s="65"/>
      <c r="F61" s="65"/>
      <c r="G61" s="65"/>
      <c r="H61" s="65"/>
    </row>
    <row r="62">
      <c r="A62" s="65"/>
      <c r="B62" s="65"/>
      <c r="C62" s="31"/>
      <c r="D62" s="65"/>
      <c r="E62" s="65"/>
      <c r="F62" s="65"/>
      <c r="G62" s="65"/>
      <c r="H62" s="65"/>
    </row>
    <row r="63">
      <c r="A63" s="65"/>
      <c r="B63" s="65"/>
      <c r="C63" s="31"/>
      <c r="D63" s="65"/>
      <c r="E63" s="65"/>
      <c r="F63" s="65"/>
      <c r="G63" s="65"/>
      <c r="H63" s="65"/>
    </row>
    <row r="64">
      <c r="A64" s="65"/>
      <c r="B64" s="65"/>
      <c r="C64" s="31"/>
      <c r="D64" s="65"/>
      <c r="E64" s="65"/>
      <c r="F64" s="65"/>
      <c r="G64" s="65"/>
      <c r="H64" s="65"/>
    </row>
    <row r="65">
      <c r="A65" s="65"/>
      <c r="B65" s="65"/>
      <c r="C65" s="31"/>
      <c r="D65" s="65"/>
      <c r="E65" s="65"/>
      <c r="F65" s="65"/>
      <c r="G65" s="65"/>
      <c r="H65" s="65"/>
    </row>
    <row r="66">
      <c r="A66" s="65"/>
      <c r="B66" s="65"/>
      <c r="C66" s="31"/>
      <c r="D66" s="65"/>
      <c r="E66" s="65"/>
      <c r="F66" s="65"/>
      <c r="G66" s="65"/>
      <c r="H66" s="65"/>
    </row>
    <row r="67">
      <c r="A67" s="65"/>
      <c r="B67" s="65"/>
      <c r="C67" s="31"/>
      <c r="D67" s="65"/>
      <c r="E67" s="65"/>
      <c r="F67" s="65"/>
      <c r="G67" s="65"/>
      <c r="H67" s="65"/>
    </row>
    <row r="68">
      <c r="A68" s="65"/>
      <c r="B68" s="65"/>
      <c r="C68" s="31"/>
      <c r="D68" s="65"/>
      <c r="E68" s="65"/>
      <c r="F68" s="65"/>
      <c r="G68" s="65"/>
      <c r="H68" s="65"/>
    </row>
    <row r="69">
      <c r="A69" s="65"/>
      <c r="B69" s="65"/>
      <c r="C69" s="31"/>
      <c r="D69" s="65"/>
      <c r="E69" s="65"/>
      <c r="F69" s="65"/>
      <c r="G69" s="65"/>
      <c r="H69" s="65"/>
    </row>
    <row r="70">
      <c r="A70" s="65"/>
      <c r="B70" s="65"/>
      <c r="C70" s="31"/>
      <c r="D70" s="65"/>
      <c r="E70" s="65"/>
      <c r="F70" s="65"/>
      <c r="G70" s="65"/>
      <c r="H70" s="65"/>
    </row>
    <row r="71">
      <c r="A71" s="65"/>
      <c r="B71" s="65"/>
      <c r="C71" s="31"/>
      <c r="D71" s="65"/>
      <c r="E71" s="65"/>
      <c r="F71" s="65"/>
      <c r="G71" s="65"/>
      <c r="H71" s="65"/>
    </row>
    <row r="72">
      <c r="A72" s="65"/>
      <c r="B72" s="65"/>
      <c r="C72" s="31"/>
      <c r="D72" s="65"/>
      <c r="E72" s="65"/>
      <c r="F72" s="65"/>
      <c r="G72" s="65"/>
      <c r="H72" s="65"/>
    </row>
    <row r="73">
      <c r="A73" s="65"/>
      <c r="B73" s="65"/>
      <c r="C73" s="31"/>
      <c r="D73" s="65"/>
      <c r="E73" s="65"/>
      <c r="F73" s="65"/>
      <c r="G73" s="65"/>
      <c r="H73" s="65"/>
    </row>
    <row r="74">
      <c r="A74" s="65"/>
      <c r="B74" s="65"/>
      <c r="C74" s="31"/>
      <c r="D74" s="65"/>
      <c r="E74" s="65"/>
      <c r="F74" s="65"/>
      <c r="G74" s="65"/>
      <c r="H74" s="65"/>
    </row>
    <row r="75">
      <c r="A75" s="65"/>
      <c r="B75" s="65"/>
      <c r="C75" s="31"/>
      <c r="D75" s="65"/>
      <c r="E75" s="65"/>
      <c r="F75" s="65"/>
      <c r="G75" s="65"/>
      <c r="H75" s="65"/>
    </row>
    <row r="76">
      <c r="A76" s="65"/>
      <c r="B76" s="65"/>
      <c r="C76" s="31"/>
      <c r="D76" s="65"/>
      <c r="E76" s="65"/>
      <c r="F76" s="65"/>
      <c r="G76" s="65"/>
      <c r="H76" s="65"/>
    </row>
    <row r="77">
      <c r="A77" s="65"/>
      <c r="B77" s="65"/>
      <c r="C77" s="31"/>
      <c r="D77" s="65"/>
      <c r="E77" s="65"/>
      <c r="F77" s="65"/>
      <c r="G77" s="65"/>
      <c r="H77" s="65"/>
    </row>
    <row r="78">
      <c r="A78" s="65"/>
      <c r="B78" s="65"/>
      <c r="C78" s="31"/>
      <c r="D78" s="65"/>
      <c r="E78" s="65"/>
      <c r="F78" s="65"/>
      <c r="G78" s="65"/>
      <c r="H78" s="65"/>
    </row>
    <row r="79">
      <c r="A79" s="65"/>
      <c r="B79" s="65"/>
      <c r="C79" s="31"/>
      <c r="D79" s="65"/>
      <c r="E79" s="65"/>
      <c r="F79" s="65"/>
      <c r="G79" s="65"/>
      <c r="H79" s="65"/>
    </row>
    <row r="80">
      <c r="A80" s="65"/>
      <c r="B80" s="65"/>
      <c r="C80" s="31"/>
      <c r="D80" s="65"/>
      <c r="E80" s="65"/>
      <c r="F80" s="65"/>
      <c r="G80" s="65"/>
      <c r="H80" s="65"/>
    </row>
    <row r="81">
      <c r="A81" s="65"/>
      <c r="B81" s="65"/>
      <c r="C81" s="31"/>
      <c r="D81" s="65"/>
      <c r="E81" s="65"/>
      <c r="F81" s="65"/>
      <c r="G81" s="65"/>
      <c r="H81" s="65"/>
    </row>
    <row r="82">
      <c r="A82" s="65"/>
      <c r="B82" s="65"/>
      <c r="C82" s="31"/>
      <c r="D82" s="65"/>
      <c r="E82" s="65"/>
      <c r="F82" s="65"/>
      <c r="G82" s="65"/>
      <c r="H82" s="65"/>
    </row>
    <row r="83">
      <c r="A83" s="65"/>
      <c r="B83" s="65"/>
      <c r="C83" s="31"/>
      <c r="D83" s="65"/>
      <c r="E83" s="65"/>
      <c r="F83" s="65"/>
      <c r="G83" s="65"/>
      <c r="H83" s="65"/>
    </row>
    <row r="84">
      <c r="A84" s="65"/>
      <c r="B84" s="65"/>
      <c r="C84" s="31"/>
      <c r="D84" s="65"/>
      <c r="E84" s="65"/>
      <c r="F84" s="65"/>
      <c r="G84" s="65"/>
      <c r="H84" s="65"/>
    </row>
    <row r="85">
      <c r="A85" s="65"/>
      <c r="B85" s="65"/>
      <c r="C85" s="31"/>
      <c r="D85" s="65"/>
      <c r="E85" s="65"/>
      <c r="F85" s="65"/>
      <c r="G85" s="65"/>
      <c r="H85" s="65"/>
    </row>
    <row r="86">
      <c r="A86" s="65"/>
      <c r="B86" s="65"/>
      <c r="C86" s="31"/>
      <c r="D86" s="65"/>
      <c r="E86" s="65"/>
      <c r="F86" s="65"/>
      <c r="G86" s="65"/>
      <c r="H86" s="65"/>
    </row>
    <row r="87">
      <c r="A87" s="65"/>
      <c r="B87" s="65"/>
      <c r="C87" s="31"/>
      <c r="D87" s="65"/>
      <c r="E87" s="65"/>
      <c r="F87" s="65"/>
      <c r="G87" s="65"/>
      <c r="H87" s="65"/>
    </row>
    <row r="88">
      <c r="A88" s="65"/>
      <c r="B88" s="65"/>
      <c r="C88" s="31"/>
      <c r="D88" s="65"/>
      <c r="E88" s="65"/>
      <c r="F88" s="65"/>
      <c r="G88" s="65"/>
      <c r="H88" s="65"/>
    </row>
    <row r="89">
      <c r="A89" s="65"/>
      <c r="B89" s="65"/>
      <c r="C89" s="31"/>
      <c r="D89" s="65"/>
      <c r="E89" s="65"/>
      <c r="F89" s="65"/>
      <c r="G89" s="65"/>
      <c r="H89" s="65"/>
    </row>
    <row r="90">
      <c r="A90" s="65"/>
      <c r="B90" s="65"/>
      <c r="C90" s="31"/>
      <c r="D90" s="65"/>
      <c r="E90" s="65"/>
      <c r="F90" s="65"/>
      <c r="G90" s="65"/>
      <c r="H90" s="65"/>
    </row>
    <row r="91">
      <c r="A91" s="65"/>
      <c r="B91" s="65"/>
      <c r="C91" s="31"/>
      <c r="D91" s="65"/>
      <c r="E91" s="65"/>
      <c r="F91" s="65"/>
      <c r="G91" s="65"/>
      <c r="H91" s="65"/>
    </row>
    <row r="92">
      <c r="A92" s="65"/>
      <c r="B92" s="65"/>
      <c r="C92" s="31"/>
      <c r="D92" s="65"/>
      <c r="E92" s="65"/>
      <c r="F92" s="65"/>
      <c r="G92" s="65"/>
      <c r="H92" s="65"/>
    </row>
    <row r="93">
      <c r="A93" s="65"/>
      <c r="B93" s="65"/>
      <c r="C93" s="31"/>
      <c r="D93" s="65"/>
      <c r="E93" s="65"/>
      <c r="F93" s="65"/>
      <c r="G93" s="65"/>
      <c r="H93" s="65"/>
    </row>
    <row r="94">
      <c r="A94" s="65"/>
      <c r="B94" s="65"/>
      <c r="C94" s="31"/>
      <c r="D94" s="65"/>
      <c r="E94" s="65"/>
      <c r="F94" s="65"/>
      <c r="G94" s="65"/>
      <c r="H94" s="65"/>
    </row>
    <row r="95">
      <c r="A95" s="65"/>
      <c r="B95" s="65"/>
      <c r="C95" s="31"/>
      <c r="D95" s="65"/>
      <c r="E95" s="65"/>
      <c r="F95" s="65"/>
      <c r="G95" s="65"/>
      <c r="H95" s="65"/>
    </row>
    <row r="96">
      <c r="A96" s="65"/>
      <c r="B96" s="65"/>
      <c r="C96" s="31"/>
      <c r="D96" s="65"/>
      <c r="E96" s="65"/>
      <c r="F96" s="65"/>
      <c r="G96" s="65"/>
      <c r="H96" s="65"/>
    </row>
    <row r="97">
      <c r="A97" s="65"/>
      <c r="B97" s="65"/>
      <c r="C97" s="31"/>
      <c r="D97" s="65"/>
      <c r="E97" s="65"/>
      <c r="F97" s="65"/>
      <c r="G97" s="65"/>
      <c r="H97" s="65"/>
    </row>
    <row r="98">
      <c r="A98" s="65"/>
      <c r="B98" s="65"/>
      <c r="C98" s="31"/>
      <c r="D98" s="65"/>
      <c r="E98" s="65"/>
      <c r="F98" s="65"/>
      <c r="G98" s="65"/>
      <c r="H98" s="65"/>
    </row>
    <row r="99">
      <c r="A99" s="65"/>
      <c r="B99" s="65"/>
      <c r="C99" s="31"/>
      <c r="D99" s="65"/>
      <c r="E99" s="65"/>
      <c r="F99" s="65"/>
      <c r="G99" s="65"/>
      <c r="H99" s="65"/>
    </row>
    <row r="100">
      <c r="A100" s="65"/>
      <c r="B100" s="65"/>
      <c r="C100" s="31"/>
      <c r="D100" s="65"/>
      <c r="E100" s="65"/>
      <c r="F100" s="65"/>
      <c r="G100" s="65"/>
      <c r="H100" s="65"/>
    </row>
    <row r="101">
      <c r="A101" s="65"/>
      <c r="B101" s="65"/>
      <c r="C101" s="31"/>
      <c r="D101" s="65"/>
      <c r="E101" s="65"/>
      <c r="F101" s="65"/>
      <c r="G101" s="65"/>
      <c r="H101" s="65"/>
    </row>
    <row r="102">
      <c r="A102" s="65"/>
      <c r="B102" s="65"/>
      <c r="C102" s="31"/>
      <c r="D102" s="65"/>
      <c r="E102" s="65"/>
      <c r="F102" s="65"/>
      <c r="G102" s="65"/>
      <c r="H102" s="65"/>
    </row>
    <row r="103">
      <c r="A103" s="65"/>
      <c r="B103" s="65"/>
      <c r="C103" s="31"/>
      <c r="D103" s="65"/>
      <c r="E103" s="65"/>
      <c r="F103" s="65"/>
      <c r="G103" s="65"/>
      <c r="H103" s="65"/>
    </row>
    <row r="104">
      <c r="A104" s="65"/>
      <c r="B104" s="65"/>
      <c r="C104" s="31"/>
      <c r="D104" s="65"/>
      <c r="E104" s="65"/>
      <c r="F104" s="65"/>
      <c r="G104" s="65"/>
      <c r="H104" s="65"/>
    </row>
    <row r="105">
      <c r="A105" s="65"/>
      <c r="B105" s="65"/>
      <c r="C105" s="31"/>
      <c r="D105" s="65"/>
      <c r="E105" s="65"/>
      <c r="F105" s="65"/>
      <c r="G105" s="65"/>
      <c r="H105" s="65"/>
    </row>
    <row r="106">
      <c r="A106" s="65"/>
      <c r="B106" s="65"/>
      <c r="C106" s="31"/>
      <c r="D106" s="65"/>
      <c r="E106" s="65"/>
      <c r="F106" s="65"/>
      <c r="G106" s="65"/>
      <c r="H106" s="65"/>
    </row>
    <row r="107">
      <c r="A107" s="65"/>
      <c r="B107" s="65"/>
      <c r="C107" s="31"/>
      <c r="D107" s="65"/>
      <c r="E107" s="65"/>
      <c r="F107" s="65"/>
      <c r="G107" s="65"/>
      <c r="H107" s="65"/>
    </row>
    <row r="108">
      <c r="A108" s="65"/>
      <c r="B108" s="65"/>
      <c r="C108" s="31"/>
      <c r="D108" s="65"/>
      <c r="E108" s="65"/>
      <c r="F108" s="65"/>
      <c r="G108" s="65"/>
      <c r="H108" s="65"/>
    </row>
    <row r="109">
      <c r="A109" s="65"/>
      <c r="B109" s="65"/>
      <c r="C109" s="31"/>
      <c r="D109" s="65"/>
      <c r="E109" s="65"/>
      <c r="F109" s="65"/>
      <c r="G109" s="65"/>
      <c r="H109" s="65"/>
    </row>
    <row r="110">
      <c r="A110" s="65"/>
      <c r="B110" s="65"/>
      <c r="C110" s="31"/>
      <c r="D110" s="65"/>
      <c r="E110" s="65"/>
      <c r="F110" s="65"/>
      <c r="G110" s="65"/>
      <c r="H110" s="65"/>
    </row>
    <row r="111">
      <c r="A111" s="65"/>
      <c r="B111" s="65"/>
      <c r="C111" s="31"/>
      <c r="D111" s="65"/>
      <c r="E111" s="65"/>
      <c r="F111" s="65"/>
      <c r="G111" s="65"/>
      <c r="H111" s="65"/>
    </row>
    <row r="112">
      <c r="A112" s="65"/>
      <c r="B112" s="65"/>
      <c r="C112" s="31"/>
      <c r="D112" s="65"/>
      <c r="E112" s="65"/>
      <c r="F112" s="65"/>
      <c r="G112" s="65"/>
      <c r="H112" s="65"/>
    </row>
    <row r="113">
      <c r="A113" s="65"/>
      <c r="B113" s="65"/>
      <c r="C113" s="31"/>
      <c r="D113" s="65"/>
      <c r="E113" s="65"/>
      <c r="F113" s="65"/>
      <c r="G113" s="65"/>
      <c r="H113" s="65"/>
    </row>
    <row r="114">
      <c r="A114" s="65"/>
      <c r="B114" s="65"/>
      <c r="C114" s="31"/>
      <c r="D114" s="65"/>
      <c r="E114" s="65"/>
      <c r="F114" s="65"/>
      <c r="G114" s="65"/>
      <c r="H114" s="65"/>
    </row>
    <row r="115">
      <c r="A115" s="65"/>
      <c r="B115" s="65"/>
      <c r="C115" s="31"/>
      <c r="D115" s="65"/>
      <c r="E115" s="65"/>
      <c r="F115" s="65"/>
      <c r="G115" s="65"/>
      <c r="H115" s="65"/>
    </row>
    <row r="116">
      <c r="A116" s="65"/>
      <c r="B116" s="65"/>
      <c r="C116" s="31"/>
      <c r="D116" s="65"/>
      <c r="E116" s="65"/>
      <c r="F116" s="65"/>
      <c r="G116" s="65"/>
      <c r="H116" s="65"/>
    </row>
    <row r="117">
      <c r="A117" s="65"/>
      <c r="B117" s="65"/>
      <c r="C117" s="31"/>
      <c r="D117" s="65"/>
      <c r="E117" s="65"/>
      <c r="F117" s="65"/>
      <c r="G117" s="65"/>
      <c r="H117" s="65"/>
    </row>
    <row r="118">
      <c r="A118" s="65"/>
      <c r="B118" s="65"/>
      <c r="C118" s="31"/>
      <c r="D118" s="65"/>
      <c r="E118" s="65"/>
      <c r="F118" s="65"/>
      <c r="G118" s="65"/>
      <c r="H118" s="65"/>
    </row>
    <row r="119">
      <c r="A119" s="65"/>
      <c r="B119" s="65"/>
      <c r="C119" s="31"/>
      <c r="D119" s="65"/>
      <c r="E119" s="65"/>
      <c r="F119" s="65"/>
      <c r="G119" s="65"/>
      <c r="H119" s="65"/>
    </row>
    <row r="120">
      <c r="A120" s="65"/>
      <c r="B120" s="65"/>
      <c r="C120" s="31"/>
      <c r="D120" s="65"/>
      <c r="E120" s="65"/>
      <c r="F120" s="65"/>
      <c r="G120" s="65"/>
      <c r="H120" s="65"/>
    </row>
    <row r="121">
      <c r="A121" s="65"/>
      <c r="B121" s="65"/>
      <c r="C121" s="31"/>
      <c r="D121" s="65"/>
      <c r="E121" s="65"/>
      <c r="F121" s="65"/>
      <c r="G121" s="65"/>
      <c r="H121" s="65"/>
    </row>
    <row r="122">
      <c r="A122" s="65"/>
      <c r="B122" s="65"/>
      <c r="C122" s="31"/>
      <c r="D122" s="65"/>
      <c r="E122" s="65"/>
      <c r="F122" s="65"/>
      <c r="G122" s="65"/>
      <c r="H122" s="65"/>
    </row>
    <row r="123">
      <c r="A123" s="65"/>
      <c r="B123" s="65"/>
      <c r="C123" s="31"/>
      <c r="D123" s="65"/>
      <c r="E123" s="65"/>
      <c r="F123" s="65"/>
      <c r="G123" s="65"/>
      <c r="H123" s="65"/>
    </row>
    <row r="124">
      <c r="A124" s="65"/>
      <c r="B124" s="65"/>
      <c r="C124" s="31"/>
      <c r="D124" s="65"/>
      <c r="E124" s="65"/>
      <c r="F124" s="65"/>
      <c r="G124" s="65"/>
      <c r="H124" s="65"/>
    </row>
    <row r="125">
      <c r="A125" s="65"/>
      <c r="B125" s="65"/>
      <c r="C125" s="31"/>
      <c r="D125" s="65"/>
      <c r="E125" s="65"/>
      <c r="F125" s="65"/>
      <c r="G125" s="65"/>
      <c r="H125" s="65"/>
    </row>
    <row r="126">
      <c r="A126" s="65"/>
      <c r="B126" s="65"/>
      <c r="C126" s="31"/>
      <c r="D126" s="65"/>
      <c r="E126" s="65"/>
      <c r="F126" s="65"/>
      <c r="G126" s="65"/>
      <c r="H126" s="65"/>
    </row>
    <row r="127">
      <c r="A127" s="65"/>
      <c r="B127" s="65"/>
      <c r="C127" s="31"/>
      <c r="D127" s="65"/>
      <c r="E127" s="65"/>
      <c r="F127" s="65"/>
      <c r="G127" s="65"/>
      <c r="H127" s="65"/>
    </row>
    <row r="128">
      <c r="A128" s="65"/>
      <c r="B128" s="65"/>
      <c r="C128" s="31"/>
      <c r="D128" s="65"/>
      <c r="E128" s="65"/>
      <c r="F128" s="65"/>
      <c r="G128" s="65"/>
      <c r="H128" s="65"/>
    </row>
    <row r="129">
      <c r="A129" s="65"/>
      <c r="B129" s="65"/>
      <c r="C129" s="31"/>
      <c r="D129" s="65"/>
      <c r="E129" s="65"/>
      <c r="F129" s="65"/>
      <c r="G129" s="65"/>
      <c r="H129" s="65"/>
    </row>
    <row r="130">
      <c r="A130" s="65"/>
      <c r="B130" s="65"/>
      <c r="C130" s="31"/>
      <c r="D130" s="65"/>
      <c r="E130" s="65"/>
      <c r="F130" s="65"/>
      <c r="G130" s="65"/>
      <c r="H130" s="65"/>
    </row>
    <row r="131">
      <c r="A131" s="65"/>
      <c r="B131" s="65"/>
      <c r="C131" s="31"/>
      <c r="D131" s="65"/>
      <c r="E131" s="65"/>
      <c r="F131" s="65"/>
      <c r="G131" s="65"/>
      <c r="H131" s="65"/>
    </row>
    <row r="132">
      <c r="A132" s="65"/>
      <c r="B132" s="65"/>
      <c r="C132" s="31"/>
      <c r="D132" s="65"/>
      <c r="E132" s="65"/>
      <c r="F132" s="65"/>
      <c r="G132" s="65"/>
      <c r="H132" s="65"/>
    </row>
    <row r="133">
      <c r="A133" s="65"/>
      <c r="B133" s="65"/>
      <c r="C133" s="31"/>
      <c r="D133" s="65"/>
      <c r="E133" s="65"/>
      <c r="F133" s="65"/>
      <c r="G133" s="65"/>
      <c r="H133" s="65"/>
    </row>
    <row r="134">
      <c r="A134" s="65"/>
      <c r="B134" s="65"/>
      <c r="C134" s="31"/>
      <c r="D134" s="65"/>
      <c r="E134" s="65"/>
      <c r="F134" s="65"/>
      <c r="G134" s="65"/>
      <c r="H134" s="65"/>
    </row>
    <row r="135">
      <c r="A135" s="65"/>
      <c r="B135" s="65"/>
      <c r="C135" s="31"/>
      <c r="D135" s="65"/>
      <c r="E135" s="65"/>
      <c r="F135" s="65"/>
      <c r="G135" s="65"/>
      <c r="H135" s="65"/>
    </row>
    <row r="136">
      <c r="A136" s="65"/>
      <c r="B136" s="65"/>
      <c r="C136" s="31"/>
      <c r="D136" s="65"/>
      <c r="E136" s="65"/>
      <c r="F136" s="65"/>
      <c r="G136" s="65"/>
      <c r="H136" s="65"/>
    </row>
    <row r="137">
      <c r="A137" s="65"/>
      <c r="B137" s="65"/>
      <c r="C137" s="31"/>
      <c r="D137" s="65"/>
      <c r="E137" s="65"/>
      <c r="F137" s="65"/>
      <c r="G137" s="65"/>
      <c r="H137" s="65"/>
    </row>
    <row r="138">
      <c r="A138" s="65"/>
      <c r="B138" s="65"/>
      <c r="C138" s="31"/>
      <c r="D138" s="65"/>
      <c r="E138" s="65"/>
      <c r="F138" s="65"/>
      <c r="G138" s="65"/>
      <c r="H138" s="65"/>
    </row>
    <row r="139">
      <c r="A139" s="65"/>
      <c r="B139" s="65"/>
      <c r="C139" s="31"/>
      <c r="D139" s="65"/>
      <c r="E139" s="65"/>
      <c r="F139" s="65"/>
      <c r="G139" s="65"/>
      <c r="H139" s="65"/>
    </row>
    <row r="140">
      <c r="A140" s="65"/>
      <c r="B140" s="65"/>
      <c r="C140" s="31"/>
      <c r="D140" s="65"/>
      <c r="E140" s="65"/>
      <c r="F140" s="65"/>
      <c r="G140" s="65"/>
      <c r="H140" s="65"/>
    </row>
    <row r="141">
      <c r="A141" s="65"/>
      <c r="B141" s="65"/>
      <c r="C141" s="31"/>
      <c r="D141" s="65"/>
      <c r="E141" s="65"/>
      <c r="F141" s="65"/>
      <c r="G141" s="65"/>
      <c r="H141" s="65"/>
    </row>
    <row r="142">
      <c r="A142" s="65"/>
      <c r="B142" s="65"/>
      <c r="C142" s="31"/>
      <c r="D142" s="65"/>
      <c r="E142" s="65"/>
      <c r="F142" s="65"/>
      <c r="G142" s="65"/>
      <c r="H142" s="65"/>
    </row>
    <row r="143">
      <c r="A143" s="65"/>
      <c r="B143" s="65"/>
      <c r="C143" s="31"/>
      <c r="D143" s="65"/>
      <c r="E143" s="65"/>
      <c r="F143" s="65"/>
      <c r="G143" s="65"/>
      <c r="H143" s="65"/>
    </row>
    <row r="144">
      <c r="A144" s="65"/>
      <c r="B144" s="65"/>
      <c r="C144" s="31"/>
      <c r="D144" s="65"/>
      <c r="E144" s="65"/>
      <c r="F144" s="65"/>
      <c r="G144" s="65"/>
      <c r="H144" s="65"/>
    </row>
    <row r="145">
      <c r="A145" s="65"/>
      <c r="B145" s="65"/>
      <c r="C145" s="31"/>
      <c r="D145" s="65"/>
      <c r="E145" s="65"/>
      <c r="F145" s="65"/>
      <c r="G145" s="65"/>
      <c r="H145" s="65"/>
    </row>
    <row r="146">
      <c r="A146" s="65"/>
      <c r="B146" s="65"/>
      <c r="C146" s="31"/>
      <c r="D146" s="65"/>
      <c r="E146" s="65"/>
      <c r="F146" s="65"/>
      <c r="G146" s="65"/>
      <c r="H146" s="65"/>
    </row>
    <row r="147">
      <c r="A147" s="65"/>
      <c r="B147" s="65"/>
      <c r="C147" s="31"/>
      <c r="D147" s="65"/>
      <c r="E147" s="65"/>
      <c r="F147" s="65"/>
      <c r="G147" s="65"/>
      <c r="H147" s="65"/>
    </row>
    <row r="148">
      <c r="A148" s="65"/>
      <c r="B148" s="65"/>
      <c r="C148" s="31"/>
      <c r="D148" s="65"/>
      <c r="E148" s="65"/>
      <c r="F148" s="65"/>
      <c r="G148" s="65"/>
      <c r="H148" s="65"/>
    </row>
    <row r="149">
      <c r="A149" s="65"/>
      <c r="B149" s="65"/>
      <c r="C149" s="31"/>
      <c r="D149" s="65"/>
      <c r="E149" s="65"/>
      <c r="F149" s="65"/>
      <c r="G149" s="65"/>
      <c r="H149" s="65"/>
    </row>
    <row r="150">
      <c r="A150" s="65"/>
      <c r="B150" s="65"/>
      <c r="C150" s="31"/>
      <c r="D150" s="65"/>
      <c r="E150" s="65"/>
      <c r="F150" s="65"/>
      <c r="G150" s="65"/>
      <c r="H150" s="65"/>
    </row>
    <row r="151">
      <c r="A151" s="65"/>
      <c r="B151" s="65"/>
      <c r="C151" s="31"/>
      <c r="D151" s="65"/>
      <c r="E151" s="65"/>
      <c r="F151" s="65"/>
      <c r="G151" s="65"/>
      <c r="H151" s="65"/>
    </row>
    <row r="152">
      <c r="A152" s="65"/>
      <c r="B152" s="65"/>
      <c r="C152" s="31"/>
      <c r="D152" s="65"/>
      <c r="E152" s="65"/>
      <c r="F152" s="65"/>
      <c r="G152" s="65"/>
      <c r="H152" s="65"/>
    </row>
    <row r="153">
      <c r="A153" s="65"/>
      <c r="B153" s="65"/>
      <c r="C153" s="31"/>
      <c r="D153" s="65"/>
      <c r="E153" s="65"/>
      <c r="F153" s="65"/>
      <c r="G153" s="65"/>
      <c r="H153" s="65"/>
    </row>
    <row r="154">
      <c r="A154" s="65"/>
      <c r="B154" s="65"/>
      <c r="C154" s="31"/>
      <c r="D154" s="65"/>
      <c r="E154" s="65"/>
      <c r="F154" s="65"/>
      <c r="G154" s="65"/>
      <c r="H154" s="65"/>
    </row>
    <row r="155">
      <c r="A155" s="65"/>
      <c r="B155" s="65"/>
      <c r="C155" s="31"/>
      <c r="D155" s="65"/>
      <c r="E155" s="65"/>
      <c r="F155" s="65"/>
      <c r="G155" s="65"/>
      <c r="H155" s="65"/>
    </row>
    <row r="156">
      <c r="A156" s="65"/>
      <c r="B156" s="65"/>
      <c r="C156" s="31"/>
      <c r="D156" s="65"/>
      <c r="E156" s="65"/>
      <c r="F156" s="65"/>
      <c r="G156" s="65"/>
      <c r="H156" s="65"/>
    </row>
    <row r="157">
      <c r="A157" s="65"/>
      <c r="B157" s="65"/>
      <c r="C157" s="31"/>
      <c r="D157" s="65"/>
      <c r="E157" s="65"/>
      <c r="F157" s="65"/>
      <c r="G157" s="65"/>
      <c r="H157" s="65"/>
    </row>
    <row r="158">
      <c r="A158" s="65"/>
      <c r="B158" s="65"/>
      <c r="C158" s="31"/>
      <c r="D158" s="65"/>
      <c r="E158" s="65"/>
      <c r="F158" s="65"/>
      <c r="G158" s="65"/>
      <c r="H158" s="65"/>
    </row>
    <row r="159">
      <c r="A159" s="65"/>
      <c r="B159" s="65"/>
      <c r="C159" s="31"/>
      <c r="D159" s="65"/>
      <c r="E159" s="65"/>
      <c r="F159" s="65"/>
      <c r="G159" s="65"/>
      <c r="H159" s="65"/>
    </row>
    <row r="160">
      <c r="A160" s="65"/>
      <c r="B160" s="65"/>
      <c r="C160" s="31"/>
      <c r="D160" s="65"/>
      <c r="E160" s="65"/>
      <c r="F160" s="65"/>
      <c r="G160" s="65"/>
      <c r="H160" s="65"/>
    </row>
    <row r="161">
      <c r="A161" s="65"/>
      <c r="B161" s="65"/>
      <c r="C161" s="31"/>
      <c r="D161" s="65"/>
      <c r="E161" s="65"/>
      <c r="F161" s="65"/>
      <c r="G161" s="65"/>
      <c r="H161" s="65"/>
    </row>
    <row r="162">
      <c r="A162" s="65"/>
      <c r="B162" s="65"/>
      <c r="C162" s="31"/>
      <c r="D162" s="65"/>
      <c r="E162" s="65"/>
      <c r="F162" s="65"/>
      <c r="G162" s="65"/>
      <c r="H162" s="65"/>
    </row>
    <row r="163">
      <c r="A163" s="65"/>
      <c r="B163" s="65"/>
      <c r="C163" s="31"/>
      <c r="D163" s="65"/>
      <c r="E163" s="65"/>
      <c r="F163" s="65"/>
      <c r="G163" s="65"/>
      <c r="H163" s="65"/>
    </row>
    <row r="164">
      <c r="A164" s="65"/>
      <c r="B164" s="65"/>
      <c r="C164" s="31"/>
      <c r="D164" s="65"/>
      <c r="E164" s="65"/>
      <c r="F164" s="65"/>
      <c r="G164" s="65"/>
      <c r="H164" s="65"/>
    </row>
    <row r="165">
      <c r="A165" s="65"/>
      <c r="B165" s="65"/>
      <c r="C165" s="31"/>
      <c r="D165" s="65"/>
      <c r="E165" s="65"/>
      <c r="F165" s="65"/>
      <c r="G165" s="65"/>
      <c r="H165" s="65"/>
    </row>
    <row r="166">
      <c r="A166" s="65"/>
      <c r="B166" s="65"/>
      <c r="C166" s="31"/>
      <c r="D166" s="65"/>
      <c r="E166" s="65"/>
      <c r="F166" s="65"/>
      <c r="G166" s="65"/>
      <c r="H166" s="65"/>
    </row>
    <row r="167">
      <c r="A167" s="65"/>
      <c r="B167" s="65"/>
      <c r="C167" s="31"/>
      <c r="D167" s="65"/>
      <c r="E167" s="65"/>
      <c r="F167" s="65"/>
      <c r="G167" s="65"/>
      <c r="H167" s="65"/>
    </row>
    <row r="168">
      <c r="A168" s="65"/>
      <c r="B168" s="65"/>
      <c r="C168" s="31"/>
      <c r="D168" s="65"/>
      <c r="E168" s="65"/>
      <c r="F168" s="65"/>
      <c r="G168" s="65"/>
      <c r="H168" s="65"/>
    </row>
    <row r="169">
      <c r="A169" s="65"/>
      <c r="B169" s="65"/>
      <c r="C169" s="31"/>
      <c r="D169" s="65"/>
      <c r="E169" s="65"/>
      <c r="F169" s="65"/>
      <c r="G169" s="65"/>
      <c r="H169" s="65"/>
    </row>
    <row r="170">
      <c r="A170" s="65"/>
      <c r="B170" s="65"/>
      <c r="C170" s="31"/>
      <c r="D170" s="65"/>
      <c r="E170" s="65"/>
      <c r="F170" s="65"/>
      <c r="G170" s="65"/>
      <c r="H170" s="65"/>
    </row>
    <row r="171">
      <c r="A171" s="65"/>
      <c r="B171" s="65"/>
      <c r="C171" s="31"/>
      <c r="D171" s="65"/>
      <c r="E171" s="65"/>
      <c r="F171" s="65"/>
      <c r="G171" s="65"/>
      <c r="H171" s="65"/>
    </row>
    <row r="172">
      <c r="A172" s="65"/>
      <c r="B172" s="65"/>
      <c r="C172" s="31"/>
      <c r="D172" s="65"/>
      <c r="E172" s="65"/>
      <c r="F172" s="65"/>
      <c r="G172" s="65"/>
      <c r="H172" s="65"/>
    </row>
    <row r="173">
      <c r="A173" s="65"/>
      <c r="B173" s="65"/>
      <c r="C173" s="31"/>
      <c r="D173" s="65"/>
      <c r="E173" s="65"/>
      <c r="F173" s="65"/>
      <c r="G173" s="65"/>
      <c r="H173" s="65"/>
    </row>
    <row r="174">
      <c r="A174" s="65"/>
      <c r="B174" s="65"/>
      <c r="C174" s="31"/>
      <c r="D174" s="65"/>
      <c r="E174" s="65"/>
      <c r="F174" s="65"/>
      <c r="G174" s="65"/>
      <c r="H174" s="65"/>
    </row>
    <row r="175">
      <c r="A175" s="65"/>
      <c r="B175" s="65"/>
      <c r="C175" s="31"/>
      <c r="D175" s="65"/>
      <c r="E175" s="65"/>
      <c r="F175" s="65"/>
      <c r="G175" s="65"/>
      <c r="H175" s="65"/>
    </row>
    <row r="176">
      <c r="A176" s="65"/>
      <c r="B176" s="65"/>
      <c r="C176" s="31"/>
      <c r="D176" s="65"/>
      <c r="E176" s="65"/>
      <c r="F176" s="65"/>
      <c r="G176" s="65"/>
      <c r="H176" s="65"/>
    </row>
    <row r="177">
      <c r="A177" s="65"/>
      <c r="B177" s="65"/>
      <c r="C177" s="31"/>
      <c r="D177" s="65"/>
      <c r="E177" s="65"/>
      <c r="F177" s="65"/>
      <c r="G177" s="65"/>
      <c r="H177" s="65"/>
    </row>
    <row r="178">
      <c r="A178" s="65"/>
      <c r="B178" s="65"/>
      <c r="C178" s="31"/>
      <c r="D178" s="65"/>
      <c r="E178" s="65"/>
      <c r="F178" s="65"/>
      <c r="G178" s="65"/>
      <c r="H178" s="65"/>
    </row>
    <row r="179">
      <c r="A179" s="65"/>
      <c r="B179" s="65"/>
      <c r="C179" s="31"/>
      <c r="D179" s="65"/>
      <c r="E179" s="65"/>
      <c r="F179" s="65"/>
      <c r="G179" s="65"/>
      <c r="H179" s="65"/>
    </row>
    <row r="180">
      <c r="A180" s="65"/>
      <c r="B180" s="65"/>
      <c r="C180" s="31"/>
      <c r="D180" s="65"/>
      <c r="E180" s="65"/>
      <c r="F180" s="65"/>
      <c r="G180" s="65"/>
      <c r="H180" s="65"/>
    </row>
    <row r="181">
      <c r="A181" s="65"/>
      <c r="B181" s="65"/>
      <c r="C181" s="31"/>
      <c r="D181" s="65"/>
      <c r="E181" s="65"/>
      <c r="F181" s="65"/>
      <c r="G181" s="65"/>
      <c r="H181" s="65"/>
    </row>
    <row r="182">
      <c r="A182" s="65"/>
      <c r="B182" s="65"/>
      <c r="C182" s="31"/>
      <c r="D182" s="65"/>
      <c r="E182" s="65"/>
      <c r="F182" s="65"/>
      <c r="G182" s="65"/>
      <c r="H182" s="65"/>
    </row>
    <row r="183">
      <c r="A183" s="65"/>
      <c r="B183" s="65"/>
      <c r="C183" s="31"/>
      <c r="D183" s="65"/>
      <c r="E183" s="65"/>
      <c r="F183" s="65"/>
      <c r="G183" s="65"/>
      <c r="H183" s="65"/>
    </row>
    <row r="184">
      <c r="A184" s="65"/>
      <c r="B184" s="65"/>
      <c r="C184" s="31"/>
      <c r="D184" s="65"/>
      <c r="E184" s="65"/>
      <c r="F184" s="65"/>
      <c r="G184" s="65"/>
      <c r="H184" s="65"/>
    </row>
    <row r="185">
      <c r="A185" s="65"/>
      <c r="B185" s="65"/>
      <c r="C185" s="31"/>
      <c r="D185" s="65"/>
      <c r="E185" s="65"/>
      <c r="F185" s="65"/>
      <c r="G185" s="65"/>
      <c r="H185" s="65"/>
    </row>
    <row r="186">
      <c r="A186" s="65"/>
      <c r="B186" s="65"/>
      <c r="C186" s="31"/>
      <c r="D186" s="65"/>
      <c r="E186" s="65"/>
      <c r="F186" s="65"/>
      <c r="G186" s="65"/>
      <c r="H186" s="65"/>
    </row>
    <row r="187">
      <c r="A187" s="65"/>
      <c r="B187" s="65"/>
      <c r="C187" s="31"/>
      <c r="D187" s="65"/>
      <c r="E187" s="65"/>
      <c r="F187" s="65"/>
      <c r="G187" s="65"/>
      <c r="H187" s="65"/>
    </row>
    <row r="188">
      <c r="A188" s="65"/>
      <c r="B188" s="65"/>
      <c r="C188" s="31"/>
      <c r="D188" s="65"/>
      <c r="E188" s="65"/>
      <c r="F188" s="65"/>
      <c r="G188" s="65"/>
      <c r="H188" s="65"/>
    </row>
    <row r="189">
      <c r="A189" s="65"/>
      <c r="B189" s="65"/>
      <c r="C189" s="31"/>
      <c r="D189" s="65"/>
      <c r="E189" s="65"/>
      <c r="F189" s="65"/>
      <c r="G189" s="65"/>
      <c r="H189" s="65"/>
    </row>
    <row r="190">
      <c r="A190" s="65"/>
      <c r="B190" s="65"/>
      <c r="C190" s="31"/>
      <c r="D190" s="65"/>
      <c r="E190" s="65"/>
      <c r="F190" s="65"/>
      <c r="G190" s="65"/>
      <c r="H190" s="65"/>
    </row>
    <row r="191">
      <c r="A191" s="65"/>
      <c r="B191" s="65"/>
      <c r="C191" s="31"/>
      <c r="D191" s="65"/>
      <c r="E191" s="65"/>
      <c r="F191" s="65"/>
      <c r="G191" s="65"/>
      <c r="H191" s="65"/>
    </row>
    <row r="192">
      <c r="A192" s="65"/>
      <c r="B192" s="65"/>
      <c r="C192" s="31"/>
      <c r="D192" s="65"/>
      <c r="E192" s="65"/>
      <c r="F192" s="65"/>
      <c r="G192" s="65"/>
      <c r="H192" s="65"/>
    </row>
    <row r="193">
      <c r="A193" s="65"/>
      <c r="B193" s="65"/>
      <c r="C193" s="31"/>
      <c r="D193" s="65"/>
      <c r="E193" s="65"/>
      <c r="F193" s="65"/>
      <c r="G193" s="65"/>
      <c r="H193" s="65"/>
    </row>
    <row r="194">
      <c r="A194" s="65"/>
      <c r="B194" s="65"/>
      <c r="C194" s="31"/>
      <c r="D194" s="65"/>
      <c r="E194" s="65"/>
      <c r="F194" s="65"/>
      <c r="G194" s="65"/>
      <c r="H194" s="65"/>
    </row>
    <row r="195">
      <c r="A195" s="65"/>
      <c r="B195" s="65"/>
      <c r="C195" s="31"/>
      <c r="D195" s="65"/>
      <c r="E195" s="65"/>
      <c r="F195" s="65"/>
      <c r="G195" s="65"/>
      <c r="H195" s="65"/>
    </row>
    <row r="196">
      <c r="A196" s="65"/>
      <c r="B196" s="65"/>
      <c r="C196" s="31"/>
      <c r="D196" s="65"/>
      <c r="E196" s="65"/>
      <c r="F196" s="65"/>
      <c r="G196" s="65"/>
      <c r="H196" s="65"/>
    </row>
    <row r="197">
      <c r="A197" s="65"/>
      <c r="B197" s="65"/>
      <c r="C197" s="31"/>
      <c r="D197" s="65"/>
      <c r="E197" s="65"/>
      <c r="F197" s="65"/>
      <c r="G197" s="65"/>
      <c r="H197" s="65"/>
    </row>
    <row r="198">
      <c r="A198" s="65"/>
      <c r="B198" s="65"/>
      <c r="C198" s="31"/>
      <c r="D198" s="65"/>
      <c r="E198" s="65"/>
      <c r="F198" s="65"/>
      <c r="G198" s="65"/>
      <c r="H198" s="65"/>
    </row>
    <row r="199">
      <c r="A199" s="65"/>
      <c r="B199" s="65"/>
      <c r="C199" s="31"/>
      <c r="D199" s="65"/>
      <c r="E199" s="65"/>
      <c r="F199" s="65"/>
      <c r="G199" s="65"/>
      <c r="H199" s="65"/>
    </row>
    <row r="200">
      <c r="A200" s="65"/>
      <c r="B200" s="65"/>
      <c r="C200" s="31"/>
      <c r="D200" s="65"/>
      <c r="E200" s="65"/>
      <c r="F200" s="65"/>
      <c r="G200" s="65"/>
      <c r="H200" s="65"/>
    </row>
    <row r="201">
      <c r="A201" s="65"/>
      <c r="B201" s="65"/>
      <c r="C201" s="31"/>
      <c r="D201" s="65"/>
      <c r="E201" s="65"/>
      <c r="F201" s="65"/>
      <c r="G201" s="65"/>
      <c r="H201" s="65"/>
    </row>
    <row r="202">
      <c r="A202" s="65"/>
      <c r="B202" s="65"/>
      <c r="C202" s="31"/>
      <c r="D202" s="65"/>
      <c r="E202" s="65"/>
      <c r="F202" s="65"/>
      <c r="G202" s="65"/>
      <c r="H202" s="65"/>
    </row>
    <row r="203">
      <c r="A203" s="65"/>
      <c r="B203" s="65"/>
      <c r="C203" s="31"/>
      <c r="D203" s="65"/>
      <c r="E203" s="65"/>
      <c r="F203" s="65"/>
      <c r="G203" s="65"/>
      <c r="H203" s="65"/>
    </row>
    <row r="204">
      <c r="A204" s="65"/>
      <c r="B204" s="65"/>
      <c r="C204" s="31"/>
      <c r="D204" s="65"/>
      <c r="E204" s="65"/>
      <c r="F204" s="65"/>
      <c r="G204" s="65"/>
      <c r="H204" s="65"/>
    </row>
    <row r="205">
      <c r="A205" s="65"/>
      <c r="B205" s="65"/>
      <c r="C205" s="31"/>
      <c r="D205" s="65"/>
      <c r="E205" s="65"/>
      <c r="F205" s="65"/>
      <c r="G205" s="65"/>
      <c r="H205" s="65"/>
    </row>
    <row r="206">
      <c r="A206" s="65"/>
      <c r="B206" s="65"/>
      <c r="C206" s="31"/>
      <c r="D206" s="65"/>
      <c r="E206" s="65"/>
      <c r="F206" s="65"/>
      <c r="G206" s="65"/>
      <c r="H206" s="65"/>
    </row>
    <row r="207">
      <c r="A207" s="65"/>
      <c r="B207" s="65"/>
      <c r="C207" s="31"/>
      <c r="D207" s="65"/>
      <c r="E207" s="65"/>
      <c r="F207" s="65"/>
      <c r="G207" s="65"/>
      <c r="H207" s="65"/>
    </row>
    <row r="208">
      <c r="A208" s="65"/>
      <c r="B208" s="65"/>
      <c r="C208" s="31"/>
      <c r="D208" s="65"/>
      <c r="E208" s="65"/>
      <c r="F208" s="65"/>
      <c r="G208" s="65"/>
      <c r="H208" s="65"/>
    </row>
    <row r="209">
      <c r="A209" s="65"/>
      <c r="B209" s="65"/>
      <c r="C209" s="31"/>
      <c r="D209" s="65"/>
      <c r="E209" s="65"/>
      <c r="F209" s="65"/>
      <c r="G209" s="65"/>
      <c r="H209" s="65"/>
    </row>
    <row r="210">
      <c r="A210" s="65"/>
      <c r="B210" s="65"/>
      <c r="C210" s="31"/>
      <c r="D210" s="65"/>
      <c r="E210" s="65"/>
      <c r="F210" s="65"/>
      <c r="G210" s="65"/>
      <c r="H210" s="65"/>
    </row>
    <row r="211">
      <c r="A211" s="65"/>
      <c r="B211" s="65"/>
      <c r="C211" s="31"/>
      <c r="D211" s="65"/>
      <c r="E211" s="65"/>
      <c r="F211" s="65"/>
      <c r="G211" s="65"/>
      <c r="H211" s="65"/>
    </row>
    <row r="212">
      <c r="A212" s="65"/>
      <c r="B212" s="65"/>
      <c r="C212" s="31"/>
      <c r="D212" s="65"/>
      <c r="E212" s="65"/>
      <c r="F212" s="65"/>
      <c r="G212" s="65"/>
      <c r="H212" s="65"/>
    </row>
    <row r="213">
      <c r="A213" s="65"/>
      <c r="B213" s="65"/>
      <c r="C213" s="31"/>
      <c r="D213" s="65"/>
      <c r="E213" s="65"/>
      <c r="F213" s="65"/>
      <c r="G213" s="65"/>
      <c r="H213" s="65"/>
    </row>
    <row r="214">
      <c r="A214" s="65"/>
      <c r="B214" s="65"/>
      <c r="C214" s="31"/>
      <c r="D214" s="65"/>
      <c r="E214" s="65"/>
      <c r="F214" s="65"/>
      <c r="G214" s="65"/>
      <c r="H214" s="65"/>
    </row>
    <row r="215">
      <c r="A215" s="65"/>
      <c r="B215" s="65"/>
      <c r="C215" s="31"/>
      <c r="D215" s="65"/>
      <c r="E215" s="65"/>
      <c r="F215" s="65"/>
      <c r="G215" s="65"/>
      <c r="H215" s="65"/>
    </row>
    <row r="216">
      <c r="A216" s="65"/>
      <c r="B216" s="65"/>
      <c r="C216" s="31"/>
      <c r="D216" s="65"/>
      <c r="E216" s="65"/>
      <c r="F216" s="65"/>
      <c r="G216" s="65"/>
      <c r="H216" s="65"/>
    </row>
    <row r="217">
      <c r="A217" s="65"/>
      <c r="B217" s="65"/>
      <c r="C217" s="31"/>
      <c r="D217" s="65"/>
      <c r="E217" s="65"/>
      <c r="F217" s="65"/>
      <c r="G217" s="65"/>
      <c r="H217" s="65"/>
    </row>
    <row r="218">
      <c r="A218" s="65"/>
      <c r="B218" s="65"/>
      <c r="C218" s="31"/>
      <c r="D218" s="65"/>
      <c r="E218" s="65"/>
      <c r="F218" s="65"/>
      <c r="G218" s="65"/>
      <c r="H218" s="65"/>
    </row>
    <row r="219">
      <c r="A219" s="65"/>
      <c r="B219" s="65"/>
      <c r="C219" s="31"/>
      <c r="D219" s="65"/>
      <c r="E219" s="65"/>
      <c r="F219" s="65"/>
      <c r="G219" s="65"/>
      <c r="H219" s="65"/>
    </row>
    <row r="220">
      <c r="A220" s="65"/>
      <c r="B220" s="65"/>
      <c r="C220" s="31"/>
      <c r="D220" s="65"/>
      <c r="E220" s="65"/>
      <c r="F220" s="65"/>
      <c r="G220" s="65"/>
      <c r="H220" s="65"/>
    </row>
    <row r="221">
      <c r="A221" s="65"/>
      <c r="B221" s="65"/>
      <c r="C221" s="31"/>
      <c r="D221" s="65"/>
      <c r="E221" s="65"/>
      <c r="F221" s="65"/>
      <c r="G221" s="65"/>
      <c r="H221" s="65"/>
    </row>
    <row r="222">
      <c r="A222" s="65"/>
      <c r="B222" s="65"/>
      <c r="C222" s="31"/>
      <c r="D222" s="65"/>
      <c r="E222" s="65"/>
      <c r="F222" s="65"/>
      <c r="G222" s="65"/>
      <c r="H222" s="65"/>
    </row>
    <row r="223">
      <c r="A223" s="65"/>
      <c r="B223" s="65"/>
      <c r="C223" s="31"/>
      <c r="D223" s="65"/>
      <c r="E223" s="65"/>
      <c r="F223" s="65"/>
      <c r="G223" s="65"/>
      <c r="H223" s="65"/>
    </row>
    <row r="224">
      <c r="A224" s="65"/>
      <c r="B224" s="65"/>
      <c r="C224" s="31"/>
      <c r="D224" s="65"/>
      <c r="E224" s="65"/>
      <c r="F224" s="65"/>
      <c r="G224" s="65"/>
      <c r="H224" s="65"/>
    </row>
    <row r="225">
      <c r="A225" s="65"/>
      <c r="B225" s="65"/>
      <c r="C225" s="31"/>
      <c r="D225" s="65"/>
      <c r="E225" s="65"/>
      <c r="F225" s="65"/>
      <c r="G225" s="65"/>
      <c r="H225" s="65"/>
    </row>
    <row r="226">
      <c r="A226" s="65"/>
      <c r="B226" s="65"/>
      <c r="C226" s="31"/>
      <c r="D226" s="65"/>
      <c r="E226" s="65"/>
      <c r="F226" s="65"/>
      <c r="G226" s="65"/>
      <c r="H226" s="65"/>
    </row>
    <row r="227">
      <c r="A227" s="65"/>
      <c r="B227" s="65"/>
      <c r="C227" s="31"/>
      <c r="D227" s="65"/>
      <c r="E227" s="65"/>
      <c r="F227" s="65"/>
      <c r="G227" s="65"/>
      <c r="H227" s="65"/>
    </row>
    <row r="228">
      <c r="A228" s="65"/>
      <c r="B228" s="65"/>
      <c r="C228" s="31"/>
      <c r="D228" s="65"/>
      <c r="E228" s="65"/>
      <c r="F228" s="65"/>
      <c r="G228" s="65"/>
      <c r="H228" s="65"/>
    </row>
    <row r="229">
      <c r="A229" s="65"/>
      <c r="B229" s="65"/>
      <c r="C229" s="31"/>
      <c r="D229" s="65"/>
      <c r="E229" s="65"/>
      <c r="F229" s="65"/>
      <c r="G229" s="65"/>
      <c r="H229" s="65"/>
    </row>
    <row r="230">
      <c r="A230" s="65"/>
      <c r="B230" s="65"/>
      <c r="C230" s="31"/>
      <c r="D230" s="65"/>
      <c r="E230" s="65"/>
      <c r="F230" s="65"/>
      <c r="G230" s="65"/>
      <c r="H230" s="65"/>
    </row>
    <row r="231">
      <c r="A231" s="65"/>
      <c r="B231" s="65"/>
      <c r="C231" s="31"/>
      <c r="D231" s="65"/>
      <c r="E231" s="65"/>
      <c r="F231" s="65"/>
      <c r="G231" s="65"/>
      <c r="H231" s="65"/>
    </row>
    <row r="232">
      <c r="A232" s="65"/>
      <c r="B232" s="65"/>
      <c r="C232" s="31"/>
      <c r="D232" s="65"/>
      <c r="E232" s="65"/>
      <c r="F232" s="65"/>
      <c r="G232" s="65"/>
      <c r="H232" s="65"/>
    </row>
    <row r="233">
      <c r="A233" s="65"/>
      <c r="B233" s="65"/>
      <c r="C233" s="31"/>
      <c r="D233" s="65"/>
      <c r="E233" s="65"/>
      <c r="F233" s="65"/>
      <c r="G233" s="65"/>
      <c r="H233" s="65"/>
    </row>
    <row r="234">
      <c r="A234" s="65"/>
      <c r="B234" s="65"/>
      <c r="C234" s="31"/>
      <c r="D234" s="65"/>
      <c r="E234" s="65"/>
      <c r="F234" s="65"/>
      <c r="G234" s="65"/>
      <c r="H234" s="65"/>
    </row>
    <row r="235">
      <c r="A235" s="65"/>
      <c r="B235" s="65"/>
      <c r="C235" s="31"/>
      <c r="D235" s="65"/>
      <c r="E235" s="65"/>
      <c r="F235" s="65"/>
      <c r="G235" s="65"/>
      <c r="H235" s="65"/>
    </row>
    <row r="236">
      <c r="A236" s="65"/>
      <c r="B236" s="65"/>
      <c r="C236" s="31"/>
      <c r="D236" s="65"/>
      <c r="E236" s="65"/>
      <c r="F236" s="65"/>
      <c r="G236" s="65"/>
      <c r="H236" s="65"/>
    </row>
    <row r="237">
      <c r="A237" s="65"/>
      <c r="B237" s="65"/>
      <c r="C237" s="31"/>
      <c r="D237" s="65"/>
      <c r="E237" s="65"/>
      <c r="F237" s="65"/>
      <c r="G237" s="65"/>
      <c r="H237" s="65"/>
    </row>
    <row r="238">
      <c r="A238" s="65"/>
      <c r="B238" s="65"/>
      <c r="C238" s="31"/>
      <c r="D238" s="65"/>
      <c r="E238" s="65"/>
      <c r="F238" s="65"/>
      <c r="G238" s="65"/>
      <c r="H238" s="65"/>
    </row>
    <row r="239">
      <c r="A239" s="65"/>
      <c r="B239" s="65"/>
      <c r="C239" s="31"/>
      <c r="D239" s="65"/>
      <c r="E239" s="65"/>
      <c r="F239" s="65"/>
      <c r="G239" s="65"/>
      <c r="H239" s="65"/>
    </row>
    <row r="240">
      <c r="A240" s="65"/>
      <c r="B240" s="65"/>
      <c r="C240" s="31"/>
      <c r="D240" s="65"/>
      <c r="E240" s="65"/>
      <c r="F240" s="65"/>
      <c r="G240" s="65"/>
      <c r="H240" s="65"/>
    </row>
    <row r="241">
      <c r="A241" s="65"/>
      <c r="B241" s="65"/>
      <c r="C241" s="31"/>
      <c r="D241" s="65"/>
      <c r="E241" s="65"/>
      <c r="F241" s="65"/>
      <c r="G241" s="65"/>
      <c r="H241" s="65"/>
    </row>
    <row r="242">
      <c r="A242" s="65"/>
      <c r="B242" s="65"/>
      <c r="C242" s="31"/>
      <c r="D242" s="65"/>
      <c r="E242" s="65"/>
      <c r="F242" s="65"/>
      <c r="G242" s="65"/>
      <c r="H242" s="65"/>
    </row>
    <row r="243">
      <c r="A243" s="65"/>
      <c r="B243" s="65"/>
      <c r="C243" s="31"/>
      <c r="D243" s="65"/>
      <c r="E243" s="65"/>
      <c r="F243" s="65"/>
      <c r="G243" s="65"/>
      <c r="H243" s="65"/>
    </row>
    <row r="244">
      <c r="A244" s="65"/>
      <c r="B244" s="65"/>
      <c r="C244" s="31"/>
      <c r="D244" s="65"/>
      <c r="E244" s="65"/>
      <c r="F244" s="65"/>
      <c r="G244" s="65"/>
      <c r="H244" s="65"/>
    </row>
    <row r="245">
      <c r="A245" s="65"/>
      <c r="B245" s="65"/>
      <c r="C245" s="31"/>
      <c r="D245" s="65"/>
      <c r="E245" s="65"/>
      <c r="F245" s="65"/>
      <c r="G245" s="65"/>
      <c r="H245" s="65"/>
    </row>
    <row r="246">
      <c r="A246" s="65"/>
      <c r="B246" s="65"/>
      <c r="C246" s="31"/>
      <c r="D246" s="65"/>
      <c r="E246" s="65"/>
      <c r="F246" s="65"/>
      <c r="G246" s="65"/>
      <c r="H246" s="65"/>
    </row>
    <row r="247">
      <c r="A247" s="65"/>
      <c r="B247" s="65"/>
      <c r="C247" s="31"/>
      <c r="D247" s="65"/>
      <c r="E247" s="65"/>
      <c r="F247" s="65"/>
      <c r="G247" s="65"/>
      <c r="H247" s="65"/>
    </row>
    <row r="248">
      <c r="A248" s="65"/>
      <c r="B248" s="65"/>
      <c r="C248" s="31"/>
      <c r="D248" s="65"/>
      <c r="E248" s="65"/>
      <c r="F248" s="65"/>
      <c r="G248" s="65"/>
      <c r="H248" s="65"/>
    </row>
    <row r="249">
      <c r="A249" s="65"/>
      <c r="B249" s="65"/>
      <c r="C249" s="31"/>
      <c r="D249" s="65"/>
      <c r="E249" s="65"/>
      <c r="F249" s="65"/>
      <c r="G249" s="65"/>
      <c r="H249" s="65"/>
    </row>
    <row r="250">
      <c r="A250" s="65"/>
      <c r="B250" s="65"/>
      <c r="C250" s="31"/>
      <c r="D250" s="65"/>
      <c r="E250" s="65"/>
      <c r="F250" s="65"/>
      <c r="G250" s="65"/>
      <c r="H250" s="65"/>
    </row>
    <row r="251">
      <c r="A251" s="65"/>
      <c r="B251" s="65"/>
      <c r="C251" s="31"/>
      <c r="D251" s="65"/>
      <c r="E251" s="65"/>
      <c r="F251" s="65"/>
      <c r="G251" s="65"/>
      <c r="H251" s="65"/>
    </row>
    <row r="252">
      <c r="A252" s="65"/>
      <c r="B252" s="65"/>
      <c r="C252" s="31"/>
      <c r="D252" s="65"/>
      <c r="E252" s="65"/>
      <c r="F252" s="65"/>
      <c r="G252" s="65"/>
      <c r="H252" s="65"/>
    </row>
    <row r="253">
      <c r="A253" s="65"/>
      <c r="B253" s="65"/>
      <c r="C253" s="31"/>
      <c r="D253" s="65"/>
      <c r="E253" s="65"/>
      <c r="F253" s="65"/>
      <c r="G253" s="65"/>
      <c r="H253" s="65"/>
    </row>
    <row r="254">
      <c r="A254" s="65"/>
      <c r="B254" s="65"/>
      <c r="C254" s="31"/>
      <c r="D254" s="65"/>
      <c r="E254" s="65"/>
      <c r="F254" s="65"/>
      <c r="G254" s="65"/>
      <c r="H254" s="65"/>
    </row>
    <row r="255">
      <c r="A255" s="65"/>
      <c r="B255" s="65"/>
      <c r="C255" s="31"/>
      <c r="D255" s="65"/>
      <c r="E255" s="65"/>
      <c r="F255" s="65"/>
      <c r="G255" s="65"/>
      <c r="H255" s="65"/>
    </row>
    <row r="256">
      <c r="A256" s="65"/>
      <c r="B256" s="65"/>
      <c r="C256" s="31"/>
      <c r="D256" s="65"/>
      <c r="E256" s="65"/>
      <c r="F256" s="65"/>
      <c r="G256" s="65"/>
      <c r="H256" s="65"/>
    </row>
    <row r="257">
      <c r="A257" s="65"/>
      <c r="B257" s="65"/>
      <c r="C257" s="31"/>
      <c r="D257" s="65"/>
      <c r="E257" s="65"/>
      <c r="F257" s="65"/>
      <c r="G257" s="65"/>
      <c r="H257" s="65"/>
    </row>
    <row r="258">
      <c r="A258" s="65"/>
      <c r="B258" s="65"/>
      <c r="C258" s="31"/>
      <c r="D258" s="65"/>
      <c r="E258" s="65"/>
      <c r="F258" s="65"/>
      <c r="G258" s="65"/>
      <c r="H258" s="65"/>
    </row>
    <row r="259">
      <c r="A259" s="65"/>
      <c r="B259" s="65"/>
      <c r="C259" s="31"/>
      <c r="D259" s="65"/>
      <c r="E259" s="65"/>
      <c r="F259" s="65"/>
      <c r="G259" s="65"/>
      <c r="H259" s="65"/>
    </row>
    <row r="260">
      <c r="A260" s="65"/>
      <c r="B260" s="65"/>
      <c r="C260" s="31"/>
      <c r="D260" s="65"/>
      <c r="E260" s="65"/>
      <c r="F260" s="65"/>
      <c r="G260" s="65"/>
      <c r="H260" s="65"/>
    </row>
    <row r="261">
      <c r="A261" s="65"/>
      <c r="B261" s="65"/>
      <c r="C261" s="31"/>
      <c r="D261" s="65"/>
      <c r="E261" s="65"/>
      <c r="F261" s="65"/>
      <c r="G261" s="65"/>
      <c r="H261" s="65"/>
    </row>
    <row r="262">
      <c r="A262" s="65"/>
      <c r="B262" s="65"/>
      <c r="C262" s="31"/>
      <c r="D262" s="65"/>
      <c r="E262" s="65"/>
      <c r="F262" s="65"/>
      <c r="G262" s="65"/>
      <c r="H262" s="65"/>
    </row>
    <row r="263">
      <c r="A263" s="65"/>
      <c r="B263" s="65"/>
      <c r="C263" s="31"/>
      <c r="D263" s="65"/>
      <c r="E263" s="65"/>
      <c r="F263" s="65"/>
      <c r="G263" s="65"/>
      <c r="H263" s="65"/>
    </row>
    <row r="264">
      <c r="A264" s="65"/>
      <c r="B264" s="65"/>
      <c r="C264" s="31"/>
      <c r="D264" s="65"/>
      <c r="E264" s="65"/>
      <c r="F264" s="65"/>
      <c r="G264" s="65"/>
      <c r="H264" s="65"/>
    </row>
    <row r="265">
      <c r="A265" s="65"/>
      <c r="B265" s="65"/>
      <c r="C265" s="31"/>
      <c r="D265" s="65"/>
      <c r="E265" s="65"/>
      <c r="F265" s="65"/>
      <c r="G265" s="65"/>
      <c r="H265" s="65"/>
    </row>
    <row r="266">
      <c r="A266" s="65"/>
      <c r="B266" s="65"/>
      <c r="C266" s="31"/>
      <c r="D266" s="65"/>
      <c r="E266" s="65"/>
      <c r="F266" s="65"/>
      <c r="G266" s="65"/>
      <c r="H266" s="65"/>
    </row>
    <row r="267">
      <c r="A267" s="65"/>
      <c r="B267" s="65"/>
      <c r="C267" s="31"/>
      <c r="D267" s="65"/>
      <c r="E267" s="65"/>
      <c r="F267" s="65"/>
      <c r="G267" s="65"/>
      <c r="H267" s="65"/>
    </row>
    <row r="268">
      <c r="A268" s="65"/>
      <c r="B268" s="65"/>
      <c r="C268" s="31"/>
      <c r="D268" s="65"/>
      <c r="E268" s="65"/>
      <c r="F268" s="65"/>
      <c r="G268" s="65"/>
      <c r="H268" s="65"/>
    </row>
    <row r="269">
      <c r="A269" s="65"/>
      <c r="B269" s="65"/>
      <c r="C269" s="31"/>
      <c r="D269" s="65"/>
      <c r="E269" s="65"/>
      <c r="F269" s="65"/>
      <c r="G269" s="65"/>
      <c r="H269" s="65"/>
    </row>
    <row r="270">
      <c r="A270" s="65"/>
      <c r="B270" s="65"/>
      <c r="C270" s="31"/>
      <c r="D270" s="65"/>
      <c r="E270" s="65"/>
      <c r="F270" s="65"/>
      <c r="G270" s="65"/>
      <c r="H270" s="65"/>
    </row>
    <row r="271">
      <c r="A271" s="65"/>
      <c r="B271" s="65"/>
      <c r="C271" s="31"/>
      <c r="D271" s="65"/>
      <c r="E271" s="65"/>
      <c r="F271" s="65"/>
      <c r="G271" s="65"/>
      <c r="H271" s="65"/>
    </row>
    <row r="272">
      <c r="A272" s="65"/>
      <c r="B272" s="65"/>
      <c r="C272" s="31"/>
      <c r="D272" s="65"/>
      <c r="E272" s="65"/>
      <c r="F272" s="65"/>
      <c r="G272" s="65"/>
      <c r="H272" s="65"/>
    </row>
    <row r="273">
      <c r="A273" s="65"/>
      <c r="B273" s="65"/>
      <c r="C273" s="31"/>
      <c r="D273" s="65"/>
      <c r="E273" s="65"/>
      <c r="F273" s="65"/>
      <c r="G273" s="65"/>
      <c r="H273" s="65"/>
    </row>
    <row r="274">
      <c r="A274" s="65"/>
      <c r="B274" s="65"/>
      <c r="C274" s="31"/>
      <c r="D274" s="65"/>
      <c r="E274" s="65"/>
      <c r="F274" s="65"/>
      <c r="G274" s="65"/>
      <c r="H274" s="65"/>
    </row>
    <row r="275">
      <c r="A275" s="65"/>
      <c r="B275" s="65"/>
      <c r="C275" s="31"/>
      <c r="D275" s="65"/>
      <c r="E275" s="65"/>
      <c r="F275" s="65"/>
      <c r="G275" s="65"/>
      <c r="H275" s="65"/>
    </row>
    <row r="276">
      <c r="A276" s="65"/>
      <c r="B276" s="65"/>
      <c r="C276" s="31"/>
      <c r="D276" s="65"/>
      <c r="E276" s="65"/>
      <c r="F276" s="65"/>
      <c r="G276" s="65"/>
      <c r="H276" s="65"/>
    </row>
    <row r="277">
      <c r="A277" s="65"/>
      <c r="B277" s="65"/>
      <c r="C277" s="31"/>
      <c r="D277" s="65"/>
      <c r="E277" s="65"/>
      <c r="F277" s="65"/>
      <c r="G277" s="65"/>
      <c r="H277" s="65"/>
    </row>
    <row r="278">
      <c r="A278" s="65"/>
      <c r="B278" s="65"/>
      <c r="C278" s="31"/>
      <c r="D278" s="65"/>
      <c r="E278" s="65"/>
      <c r="F278" s="65"/>
      <c r="G278" s="65"/>
      <c r="H278" s="65"/>
    </row>
    <row r="279">
      <c r="A279" s="65"/>
      <c r="B279" s="65"/>
      <c r="C279" s="31"/>
      <c r="D279" s="65"/>
      <c r="E279" s="65"/>
      <c r="F279" s="65"/>
      <c r="G279" s="65"/>
      <c r="H279" s="65"/>
    </row>
    <row r="280">
      <c r="A280" s="65"/>
      <c r="B280" s="65"/>
      <c r="C280" s="31"/>
      <c r="D280" s="65"/>
      <c r="E280" s="65"/>
      <c r="F280" s="65"/>
      <c r="G280" s="65"/>
      <c r="H280" s="65"/>
    </row>
    <row r="281">
      <c r="A281" s="65"/>
      <c r="B281" s="65"/>
      <c r="C281" s="31"/>
      <c r="D281" s="65"/>
      <c r="E281" s="65"/>
      <c r="F281" s="65"/>
      <c r="G281" s="65"/>
      <c r="H281" s="65"/>
    </row>
    <row r="282">
      <c r="A282" s="65"/>
      <c r="B282" s="65"/>
      <c r="C282" s="31"/>
      <c r="D282" s="65"/>
      <c r="E282" s="65"/>
      <c r="F282" s="65"/>
      <c r="G282" s="65"/>
      <c r="H282" s="65"/>
    </row>
    <row r="283">
      <c r="A283" s="65"/>
      <c r="B283" s="65"/>
      <c r="C283" s="31"/>
      <c r="D283" s="65"/>
      <c r="E283" s="65"/>
      <c r="F283" s="65"/>
      <c r="G283" s="65"/>
      <c r="H283" s="65"/>
    </row>
    <row r="284">
      <c r="A284" s="65"/>
      <c r="B284" s="65"/>
      <c r="C284" s="31"/>
      <c r="D284" s="65"/>
      <c r="E284" s="65"/>
      <c r="F284" s="65"/>
      <c r="G284" s="65"/>
      <c r="H284" s="65"/>
    </row>
    <row r="285">
      <c r="A285" s="65"/>
      <c r="B285" s="65"/>
      <c r="C285" s="31"/>
      <c r="D285" s="65"/>
      <c r="E285" s="65"/>
      <c r="F285" s="65"/>
      <c r="G285" s="65"/>
      <c r="H285" s="65"/>
    </row>
    <row r="286">
      <c r="A286" s="65"/>
      <c r="B286" s="65"/>
      <c r="C286" s="31"/>
      <c r="D286" s="65"/>
      <c r="E286" s="65"/>
      <c r="F286" s="65"/>
      <c r="G286" s="65"/>
      <c r="H286" s="65"/>
    </row>
    <row r="287">
      <c r="A287" s="65"/>
      <c r="B287" s="65"/>
      <c r="C287" s="31"/>
      <c r="D287" s="65"/>
      <c r="E287" s="65"/>
      <c r="F287" s="65"/>
      <c r="G287" s="65"/>
      <c r="H287" s="65"/>
    </row>
    <row r="288">
      <c r="A288" s="65"/>
      <c r="B288" s="65"/>
      <c r="C288" s="31"/>
      <c r="D288" s="65"/>
      <c r="E288" s="65"/>
      <c r="F288" s="65"/>
      <c r="G288" s="65"/>
      <c r="H288" s="65"/>
    </row>
    <row r="289">
      <c r="A289" s="65"/>
      <c r="B289" s="65"/>
      <c r="C289" s="31"/>
      <c r="D289" s="65"/>
      <c r="E289" s="65"/>
      <c r="F289" s="65"/>
      <c r="G289" s="65"/>
      <c r="H289" s="65"/>
    </row>
    <row r="290">
      <c r="A290" s="65"/>
      <c r="B290" s="65"/>
      <c r="C290" s="31"/>
      <c r="D290" s="65"/>
      <c r="E290" s="65"/>
      <c r="F290" s="65"/>
      <c r="G290" s="65"/>
      <c r="H290" s="65"/>
    </row>
    <row r="291">
      <c r="A291" s="65"/>
      <c r="B291" s="65"/>
      <c r="C291" s="31"/>
      <c r="D291" s="65"/>
      <c r="E291" s="65"/>
      <c r="F291" s="65"/>
      <c r="G291" s="65"/>
      <c r="H291" s="65"/>
    </row>
    <row r="292">
      <c r="A292" s="65"/>
      <c r="B292" s="65"/>
      <c r="C292" s="31"/>
      <c r="D292" s="65"/>
      <c r="E292" s="65"/>
      <c r="F292" s="65"/>
      <c r="G292" s="65"/>
      <c r="H292" s="65"/>
    </row>
    <row r="293">
      <c r="A293" s="65"/>
      <c r="B293" s="65"/>
      <c r="C293" s="31"/>
      <c r="D293" s="65"/>
      <c r="E293" s="65"/>
      <c r="F293" s="65"/>
      <c r="G293" s="65"/>
      <c r="H293" s="65"/>
    </row>
    <row r="294">
      <c r="A294" s="65"/>
      <c r="B294" s="65"/>
      <c r="C294" s="31"/>
      <c r="D294" s="65"/>
      <c r="E294" s="65"/>
      <c r="F294" s="65"/>
      <c r="G294" s="65"/>
      <c r="H294" s="65"/>
    </row>
    <row r="295">
      <c r="A295" s="65"/>
      <c r="B295" s="65"/>
      <c r="C295" s="31"/>
      <c r="D295" s="65"/>
      <c r="E295" s="65"/>
      <c r="F295" s="65"/>
      <c r="G295" s="65"/>
      <c r="H295" s="65"/>
    </row>
    <row r="296">
      <c r="A296" s="65"/>
      <c r="B296" s="65"/>
      <c r="C296" s="31"/>
      <c r="D296" s="65"/>
      <c r="E296" s="65"/>
      <c r="F296" s="65"/>
      <c r="G296" s="65"/>
      <c r="H296" s="65"/>
    </row>
    <row r="297">
      <c r="A297" s="65"/>
      <c r="B297" s="65"/>
      <c r="C297" s="31"/>
      <c r="D297" s="65"/>
      <c r="E297" s="65"/>
      <c r="F297" s="65"/>
      <c r="G297" s="65"/>
      <c r="H297" s="65"/>
    </row>
    <row r="298">
      <c r="A298" s="65"/>
      <c r="B298" s="65"/>
      <c r="C298" s="31"/>
      <c r="D298" s="65"/>
      <c r="E298" s="65"/>
      <c r="F298" s="65"/>
      <c r="G298" s="65"/>
      <c r="H298" s="65"/>
    </row>
    <row r="299">
      <c r="A299" s="65"/>
      <c r="B299" s="65"/>
      <c r="C299" s="31"/>
      <c r="D299" s="65"/>
      <c r="E299" s="65"/>
      <c r="F299" s="65"/>
      <c r="G299" s="65"/>
      <c r="H299" s="65"/>
    </row>
    <row r="300">
      <c r="A300" s="65"/>
      <c r="B300" s="65"/>
      <c r="C300" s="31"/>
      <c r="D300" s="65"/>
      <c r="E300" s="65"/>
      <c r="F300" s="65"/>
      <c r="G300" s="65"/>
      <c r="H300" s="65"/>
    </row>
    <row r="301">
      <c r="A301" s="65"/>
      <c r="B301" s="65"/>
      <c r="C301" s="31"/>
      <c r="D301" s="65"/>
      <c r="E301" s="65"/>
      <c r="F301" s="65"/>
      <c r="G301" s="65"/>
      <c r="H301" s="65"/>
    </row>
    <row r="302">
      <c r="A302" s="65"/>
      <c r="B302" s="65"/>
      <c r="C302" s="31"/>
      <c r="D302" s="65"/>
      <c r="E302" s="65"/>
      <c r="F302" s="65"/>
      <c r="G302" s="65"/>
      <c r="H302" s="65"/>
    </row>
    <row r="303">
      <c r="A303" s="65"/>
      <c r="B303" s="65"/>
      <c r="C303" s="31"/>
      <c r="D303" s="65"/>
      <c r="E303" s="65"/>
      <c r="F303" s="65"/>
      <c r="G303" s="65"/>
      <c r="H303" s="65"/>
    </row>
    <row r="304">
      <c r="A304" s="65"/>
      <c r="B304" s="65"/>
      <c r="C304" s="31"/>
      <c r="D304" s="65"/>
      <c r="E304" s="65"/>
      <c r="F304" s="65"/>
      <c r="G304" s="65"/>
      <c r="H304" s="65"/>
    </row>
    <row r="305">
      <c r="A305" s="65"/>
      <c r="B305" s="65"/>
      <c r="C305" s="31"/>
      <c r="D305" s="65"/>
      <c r="E305" s="65"/>
      <c r="F305" s="65"/>
      <c r="G305" s="65"/>
      <c r="H305" s="65"/>
    </row>
    <row r="306">
      <c r="A306" s="65"/>
      <c r="B306" s="65"/>
      <c r="C306" s="31"/>
      <c r="D306" s="65"/>
      <c r="E306" s="65"/>
      <c r="F306" s="65"/>
      <c r="G306" s="65"/>
      <c r="H306" s="65"/>
    </row>
    <row r="307">
      <c r="A307" s="65"/>
      <c r="B307" s="65"/>
      <c r="C307" s="31"/>
      <c r="D307" s="65"/>
      <c r="E307" s="65"/>
      <c r="F307" s="65"/>
      <c r="G307" s="65"/>
      <c r="H307" s="65"/>
    </row>
    <row r="308">
      <c r="A308" s="65"/>
      <c r="B308" s="65"/>
      <c r="C308" s="31"/>
      <c r="D308" s="65"/>
      <c r="E308" s="65"/>
      <c r="F308" s="65"/>
      <c r="G308" s="65"/>
      <c r="H308" s="65"/>
    </row>
    <row r="309">
      <c r="A309" s="65"/>
      <c r="B309" s="65"/>
      <c r="C309" s="31"/>
      <c r="D309" s="65"/>
      <c r="E309" s="65"/>
      <c r="F309" s="65"/>
      <c r="G309" s="65"/>
      <c r="H309" s="65"/>
    </row>
    <row r="310">
      <c r="A310" s="65"/>
      <c r="B310" s="65"/>
      <c r="C310" s="31"/>
      <c r="D310" s="65"/>
      <c r="E310" s="65"/>
      <c r="F310" s="65"/>
      <c r="G310" s="65"/>
      <c r="H310" s="65"/>
    </row>
    <row r="311">
      <c r="A311" s="65"/>
      <c r="B311" s="65"/>
      <c r="C311" s="31"/>
      <c r="D311" s="65"/>
      <c r="E311" s="65"/>
      <c r="F311" s="65"/>
      <c r="G311" s="65"/>
      <c r="H311" s="65"/>
    </row>
    <row r="312">
      <c r="A312" s="65"/>
      <c r="B312" s="65"/>
      <c r="C312" s="31"/>
      <c r="D312" s="65"/>
      <c r="E312" s="65"/>
      <c r="F312" s="65"/>
      <c r="G312" s="65"/>
      <c r="H312" s="65"/>
    </row>
    <row r="313">
      <c r="A313" s="65"/>
      <c r="B313" s="65"/>
      <c r="C313" s="31"/>
      <c r="D313" s="65"/>
      <c r="E313" s="65"/>
      <c r="F313" s="65"/>
      <c r="G313" s="65"/>
      <c r="H313" s="65"/>
    </row>
    <row r="314">
      <c r="A314" s="65"/>
      <c r="B314" s="65"/>
      <c r="C314" s="31"/>
      <c r="D314" s="65"/>
      <c r="E314" s="65"/>
      <c r="F314" s="65"/>
      <c r="G314" s="65"/>
      <c r="H314" s="65"/>
    </row>
    <row r="315">
      <c r="A315" s="65"/>
      <c r="B315" s="65"/>
      <c r="C315" s="31"/>
      <c r="D315" s="65"/>
      <c r="E315" s="65"/>
      <c r="F315" s="65"/>
      <c r="G315" s="65"/>
      <c r="H315" s="65"/>
    </row>
    <row r="316">
      <c r="A316" s="65"/>
      <c r="B316" s="65"/>
      <c r="C316" s="31"/>
      <c r="D316" s="65"/>
      <c r="E316" s="65"/>
      <c r="F316" s="65"/>
      <c r="G316" s="65"/>
      <c r="H316" s="65"/>
    </row>
    <row r="317">
      <c r="A317" s="65"/>
      <c r="B317" s="65"/>
      <c r="C317" s="31"/>
      <c r="D317" s="65"/>
      <c r="E317" s="65"/>
      <c r="F317" s="65"/>
      <c r="G317" s="65"/>
      <c r="H317" s="65"/>
    </row>
    <row r="318">
      <c r="A318" s="65"/>
      <c r="B318" s="65"/>
      <c r="C318" s="31"/>
      <c r="D318" s="65"/>
      <c r="E318" s="65"/>
      <c r="F318" s="65"/>
      <c r="G318" s="65"/>
      <c r="H318" s="65"/>
    </row>
    <row r="319">
      <c r="A319" s="65"/>
      <c r="B319" s="65"/>
      <c r="C319" s="31"/>
      <c r="D319" s="65"/>
      <c r="E319" s="65"/>
      <c r="F319" s="65"/>
      <c r="G319" s="65"/>
      <c r="H319" s="65"/>
    </row>
    <row r="320">
      <c r="A320" s="65"/>
      <c r="B320" s="65"/>
      <c r="C320" s="31"/>
      <c r="D320" s="65"/>
      <c r="E320" s="65"/>
      <c r="F320" s="65"/>
      <c r="G320" s="65"/>
      <c r="H320" s="65"/>
    </row>
    <row r="321">
      <c r="A321" s="65"/>
      <c r="B321" s="65"/>
      <c r="C321" s="31"/>
      <c r="D321" s="65"/>
      <c r="E321" s="65"/>
      <c r="F321" s="65"/>
      <c r="G321" s="65"/>
      <c r="H321" s="65"/>
    </row>
    <row r="322">
      <c r="A322" s="65"/>
      <c r="B322" s="65"/>
      <c r="C322" s="31"/>
      <c r="D322" s="65"/>
      <c r="E322" s="65"/>
      <c r="F322" s="65"/>
      <c r="G322" s="65"/>
      <c r="H322" s="65"/>
    </row>
    <row r="323">
      <c r="A323" s="65"/>
      <c r="B323" s="65"/>
      <c r="C323" s="31"/>
      <c r="D323" s="65"/>
      <c r="E323" s="65"/>
      <c r="F323" s="65"/>
      <c r="G323" s="65"/>
      <c r="H323" s="65"/>
    </row>
    <row r="324">
      <c r="A324" s="65"/>
      <c r="B324" s="65"/>
      <c r="C324" s="31"/>
      <c r="D324" s="65"/>
      <c r="E324" s="65"/>
      <c r="F324" s="65"/>
      <c r="G324" s="65"/>
      <c r="H324" s="65"/>
    </row>
    <row r="325">
      <c r="A325" s="65"/>
      <c r="B325" s="65"/>
      <c r="C325" s="31"/>
      <c r="D325" s="65"/>
      <c r="E325" s="65"/>
      <c r="F325" s="65"/>
      <c r="G325" s="65"/>
      <c r="H325" s="65"/>
    </row>
    <row r="326">
      <c r="A326" s="65"/>
      <c r="B326" s="65"/>
      <c r="C326" s="31"/>
      <c r="D326" s="65"/>
      <c r="E326" s="65"/>
      <c r="F326" s="65"/>
      <c r="G326" s="65"/>
      <c r="H326" s="65"/>
    </row>
    <row r="327">
      <c r="A327" s="65"/>
      <c r="B327" s="65"/>
      <c r="C327" s="31"/>
      <c r="D327" s="65"/>
      <c r="E327" s="65"/>
      <c r="F327" s="65"/>
      <c r="G327" s="65"/>
      <c r="H327" s="65"/>
    </row>
    <row r="328">
      <c r="A328" s="65"/>
      <c r="B328" s="65"/>
      <c r="C328" s="31"/>
      <c r="D328" s="65"/>
      <c r="E328" s="65"/>
      <c r="F328" s="65"/>
      <c r="G328" s="65"/>
      <c r="H328" s="65"/>
    </row>
    <row r="329">
      <c r="A329" s="65"/>
      <c r="B329" s="65"/>
      <c r="C329" s="31"/>
      <c r="D329" s="65"/>
      <c r="E329" s="65"/>
      <c r="F329" s="65"/>
      <c r="G329" s="65"/>
      <c r="H329" s="65"/>
    </row>
    <row r="330">
      <c r="A330" s="65"/>
      <c r="B330" s="65"/>
      <c r="C330" s="31"/>
      <c r="D330" s="65"/>
      <c r="E330" s="65"/>
      <c r="F330" s="65"/>
      <c r="G330" s="65"/>
      <c r="H330" s="65"/>
    </row>
    <row r="331">
      <c r="A331" s="65"/>
      <c r="B331" s="65"/>
      <c r="C331" s="31"/>
      <c r="D331" s="65"/>
      <c r="E331" s="65"/>
      <c r="F331" s="65"/>
      <c r="G331" s="65"/>
      <c r="H331" s="65"/>
    </row>
    <row r="332">
      <c r="A332" s="65"/>
      <c r="B332" s="65"/>
      <c r="C332" s="31"/>
      <c r="D332" s="65"/>
      <c r="E332" s="65"/>
      <c r="F332" s="65"/>
      <c r="G332" s="65"/>
      <c r="H332" s="65"/>
    </row>
    <row r="333">
      <c r="A333" s="65"/>
      <c r="B333" s="65"/>
      <c r="C333" s="31"/>
      <c r="D333" s="65"/>
      <c r="E333" s="65"/>
      <c r="F333" s="65"/>
      <c r="G333" s="65"/>
      <c r="H333" s="65"/>
    </row>
    <row r="334">
      <c r="A334" s="65"/>
      <c r="B334" s="65"/>
      <c r="C334" s="31"/>
      <c r="D334" s="65"/>
      <c r="E334" s="65"/>
      <c r="F334" s="65"/>
      <c r="G334" s="65"/>
      <c r="H334" s="65"/>
    </row>
    <row r="335">
      <c r="A335" s="65"/>
      <c r="B335" s="65"/>
      <c r="C335" s="31"/>
      <c r="D335" s="65"/>
      <c r="E335" s="65"/>
      <c r="F335" s="65"/>
      <c r="G335" s="65"/>
      <c r="H335" s="65"/>
    </row>
    <row r="336">
      <c r="A336" s="65"/>
      <c r="B336" s="65"/>
      <c r="C336" s="31"/>
      <c r="D336" s="65"/>
      <c r="E336" s="65"/>
      <c r="F336" s="65"/>
      <c r="G336" s="65"/>
      <c r="H336" s="65"/>
    </row>
    <row r="337">
      <c r="A337" s="65"/>
      <c r="B337" s="65"/>
      <c r="C337" s="31"/>
      <c r="D337" s="65"/>
      <c r="E337" s="65"/>
      <c r="F337" s="65"/>
      <c r="G337" s="65"/>
      <c r="H337" s="65"/>
    </row>
    <row r="338">
      <c r="A338" s="65"/>
      <c r="B338" s="65"/>
      <c r="C338" s="31"/>
      <c r="D338" s="65"/>
      <c r="E338" s="65"/>
      <c r="F338" s="65"/>
      <c r="G338" s="65"/>
      <c r="H338" s="65"/>
    </row>
    <row r="339">
      <c r="A339" s="65"/>
      <c r="B339" s="65"/>
      <c r="C339" s="31"/>
      <c r="D339" s="65"/>
      <c r="E339" s="65"/>
      <c r="F339" s="65"/>
      <c r="G339" s="65"/>
      <c r="H339" s="65"/>
    </row>
    <row r="340">
      <c r="A340" s="65"/>
      <c r="B340" s="65"/>
      <c r="C340" s="31"/>
      <c r="D340" s="65"/>
      <c r="E340" s="65"/>
      <c r="F340" s="65"/>
      <c r="G340" s="65"/>
      <c r="H340" s="65"/>
    </row>
    <row r="341">
      <c r="A341" s="65"/>
      <c r="B341" s="65"/>
      <c r="C341" s="31"/>
      <c r="D341" s="65"/>
      <c r="E341" s="65"/>
      <c r="F341" s="65"/>
      <c r="G341" s="65"/>
      <c r="H341" s="65"/>
    </row>
    <row r="342">
      <c r="A342" s="65"/>
      <c r="B342" s="65"/>
      <c r="C342" s="31"/>
      <c r="D342" s="65"/>
      <c r="E342" s="65"/>
      <c r="F342" s="65"/>
      <c r="G342" s="65"/>
      <c r="H342" s="65"/>
    </row>
    <row r="343">
      <c r="A343" s="65"/>
      <c r="B343" s="65"/>
      <c r="C343" s="31"/>
      <c r="D343" s="65"/>
      <c r="E343" s="65"/>
      <c r="F343" s="65"/>
      <c r="G343" s="65"/>
      <c r="H343" s="65"/>
    </row>
    <row r="344">
      <c r="A344" s="65"/>
      <c r="B344" s="65"/>
      <c r="C344" s="31"/>
      <c r="D344" s="65"/>
      <c r="E344" s="65"/>
      <c r="F344" s="65"/>
      <c r="G344" s="65"/>
      <c r="H344" s="65"/>
    </row>
    <row r="345">
      <c r="A345" s="65"/>
      <c r="B345" s="65"/>
      <c r="C345" s="31"/>
      <c r="D345" s="65"/>
      <c r="E345" s="65"/>
      <c r="F345" s="65"/>
      <c r="G345" s="65"/>
      <c r="H345" s="65"/>
    </row>
    <row r="346">
      <c r="A346" s="65"/>
      <c r="B346" s="65"/>
      <c r="C346" s="31"/>
      <c r="D346" s="65"/>
      <c r="E346" s="65"/>
      <c r="F346" s="65"/>
      <c r="G346" s="65"/>
      <c r="H346" s="65"/>
    </row>
    <row r="347">
      <c r="A347" s="65"/>
      <c r="B347" s="65"/>
      <c r="C347" s="31"/>
      <c r="D347" s="65"/>
      <c r="E347" s="65"/>
      <c r="F347" s="65"/>
      <c r="G347" s="65"/>
      <c r="H347" s="65"/>
    </row>
    <row r="348">
      <c r="A348" s="65"/>
      <c r="B348" s="65"/>
      <c r="C348" s="31"/>
      <c r="D348" s="65"/>
      <c r="E348" s="65"/>
      <c r="F348" s="65"/>
      <c r="G348" s="65"/>
      <c r="H348" s="65"/>
    </row>
    <row r="349">
      <c r="A349" s="65"/>
      <c r="B349" s="65"/>
      <c r="C349" s="31"/>
      <c r="D349" s="65"/>
      <c r="E349" s="65"/>
      <c r="F349" s="65"/>
      <c r="G349" s="65"/>
      <c r="H349" s="65"/>
    </row>
    <row r="350">
      <c r="A350" s="65"/>
      <c r="B350" s="65"/>
      <c r="C350" s="31"/>
      <c r="D350" s="65"/>
      <c r="E350" s="65"/>
      <c r="F350" s="65"/>
      <c r="G350" s="65"/>
      <c r="H350" s="65"/>
    </row>
    <row r="351">
      <c r="A351" s="65"/>
      <c r="B351" s="65"/>
      <c r="C351" s="31"/>
      <c r="D351" s="65"/>
      <c r="E351" s="65"/>
      <c r="F351" s="65"/>
      <c r="G351" s="65"/>
      <c r="H351" s="65"/>
    </row>
    <row r="352">
      <c r="A352" s="65"/>
      <c r="B352" s="65"/>
      <c r="C352" s="31"/>
      <c r="D352" s="65"/>
      <c r="E352" s="65"/>
      <c r="F352" s="65"/>
      <c r="G352" s="65"/>
      <c r="H352" s="65"/>
    </row>
    <row r="353">
      <c r="A353" s="65"/>
      <c r="B353" s="65"/>
      <c r="C353" s="31"/>
      <c r="D353" s="65"/>
      <c r="E353" s="65"/>
      <c r="F353" s="65"/>
      <c r="G353" s="65"/>
      <c r="H353" s="65"/>
    </row>
    <row r="354">
      <c r="A354" s="65"/>
      <c r="B354" s="65"/>
      <c r="C354" s="31"/>
      <c r="D354" s="65"/>
      <c r="E354" s="65"/>
      <c r="F354" s="65"/>
      <c r="G354" s="65"/>
      <c r="H354" s="65"/>
    </row>
    <row r="355">
      <c r="A355" s="65"/>
      <c r="B355" s="65"/>
      <c r="C355" s="31"/>
      <c r="D355" s="65"/>
      <c r="E355" s="65"/>
      <c r="F355" s="65"/>
      <c r="G355" s="65"/>
      <c r="H355" s="65"/>
    </row>
    <row r="356">
      <c r="A356" s="65"/>
      <c r="B356" s="65"/>
      <c r="C356" s="31"/>
      <c r="D356" s="65"/>
      <c r="E356" s="65"/>
      <c r="F356" s="65"/>
      <c r="G356" s="65"/>
      <c r="H356" s="65"/>
    </row>
    <row r="357">
      <c r="A357" s="65"/>
      <c r="B357" s="65"/>
      <c r="C357" s="31"/>
      <c r="D357" s="65"/>
      <c r="E357" s="65"/>
      <c r="F357" s="65"/>
      <c r="G357" s="65"/>
      <c r="H357" s="65"/>
    </row>
    <row r="358">
      <c r="A358" s="65"/>
      <c r="B358" s="65"/>
      <c r="C358" s="31"/>
      <c r="D358" s="65"/>
      <c r="E358" s="65"/>
      <c r="F358" s="65"/>
      <c r="G358" s="65"/>
      <c r="H358" s="65"/>
    </row>
    <row r="359">
      <c r="A359" s="65"/>
      <c r="B359" s="65"/>
      <c r="C359" s="31"/>
      <c r="D359" s="65"/>
      <c r="E359" s="65"/>
      <c r="F359" s="65"/>
      <c r="G359" s="65"/>
      <c r="H359" s="65"/>
    </row>
    <row r="360">
      <c r="A360" s="65"/>
      <c r="B360" s="65"/>
      <c r="C360" s="31"/>
      <c r="D360" s="65"/>
      <c r="E360" s="65"/>
      <c r="F360" s="65"/>
      <c r="G360" s="65"/>
      <c r="H360" s="65"/>
    </row>
    <row r="361">
      <c r="A361" s="65"/>
      <c r="B361" s="65"/>
      <c r="C361" s="31"/>
      <c r="D361" s="65"/>
      <c r="E361" s="65"/>
      <c r="F361" s="65"/>
      <c r="G361" s="65"/>
      <c r="H361" s="65"/>
    </row>
    <row r="362">
      <c r="A362" s="65"/>
      <c r="B362" s="65"/>
      <c r="C362" s="31"/>
      <c r="D362" s="65"/>
      <c r="E362" s="65"/>
      <c r="F362" s="65"/>
      <c r="G362" s="65"/>
      <c r="H362" s="65"/>
    </row>
    <row r="363">
      <c r="A363" s="65"/>
      <c r="B363" s="65"/>
      <c r="C363" s="31"/>
      <c r="D363" s="65"/>
      <c r="E363" s="65"/>
      <c r="F363" s="65"/>
      <c r="G363" s="65"/>
      <c r="H363" s="65"/>
    </row>
    <row r="364">
      <c r="A364" s="65"/>
      <c r="B364" s="65"/>
      <c r="C364" s="31"/>
      <c r="D364" s="65"/>
      <c r="E364" s="65"/>
      <c r="F364" s="65"/>
      <c r="G364" s="65"/>
      <c r="H364" s="65"/>
    </row>
    <row r="365">
      <c r="A365" s="65"/>
      <c r="B365" s="65"/>
      <c r="C365" s="31"/>
      <c r="D365" s="65"/>
      <c r="E365" s="65"/>
      <c r="F365" s="65"/>
      <c r="G365" s="65"/>
      <c r="H365" s="65"/>
    </row>
    <row r="366">
      <c r="A366" s="65"/>
      <c r="B366" s="65"/>
      <c r="C366" s="31"/>
      <c r="D366" s="65"/>
      <c r="E366" s="65"/>
      <c r="F366" s="65"/>
      <c r="G366" s="65"/>
      <c r="H366" s="65"/>
    </row>
    <row r="367">
      <c r="A367" s="65"/>
      <c r="B367" s="65"/>
      <c r="C367" s="31"/>
      <c r="D367" s="65"/>
      <c r="E367" s="65"/>
      <c r="F367" s="65"/>
      <c r="G367" s="65"/>
      <c r="H367" s="65"/>
    </row>
    <row r="368">
      <c r="A368" s="65"/>
      <c r="B368" s="65"/>
      <c r="C368" s="31"/>
      <c r="D368" s="65"/>
      <c r="E368" s="65"/>
      <c r="F368" s="65"/>
      <c r="G368" s="65"/>
      <c r="H368" s="65"/>
    </row>
    <row r="369">
      <c r="A369" s="65"/>
      <c r="B369" s="65"/>
      <c r="C369" s="31"/>
      <c r="D369" s="65"/>
      <c r="E369" s="65"/>
      <c r="F369" s="65"/>
      <c r="G369" s="65"/>
      <c r="H369" s="65"/>
    </row>
    <row r="370">
      <c r="A370" s="65"/>
      <c r="B370" s="65"/>
      <c r="C370" s="31"/>
      <c r="D370" s="65"/>
      <c r="E370" s="65"/>
      <c r="F370" s="65"/>
      <c r="G370" s="65"/>
      <c r="H370" s="65"/>
    </row>
    <row r="371">
      <c r="A371" s="65"/>
      <c r="B371" s="65"/>
      <c r="C371" s="31"/>
      <c r="D371" s="65"/>
      <c r="E371" s="65"/>
      <c r="F371" s="65"/>
      <c r="G371" s="65"/>
      <c r="H371" s="65"/>
    </row>
    <row r="372">
      <c r="A372" s="65"/>
      <c r="B372" s="65"/>
      <c r="C372" s="31"/>
      <c r="D372" s="65"/>
      <c r="E372" s="65"/>
      <c r="F372" s="65"/>
      <c r="G372" s="65"/>
      <c r="H372" s="65"/>
    </row>
    <row r="373">
      <c r="A373" s="65"/>
      <c r="B373" s="65"/>
      <c r="C373" s="31"/>
      <c r="D373" s="65"/>
      <c r="E373" s="65"/>
      <c r="F373" s="65"/>
      <c r="G373" s="65"/>
      <c r="H373" s="65"/>
    </row>
    <row r="374">
      <c r="A374" s="65"/>
      <c r="B374" s="65"/>
      <c r="C374" s="31"/>
      <c r="D374" s="65"/>
      <c r="E374" s="65"/>
      <c r="F374" s="65"/>
      <c r="G374" s="65"/>
      <c r="H374" s="65"/>
    </row>
    <row r="375">
      <c r="A375" s="65"/>
      <c r="B375" s="65"/>
      <c r="C375" s="31"/>
      <c r="D375" s="65"/>
      <c r="E375" s="65"/>
      <c r="F375" s="65"/>
      <c r="G375" s="65"/>
      <c r="H375" s="65"/>
    </row>
    <row r="376">
      <c r="A376" s="65"/>
      <c r="B376" s="65"/>
      <c r="C376" s="31"/>
      <c r="D376" s="65"/>
      <c r="E376" s="65"/>
      <c r="F376" s="65"/>
      <c r="G376" s="65"/>
      <c r="H376" s="65"/>
    </row>
    <row r="377">
      <c r="A377" s="65"/>
      <c r="B377" s="65"/>
      <c r="C377" s="31"/>
      <c r="D377" s="65"/>
      <c r="E377" s="65"/>
      <c r="F377" s="65"/>
      <c r="G377" s="65"/>
      <c r="H377" s="65"/>
    </row>
    <row r="378">
      <c r="A378" s="65"/>
      <c r="B378" s="65"/>
      <c r="C378" s="31"/>
      <c r="D378" s="65"/>
      <c r="E378" s="65"/>
      <c r="F378" s="65"/>
      <c r="G378" s="65"/>
      <c r="H378" s="65"/>
    </row>
    <row r="379">
      <c r="A379" s="65"/>
      <c r="B379" s="65"/>
      <c r="C379" s="31"/>
      <c r="D379" s="65"/>
      <c r="E379" s="65"/>
      <c r="F379" s="65"/>
      <c r="G379" s="65"/>
      <c r="H379" s="65"/>
    </row>
    <row r="380">
      <c r="A380" s="65"/>
      <c r="B380" s="65"/>
      <c r="C380" s="31"/>
      <c r="D380" s="65"/>
      <c r="E380" s="65"/>
      <c r="F380" s="65"/>
      <c r="G380" s="65"/>
      <c r="H380" s="65"/>
    </row>
    <row r="381">
      <c r="A381" s="65"/>
      <c r="B381" s="65"/>
      <c r="C381" s="31"/>
      <c r="D381" s="65"/>
      <c r="E381" s="65"/>
      <c r="F381" s="65"/>
      <c r="G381" s="65"/>
      <c r="H381" s="65"/>
    </row>
    <row r="382">
      <c r="A382" s="65"/>
      <c r="B382" s="65"/>
      <c r="C382" s="31"/>
      <c r="D382" s="65"/>
      <c r="E382" s="65"/>
      <c r="F382" s="65"/>
      <c r="G382" s="65"/>
      <c r="H382" s="65"/>
    </row>
    <row r="383">
      <c r="A383" s="65"/>
      <c r="B383" s="65"/>
      <c r="C383" s="31"/>
      <c r="D383" s="65"/>
      <c r="E383" s="65"/>
      <c r="F383" s="65"/>
      <c r="G383" s="65"/>
      <c r="H383" s="65"/>
    </row>
    <row r="384">
      <c r="A384" s="65"/>
      <c r="B384" s="65"/>
      <c r="C384" s="31"/>
      <c r="D384" s="65"/>
      <c r="E384" s="65"/>
      <c r="F384" s="65"/>
      <c r="G384" s="65"/>
      <c r="H384" s="65"/>
    </row>
    <row r="385">
      <c r="A385" s="65"/>
      <c r="B385" s="65"/>
      <c r="C385" s="31"/>
      <c r="D385" s="65"/>
      <c r="E385" s="65"/>
      <c r="F385" s="65"/>
      <c r="G385" s="65"/>
      <c r="H385" s="65"/>
    </row>
    <row r="386">
      <c r="A386" s="65"/>
      <c r="B386" s="65"/>
      <c r="C386" s="31"/>
      <c r="D386" s="65"/>
      <c r="E386" s="65"/>
      <c r="F386" s="65"/>
      <c r="G386" s="65"/>
      <c r="H386" s="65"/>
    </row>
    <row r="387">
      <c r="A387" s="65"/>
      <c r="B387" s="65"/>
      <c r="C387" s="31"/>
      <c r="D387" s="65"/>
      <c r="E387" s="65"/>
      <c r="F387" s="65"/>
      <c r="G387" s="65"/>
      <c r="H387" s="65"/>
    </row>
    <row r="388">
      <c r="A388" s="65"/>
      <c r="B388" s="65"/>
      <c r="C388" s="31"/>
      <c r="D388" s="65"/>
      <c r="E388" s="65"/>
      <c r="F388" s="65"/>
      <c r="G388" s="65"/>
      <c r="H388" s="65"/>
    </row>
    <row r="389">
      <c r="A389" s="65"/>
      <c r="B389" s="65"/>
      <c r="C389" s="31"/>
      <c r="D389" s="65"/>
      <c r="E389" s="65"/>
      <c r="F389" s="65"/>
      <c r="G389" s="65"/>
      <c r="H389" s="65"/>
    </row>
    <row r="390">
      <c r="A390" s="65"/>
      <c r="B390" s="65"/>
      <c r="C390" s="31"/>
      <c r="D390" s="65"/>
      <c r="E390" s="65"/>
      <c r="F390" s="65"/>
      <c r="G390" s="65"/>
      <c r="H390" s="65"/>
    </row>
    <row r="391">
      <c r="A391" s="65"/>
      <c r="B391" s="65"/>
      <c r="C391" s="31"/>
      <c r="D391" s="65"/>
      <c r="E391" s="65"/>
      <c r="F391" s="65"/>
      <c r="G391" s="65"/>
      <c r="H391" s="65"/>
    </row>
    <row r="392">
      <c r="A392" s="65"/>
      <c r="B392" s="65"/>
      <c r="C392" s="31"/>
      <c r="D392" s="65"/>
      <c r="E392" s="65"/>
      <c r="F392" s="65"/>
      <c r="G392" s="65"/>
      <c r="H392" s="65"/>
    </row>
    <row r="393">
      <c r="A393" s="65"/>
      <c r="B393" s="65"/>
      <c r="C393" s="31"/>
      <c r="D393" s="65"/>
      <c r="E393" s="65"/>
      <c r="F393" s="65"/>
      <c r="G393" s="65"/>
      <c r="H393" s="65"/>
    </row>
    <row r="394">
      <c r="A394" s="65"/>
      <c r="B394" s="65"/>
      <c r="C394" s="31"/>
      <c r="D394" s="65"/>
      <c r="E394" s="65"/>
      <c r="F394" s="65"/>
      <c r="G394" s="65"/>
      <c r="H394" s="65"/>
    </row>
    <row r="395">
      <c r="A395" s="65"/>
      <c r="B395" s="65"/>
      <c r="C395" s="31"/>
      <c r="D395" s="65"/>
      <c r="E395" s="65"/>
      <c r="F395" s="65"/>
      <c r="G395" s="65"/>
      <c r="H395" s="65"/>
    </row>
    <row r="396">
      <c r="A396" s="65"/>
      <c r="B396" s="65"/>
      <c r="C396" s="31"/>
      <c r="D396" s="65"/>
      <c r="E396" s="65"/>
      <c r="F396" s="65"/>
      <c r="G396" s="65"/>
      <c r="H396" s="65"/>
    </row>
    <row r="397">
      <c r="A397" s="65"/>
      <c r="B397" s="65"/>
      <c r="C397" s="31"/>
      <c r="D397" s="65"/>
      <c r="E397" s="65"/>
      <c r="F397" s="65"/>
      <c r="G397" s="65"/>
      <c r="H397" s="65"/>
    </row>
    <row r="398">
      <c r="A398" s="65"/>
      <c r="B398" s="65"/>
      <c r="C398" s="31"/>
      <c r="D398" s="65"/>
      <c r="E398" s="65"/>
      <c r="F398" s="65"/>
      <c r="G398" s="65"/>
      <c r="H398" s="65"/>
    </row>
    <row r="399">
      <c r="A399" s="65"/>
      <c r="B399" s="65"/>
      <c r="C399" s="31"/>
      <c r="D399" s="65"/>
      <c r="E399" s="65"/>
      <c r="F399" s="65"/>
      <c r="G399" s="65"/>
      <c r="H399" s="65"/>
    </row>
    <row r="400">
      <c r="A400" s="65"/>
      <c r="B400" s="65"/>
      <c r="C400" s="31"/>
      <c r="D400" s="65"/>
      <c r="E400" s="65"/>
      <c r="F400" s="65"/>
      <c r="G400" s="65"/>
      <c r="H400" s="65"/>
    </row>
    <row r="401">
      <c r="A401" s="65"/>
      <c r="B401" s="65"/>
      <c r="C401" s="31"/>
      <c r="D401" s="65"/>
      <c r="E401" s="65"/>
      <c r="F401" s="65"/>
      <c r="G401" s="65"/>
      <c r="H401" s="65"/>
    </row>
    <row r="402">
      <c r="A402" s="65"/>
      <c r="B402" s="65"/>
      <c r="C402" s="31"/>
      <c r="D402" s="65"/>
      <c r="E402" s="65"/>
      <c r="F402" s="65"/>
      <c r="G402" s="65"/>
      <c r="H402" s="65"/>
    </row>
    <row r="403">
      <c r="A403" s="65"/>
      <c r="B403" s="65"/>
      <c r="C403" s="31"/>
      <c r="D403" s="65"/>
      <c r="E403" s="65"/>
      <c r="F403" s="65"/>
      <c r="G403" s="65"/>
      <c r="H403" s="65"/>
    </row>
    <row r="404">
      <c r="A404" s="65"/>
      <c r="B404" s="65"/>
      <c r="C404" s="31"/>
      <c r="D404" s="65"/>
      <c r="E404" s="65"/>
      <c r="F404" s="65"/>
      <c r="G404" s="65"/>
      <c r="H404" s="65"/>
    </row>
    <row r="405">
      <c r="A405" s="65"/>
      <c r="B405" s="65"/>
      <c r="C405" s="31"/>
      <c r="D405" s="65"/>
      <c r="E405" s="65"/>
      <c r="F405" s="65"/>
      <c r="G405" s="65"/>
      <c r="H405" s="65"/>
    </row>
    <row r="406">
      <c r="A406" s="65"/>
      <c r="B406" s="65"/>
      <c r="C406" s="31"/>
      <c r="D406" s="65"/>
      <c r="E406" s="65"/>
      <c r="F406" s="65"/>
      <c r="G406" s="65"/>
      <c r="H406" s="65"/>
    </row>
    <row r="407">
      <c r="A407" s="65"/>
      <c r="B407" s="65"/>
      <c r="C407" s="31"/>
      <c r="D407" s="65"/>
      <c r="E407" s="65"/>
      <c r="F407" s="65"/>
      <c r="G407" s="65"/>
      <c r="H407" s="65"/>
    </row>
    <row r="408">
      <c r="A408" s="65"/>
      <c r="B408" s="65"/>
      <c r="C408" s="31"/>
      <c r="D408" s="65"/>
      <c r="E408" s="65"/>
      <c r="F408" s="65"/>
      <c r="G408" s="65"/>
      <c r="H408" s="65"/>
    </row>
    <row r="409">
      <c r="A409" s="65"/>
      <c r="B409" s="65"/>
      <c r="C409" s="31"/>
      <c r="D409" s="65"/>
      <c r="E409" s="65"/>
      <c r="F409" s="65"/>
      <c r="G409" s="65"/>
      <c r="H409" s="65"/>
    </row>
    <row r="410">
      <c r="A410" s="65"/>
      <c r="B410" s="65"/>
      <c r="C410" s="31"/>
      <c r="D410" s="65"/>
      <c r="E410" s="65"/>
      <c r="F410" s="65"/>
      <c r="G410" s="65"/>
      <c r="H410" s="65"/>
    </row>
    <row r="411">
      <c r="A411" s="65"/>
      <c r="B411" s="65"/>
      <c r="C411" s="31"/>
      <c r="D411" s="65"/>
      <c r="E411" s="65"/>
      <c r="F411" s="65"/>
      <c r="G411" s="65"/>
      <c r="H411" s="65"/>
    </row>
    <row r="412">
      <c r="A412" s="65"/>
      <c r="B412" s="65"/>
      <c r="C412" s="31"/>
      <c r="D412" s="65"/>
      <c r="E412" s="65"/>
      <c r="F412" s="65"/>
      <c r="G412" s="65"/>
      <c r="H412" s="65"/>
    </row>
    <row r="413">
      <c r="A413" s="65"/>
      <c r="B413" s="65"/>
      <c r="C413" s="31"/>
      <c r="D413" s="65"/>
      <c r="E413" s="65"/>
      <c r="F413" s="65"/>
      <c r="G413" s="65"/>
      <c r="H413" s="65"/>
    </row>
    <row r="414">
      <c r="A414" s="65"/>
      <c r="B414" s="65"/>
      <c r="C414" s="31"/>
      <c r="D414" s="65"/>
      <c r="E414" s="65"/>
      <c r="F414" s="65"/>
      <c r="G414" s="65"/>
      <c r="H414" s="65"/>
    </row>
    <row r="415">
      <c r="A415" s="65"/>
      <c r="B415" s="65"/>
      <c r="C415" s="31"/>
      <c r="D415" s="65"/>
      <c r="E415" s="65"/>
      <c r="F415" s="65"/>
      <c r="G415" s="65"/>
      <c r="H415" s="65"/>
    </row>
    <row r="416">
      <c r="A416" s="65"/>
      <c r="B416" s="65"/>
      <c r="C416" s="31"/>
      <c r="D416" s="65"/>
      <c r="E416" s="65"/>
      <c r="F416" s="65"/>
      <c r="G416" s="65"/>
      <c r="H416" s="65"/>
    </row>
    <row r="417">
      <c r="A417" s="65"/>
      <c r="B417" s="65"/>
      <c r="C417" s="31"/>
      <c r="D417" s="65"/>
      <c r="E417" s="65"/>
      <c r="F417" s="65"/>
      <c r="G417" s="65"/>
      <c r="H417" s="65"/>
    </row>
    <row r="418">
      <c r="A418" s="65"/>
      <c r="B418" s="65"/>
      <c r="C418" s="31"/>
      <c r="D418" s="65"/>
      <c r="E418" s="65"/>
      <c r="F418" s="65"/>
      <c r="G418" s="65"/>
      <c r="H418" s="65"/>
    </row>
    <row r="419">
      <c r="A419" s="65"/>
      <c r="B419" s="65"/>
      <c r="C419" s="31"/>
      <c r="D419" s="65"/>
      <c r="E419" s="65"/>
      <c r="F419" s="65"/>
      <c r="G419" s="65"/>
      <c r="H419" s="65"/>
    </row>
    <row r="420">
      <c r="A420" s="65"/>
      <c r="B420" s="65"/>
      <c r="C420" s="31"/>
      <c r="D420" s="65"/>
      <c r="E420" s="65"/>
      <c r="F420" s="65"/>
      <c r="G420" s="65"/>
      <c r="H420" s="65"/>
    </row>
    <row r="421">
      <c r="A421" s="65"/>
      <c r="B421" s="65"/>
      <c r="C421" s="31"/>
      <c r="D421" s="65"/>
      <c r="E421" s="65"/>
      <c r="F421" s="65"/>
      <c r="G421" s="65"/>
      <c r="H421" s="65"/>
    </row>
    <row r="422">
      <c r="A422" s="65"/>
      <c r="B422" s="65"/>
      <c r="C422" s="31"/>
      <c r="D422" s="65"/>
      <c r="E422" s="65"/>
      <c r="F422" s="65"/>
      <c r="G422" s="65"/>
      <c r="H422" s="65"/>
    </row>
    <row r="423">
      <c r="A423" s="65"/>
      <c r="B423" s="65"/>
      <c r="C423" s="31"/>
      <c r="D423" s="65"/>
      <c r="E423" s="65"/>
      <c r="F423" s="65"/>
      <c r="G423" s="65"/>
      <c r="H423" s="65"/>
    </row>
    <row r="424">
      <c r="A424" s="65"/>
      <c r="B424" s="65"/>
      <c r="C424" s="31"/>
      <c r="D424" s="65"/>
      <c r="E424" s="65"/>
      <c r="F424" s="65"/>
      <c r="G424" s="65"/>
      <c r="H424" s="65"/>
    </row>
    <row r="425">
      <c r="A425" s="65"/>
      <c r="B425" s="65"/>
      <c r="C425" s="31"/>
      <c r="D425" s="65"/>
      <c r="E425" s="65"/>
      <c r="F425" s="65"/>
      <c r="G425" s="65"/>
      <c r="H425" s="65"/>
    </row>
    <row r="426">
      <c r="A426" s="65"/>
      <c r="B426" s="65"/>
      <c r="C426" s="31"/>
      <c r="D426" s="65"/>
      <c r="E426" s="65"/>
      <c r="F426" s="65"/>
      <c r="G426" s="65"/>
      <c r="H426" s="65"/>
    </row>
    <row r="427">
      <c r="A427" s="65"/>
      <c r="B427" s="65"/>
      <c r="C427" s="31"/>
      <c r="D427" s="65"/>
      <c r="E427" s="65"/>
      <c r="F427" s="65"/>
      <c r="G427" s="65"/>
      <c r="H427" s="65"/>
    </row>
    <row r="428">
      <c r="A428" s="65"/>
      <c r="B428" s="65"/>
      <c r="C428" s="31"/>
      <c r="D428" s="65"/>
      <c r="E428" s="65"/>
      <c r="F428" s="65"/>
      <c r="G428" s="65"/>
      <c r="H428" s="65"/>
    </row>
    <row r="429">
      <c r="A429" s="65"/>
      <c r="B429" s="65"/>
      <c r="C429" s="31"/>
      <c r="D429" s="65"/>
      <c r="E429" s="65"/>
      <c r="F429" s="65"/>
      <c r="G429" s="65"/>
      <c r="H429" s="65"/>
    </row>
    <row r="430">
      <c r="A430" s="65"/>
      <c r="B430" s="65"/>
      <c r="C430" s="31"/>
      <c r="D430" s="65"/>
      <c r="E430" s="65"/>
      <c r="F430" s="65"/>
      <c r="G430" s="65"/>
      <c r="H430" s="65"/>
    </row>
    <row r="431">
      <c r="A431" s="65"/>
      <c r="B431" s="65"/>
      <c r="C431" s="31"/>
      <c r="D431" s="65"/>
      <c r="E431" s="65"/>
      <c r="F431" s="65"/>
      <c r="G431" s="65"/>
      <c r="H431" s="65"/>
    </row>
    <row r="432">
      <c r="A432" s="65"/>
      <c r="B432" s="65"/>
      <c r="C432" s="31"/>
      <c r="D432" s="65"/>
      <c r="E432" s="65"/>
      <c r="F432" s="65"/>
      <c r="G432" s="65"/>
      <c r="H432" s="65"/>
    </row>
    <row r="433">
      <c r="A433" s="65"/>
      <c r="B433" s="65"/>
      <c r="C433" s="31"/>
      <c r="D433" s="65"/>
      <c r="E433" s="65"/>
      <c r="F433" s="65"/>
      <c r="G433" s="65"/>
      <c r="H433" s="65"/>
    </row>
    <row r="434">
      <c r="A434" s="65"/>
      <c r="B434" s="65"/>
      <c r="C434" s="31"/>
      <c r="D434" s="65"/>
      <c r="E434" s="65"/>
      <c r="F434" s="65"/>
      <c r="G434" s="65"/>
      <c r="H434" s="65"/>
    </row>
    <row r="435">
      <c r="A435" s="65"/>
      <c r="B435" s="65"/>
      <c r="C435" s="31"/>
      <c r="D435" s="65"/>
      <c r="E435" s="65"/>
      <c r="F435" s="65"/>
      <c r="G435" s="65"/>
      <c r="H435" s="65"/>
    </row>
    <row r="436">
      <c r="A436" s="65"/>
      <c r="B436" s="65"/>
      <c r="C436" s="31"/>
      <c r="D436" s="65"/>
      <c r="E436" s="65"/>
      <c r="F436" s="65"/>
      <c r="G436" s="65"/>
      <c r="H436" s="65"/>
    </row>
    <row r="437">
      <c r="A437" s="65"/>
      <c r="B437" s="65"/>
      <c r="C437" s="31"/>
      <c r="D437" s="65"/>
      <c r="E437" s="65"/>
      <c r="F437" s="65"/>
      <c r="G437" s="65"/>
      <c r="H437" s="65"/>
    </row>
    <row r="438">
      <c r="A438" s="65"/>
      <c r="B438" s="65"/>
      <c r="C438" s="31"/>
      <c r="D438" s="65"/>
      <c r="E438" s="65"/>
      <c r="F438" s="65"/>
      <c r="G438" s="65"/>
      <c r="H438" s="65"/>
    </row>
    <row r="439">
      <c r="A439" s="65"/>
      <c r="B439" s="65"/>
      <c r="C439" s="31"/>
      <c r="D439" s="65"/>
      <c r="E439" s="65"/>
      <c r="F439" s="65"/>
      <c r="G439" s="65"/>
      <c r="H439" s="65"/>
    </row>
    <row r="440">
      <c r="A440" s="65"/>
      <c r="B440" s="65"/>
      <c r="C440" s="31"/>
      <c r="D440" s="65"/>
      <c r="E440" s="65"/>
      <c r="F440" s="65"/>
      <c r="G440" s="65"/>
      <c r="H440" s="65"/>
    </row>
    <row r="441">
      <c r="A441" s="65"/>
      <c r="B441" s="65"/>
      <c r="C441" s="31"/>
      <c r="D441" s="65"/>
      <c r="E441" s="65"/>
      <c r="F441" s="65"/>
      <c r="G441" s="65"/>
      <c r="H441" s="65"/>
    </row>
    <row r="442">
      <c r="A442" s="65"/>
      <c r="B442" s="65"/>
      <c r="C442" s="31"/>
      <c r="D442" s="65"/>
      <c r="E442" s="65"/>
      <c r="F442" s="65"/>
      <c r="G442" s="65"/>
      <c r="H442" s="65"/>
    </row>
    <row r="443">
      <c r="A443" s="65"/>
      <c r="B443" s="65"/>
      <c r="C443" s="31"/>
      <c r="D443" s="65"/>
      <c r="E443" s="65"/>
      <c r="F443" s="65"/>
      <c r="G443" s="65"/>
      <c r="H443" s="65"/>
    </row>
    <row r="444">
      <c r="A444" s="65"/>
      <c r="B444" s="65"/>
      <c r="C444" s="31"/>
      <c r="D444" s="65"/>
      <c r="E444" s="65"/>
      <c r="F444" s="65"/>
      <c r="G444" s="65"/>
      <c r="H444" s="65"/>
    </row>
    <row r="445">
      <c r="A445" s="65"/>
      <c r="B445" s="65"/>
      <c r="C445" s="31"/>
      <c r="D445" s="65"/>
      <c r="E445" s="65"/>
      <c r="F445" s="65"/>
      <c r="G445" s="65"/>
      <c r="H445" s="65"/>
    </row>
    <row r="446">
      <c r="A446" s="65"/>
      <c r="B446" s="65"/>
      <c r="C446" s="31"/>
      <c r="D446" s="65"/>
      <c r="E446" s="65"/>
      <c r="F446" s="65"/>
      <c r="G446" s="65"/>
      <c r="H446" s="65"/>
    </row>
    <row r="447">
      <c r="A447" s="65"/>
      <c r="B447" s="65"/>
      <c r="C447" s="31"/>
      <c r="D447" s="65"/>
      <c r="E447" s="65"/>
      <c r="F447" s="65"/>
      <c r="G447" s="65"/>
      <c r="H447" s="65"/>
    </row>
    <row r="448">
      <c r="A448" s="65"/>
      <c r="B448" s="65"/>
      <c r="C448" s="31"/>
      <c r="D448" s="65"/>
      <c r="E448" s="65"/>
      <c r="F448" s="65"/>
      <c r="G448" s="65"/>
      <c r="H448" s="65"/>
    </row>
    <row r="449">
      <c r="A449" s="65"/>
      <c r="B449" s="65"/>
      <c r="C449" s="31"/>
      <c r="D449" s="65"/>
      <c r="E449" s="65"/>
      <c r="F449" s="65"/>
      <c r="G449" s="65"/>
      <c r="H449" s="65"/>
    </row>
    <row r="450">
      <c r="A450" s="65"/>
      <c r="B450" s="65"/>
      <c r="C450" s="31"/>
      <c r="D450" s="65"/>
      <c r="E450" s="65"/>
      <c r="F450" s="65"/>
      <c r="G450" s="65"/>
      <c r="H450" s="65"/>
    </row>
    <row r="451">
      <c r="A451" s="65"/>
      <c r="B451" s="65"/>
      <c r="C451" s="31"/>
      <c r="D451" s="65"/>
      <c r="E451" s="65"/>
      <c r="F451" s="65"/>
      <c r="G451" s="65"/>
      <c r="H451" s="65"/>
    </row>
    <row r="452">
      <c r="A452" s="65"/>
      <c r="B452" s="65"/>
      <c r="C452" s="31"/>
      <c r="D452" s="65"/>
      <c r="E452" s="65"/>
      <c r="F452" s="65"/>
      <c r="G452" s="65"/>
      <c r="H452" s="65"/>
    </row>
    <row r="453">
      <c r="A453" s="65"/>
      <c r="B453" s="65"/>
      <c r="C453" s="31"/>
      <c r="D453" s="65"/>
      <c r="E453" s="65"/>
      <c r="F453" s="65"/>
      <c r="G453" s="65"/>
      <c r="H453" s="65"/>
    </row>
    <row r="454">
      <c r="A454" s="65"/>
      <c r="B454" s="65"/>
      <c r="C454" s="31"/>
      <c r="D454" s="65"/>
      <c r="E454" s="65"/>
      <c r="F454" s="65"/>
      <c r="G454" s="65"/>
      <c r="H454" s="65"/>
    </row>
    <row r="455">
      <c r="A455" s="65"/>
      <c r="B455" s="65"/>
      <c r="C455" s="31"/>
      <c r="D455" s="65"/>
      <c r="E455" s="65"/>
      <c r="F455" s="65"/>
      <c r="G455" s="65"/>
      <c r="H455" s="65"/>
    </row>
    <row r="456">
      <c r="A456" s="65"/>
      <c r="B456" s="65"/>
      <c r="C456" s="31"/>
      <c r="D456" s="65"/>
      <c r="E456" s="65"/>
      <c r="F456" s="65"/>
      <c r="G456" s="65"/>
      <c r="H456" s="65"/>
    </row>
    <row r="457">
      <c r="A457" s="65"/>
      <c r="B457" s="65"/>
      <c r="C457" s="31"/>
      <c r="D457" s="65"/>
      <c r="E457" s="65"/>
      <c r="F457" s="65"/>
      <c r="G457" s="65"/>
      <c r="H457" s="65"/>
    </row>
    <row r="458">
      <c r="A458" s="65"/>
      <c r="B458" s="65"/>
      <c r="C458" s="31"/>
      <c r="D458" s="65"/>
      <c r="E458" s="65"/>
      <c r="F458" s="65"/>
      <c r="G458" s="65"/>
      <c r="H458" s="65"/>
    </row>
    <row r="459">
      <c r="A459" s="65"/>
      <c r="B459" s="65"/>
      <c r="C459" s="31"/>
      <c r="D459" s="65"/>
      <c r="E459" s="65"/>
      <c r="F459" s="65"/>
      <c r="G459" s="65"/>
      <c r="H459" s="65"/>
    </row>
    <row r="460">
      <c r="A460" s="65"/>
      <c r="B460" s="65"/>
      <c r="C460" s="31"/>
      <c r="D460" s="65"/>
      <c r="E460" s="65"/>
      <c r="F460" s="65"/>
      <c r="G460" s="65"/>
      <c r="H460" s="65"/>
    </row>
    <row r="461">
      <c r="A461" s="65"/>
      <c r="B461" s="65"/>
      <c r="C461" s="31"/>
      <c r="D461" s="65"/>
      <c r="E461" s="65"/>
      <c r="F461" s="65"/>
      <c r="G461" s="65"/>
      <c r="H461" s="65"/>
    </row>
    <row r="462">
      <c r="A462" s="65"/>
      <c r="B462" s="65"/>
      <c r="C462" s="31"/>
      <c r="D462" s="65"/>
      <c r="E462" s="65"/>
      <c r="F462" s="65"/>
      <c r="G462" s="65"/>
      <c r="H462" s="65"/>
    </row>
    <row r="463">
      <c r="A463" s="65"/>
      <c r="B463" s="65"/>
      <c r="C463" s="31"/>
      <c r="D463" s="65"/>
      <c r="E463" s="65"/>
      <c r="F463" s="65"/>
      <c r="G463" s="65"/>
      <c r="H463" s="65"/>
    </row>
    <row r="464">
      <c r="A464" s="65"/>
      <c r="B464" s="65"/>
      <c r="C464" s="31"/>
      <c r="D464" s="65"/>
      <c r="E464" s="65"/>
      <c r="F464" s="65"/>
      <c r="G464" s="65"/>
      <c r="H464" s="65"/>
    </row>
    <row r="465">
      <c r="A465" s="65"/>
      <c r="B465" s="65"/>
      <c r="C465" s="31"/>
      <c r="D465" s="65"/>
      <c r="E465" s="65"/>
      <c r="F465" s="65"/>
      <c r="G465" s="65"/>
      <c r="H465" s="65"/>
    </row>
    <row r="466">
      <c r="A466" s="65"/>
      <c r="B466" s="65"/>
      <c r="C466" s="31"/>
      <c r="D466" s="65"/>
      <c r="E466" s="65"/>
      <c r="F466" s="65"/>
      <c r="G466" s="65"/>
      <c r="H466" s="65"/>
    </row>
    <row r="467">
      <c r="A467" s="65"/>
      <c r="B467" s="65"/>
      <c r="C467" s="31"/>
      <c r="D467" s="65"/>
      <c r="E467" s="65"/>
      <c r="F467" s="65"/>
      <c r="G467" s="65"/>
      <c r="H467" s="65"/>
    </row>
    <row r="468">
      <c r="A468" s="65"/>
      <c r="B468" s="65"/>
      <c r="C468" s="31"/>
      <c r="D468" s="65"/>
      <c r="E468" s="65"/>
      <c r="F468" s="65"/>
      <c r="G468" s="65"/>
      <c r="H468" s="65"/>
    </row>
    <row r="469">
      <c r="A469" s="65"/>
      <c r="B469" s="65"/>
      <c r="C469" s="31"/>
      <c r="D469" s="65"/>
      <c r="E469" s="65"/>
      <c r="F469" s="65"/>
      <c r="G469" s="65"/>
      <c r="H469" s="65"/>
    </row>
    <row r="470">
      <c r="A470" s="65"/>
      <c r="B470" s="65"/>
      <c r="C470" s="31"/>
      <c r="D470" s="65"/>
      <c r="E470" s="65"/>
      <c r="F470" s="65"/>
      <c r="G470" s="65"/>
      <c r="H470" s="65"/>
    </row>
    <row r="471">
      <c r="A471" s="65"/>
      <c r="B471" s="65"/>
      <c r="C471" s="31"/>
      <c r="D471" s="65"/>
      <c r="E471" s="65"/>
      <c r="F471" s="65"/>
      <c r="G471" s="65"/>
      <c r="H471" s="65"/>
    </row>
    <row r="472">
      <c r="A472" s="65"/>
      <c r="B472" s="65"/>
      <c r="C472" s="31"/>
      <c r="D472" s="65"/>
      <c r="E472" s="65"/>
      <c r="F472" s="65"/>
      <c r="G472" s="65"/>
      <c r="H472" s="65"/>
    </row>
    <row r="473">
      <c r="A473" s="65"/>
      <c r="B473" s="65"/>
      <c r="C473" s="31"/>
      <c r="D473" s="65"/>
      <c r="E473" s="65"/>
      <c r="F473" s="65"/>
      <c r="G473" s="65"/>
      <c r="H473" s="65"/>
    </row>
    <row r="474">
      <c r="A474" s="65"/>
      <c r="B474" s="65"/>
      <c r="C474" s="31"/>
      <c r="D474" s="65"/>
      <c r="E474" s="65"/>
      <c r="F474" s="65"/>
      <c r="G474" s="65"/>
      <c r="H474" s="65"/>
    </row>
    <row r="475">
      <c r="A475" s="65"/>
      <c r="B475" s="65"/>
      <c r="C475" s="31"/>
      <c r="D475" s="65"/>
      <c r="E475" s="65"/>
      <c r="F475" s="65"/>
      <c r="G475" s="65"/>
      <c r="H475" s="65"/>
    </row>
    <row r="476">
      <c r="A476" s="65"/>
      <c r="B476" s="65"/>
      <c r="C476" s="31"/>
      <c r="D476" s="65"/>
      <c r="E476" s="65"/>
      <c r="F476" s="65"/>
      <c r="G476" s="65"/>
      <c r="H476" s="65"/>
    </row>
    <row r="477">
      <c r="A477" s="65"/>
      <c r="B477" s="65"/>
      <c r="C477" s="31"/>
      <c r="D477" s="65"/>
      <c r="E477" s="65"/>
      <c r="F477" s="65"/>
      <c r="G477" s="65"/>
      <c r="H477" s="65"/>
    </row>
    <row r="478">
      <c r="A478" s="65"/>
      <c r="B478" s="65"/>
      <c r="C478" s="31"/>
      <c r="D478" s="65"/>
      <c r="E478" s="65"/>
      <c r="F478" s="65"/>
      <c r="G478" s="65"/>
      <c r="H478" s="65"/>
    </row>
    <row r="479">
      <c r="A479" s="65"/>
      <c r="B479" s="65"/>
      <c r="C479" s="31"/>
      <c r="D479" s="65"/>
      <c r="E479" s="65"/>
      <c r="F479" s="65"/>
      <c r="G479" s="65"/>
      <c r="H479" s="65"/>
    </row>
    <row r="480">
      <c r="A480" s="65"/>
      <c r="B480" s="65"/>
      <c r="C480" s="31"/>
      <c r="D480" s="65"/>
      <c r="E480" s="65"/>
      <c r="F480" s="65"/>
      <c r="G480" s="65"/>
      <c r="H480" s="65"/>
    </row>
    <row r="481">
      <c r="A481" s="65"/>
      <c r="B481" s="65"/>
      <c r="C481" s="31"/>
      <c r="D481" s="65"/>
      <c r="E481" s="65"/>
      <c r="F481" s="65"/>
      <c r="G481" s="65"/>
      <c r="H481" s="65"/>
    </row>
    <row r="482">
      <c r="A482" s="65"/>
      <c r="B482" s="65"/>
      <c r="C482" s="31"/>
      <c r="D482" s="65"/>
      <c r="E482" s="65"/>
      <c r="F482" s="65"/>
      <c r="G482" s="65"/>
      <c r="H482" s="65"/>
    </row>
    <row r="483">
      <c r="A483" s="65"/>
      <c r="B483" s="65"/>
      <c r="C483" s="31"/>
      <c r="D483" s="65"/>
      <c r="E483" s="65"/>
      <c r="F483" s="65"/>
      <c r="G483" s="65"/>
      <c r="H483" s="65"/>
    </row>
    <row r="484">
      <c r="A484" s="65"/>
      <c r="B484" s="65"/>
      <c r="C484" s="31"/>
      <c r="D484" s="65"/>
      <c r="E484" s="65"/>
      <c r="F484" s="65"/>
      <c r="G484" s="65"/>
      <c r="H484" s="65"/>
    </row>
    <row r="485">
      <c r="A485" s="65"/>
      <c r="B485" s="65"/>
      <c r="C485" s="31"/>
      <c r="D485" s="65"/>
      <c r="E485" s="65"/>
      <c r="F485" s="65"/>
      <c r="G485" s="65"/>
      <c r="H485" s="65"/>
    </row>
    <row r="486">
      <c r="A486" s="65"/>
      <c r="B486" s="65"/>
      <c r="C486" s="31"/>
      <c r="D486" s="65"/>
      <c r="E486" s="65"/>
      <c r="F486" s="65"/>
      <c r="G486" s="65"/>
      <c r="H486" s="65"/>
    </row>
    <row r="487">
      <c r="A487" s="65"/>
      <c r="B487" s="65"/>
      <c r="C487" s="31"/>
      <c r="D487" s="65"/>
      <c r="E487" s="65"/>
      <c r="F487" s="65"/>
      <c r="G487" s="65"/>
      <c r="H487" s="65"/>
    </row>
    <row r="488">
      <c r="A488" s="65"/>
      <c r="B488" s="65"/>
      <c r="C488" s="31"/>
      <c r="D488" s="65"/>
      <c r="E488" s="65"/>
      <c r="F488" s="65"/>
      <c r="G488" s="65"/>
      <c r="H488" s="65"/>
    </row>
    <row r="489">
      <c r="A489" s="65"/>
      <c r="B489" s="65"/>
      <c r="C489" s="31"/>
      <c r="D489" s="65"/>
      <c r="E489" s="65"/>
      <c r="F489" s="65"/>
      <c r="G489" s="65"/>
      <c r="H489" s="65"/>
    </row>
    <row r="490">
      <c r="A490" s="65"/>
      <c r="B490" s="65"/>
      <c r="C490" s="31"/>
      <c r="D490" s="65"/>
      <c r="E490" s="65"/>
      <c r="F490" s="65"/>
      <c r="G490" s="65"/>
      <c r="H490" s="65"/>
    </row>
    <row r="491">
      <c r="A491" s="65"/>
      <c r="B491" s="65"/>
      <c r="C491" s="31"/>
      <c r="D491" s="65"/>
      <c r="E491" s="65"/>
      <c r="F491" s="65"/>
      <c r="G491" s="65"/>
      <c r="H491" s="65"/>
    </row>
    <row r="492">
      <c r="A492" s="65"/>
      <c r="B492" s="65"/>
      <c r="C492" s="31"/>
      <c r="D492" s="65"/>
      <c r="E492" s="65"/>
      <c r="F492" s="65"/>
      <c r="G492" s="65"/>
      <c r="H492" s="65"/>
    </row>
    <row r="493">
      <c r="A493" s="65"/>
      <c r="B493" s="65"/>
      <c r="C493" s="31"/>
      <c r="D493" s="65"/>
      <c r="E493" s="65"/>
      <c r="F493" s="65"/>
      <c r="G493" s="65"/>
      <c r="H493" s="65"/>
    </row>
    <row r="494">
      <c r="A494" s="65"/>
      <c r="B494" s="65"/>
      <c r="C494" s="31"/>
      <c r="D494" s="65"/>
      <c r="E494" s="65"/>
      <c r="F494" s="65"/>
      <c r="G494" s="65"/>
      <c r="H494" s="65"/>
    </row>
    <row r="495">
      <c r="A495" s="65"/>
      <c r="B495" s="65"/>
      <c r="C495" s="31"/>
      <c r="D495" s="65"/>
      <c r="E495" s="65"/>
      <c r="F495" s="65"/>
      <c r="G495" s="65"/>
      <c r="H495" s="65"/>
    </row>
    <row r="496">
      <c r="A496" s="65"/>
      <c r="B496" s="65"/>
      <c r="C496" s="31"/>
      <c r="D496" s="65"/>
      <c r="E496" s="65"/>
      <c r="F496" s="65"/>
      <c r="G496" s="65"/>
      <c r="H496" s="65"/>
    </row>
    <row r="497">
      <c r="A497" s="65"/>
      <c r="B497" s="65"/>
      <c r="C497" s="31"/>
      <c r="D497" s="65"/>
      <c r="E497" s="65"/>
      <c r="F497" s="65"/>
      <c r="G497" s="65"/>
      <c r="H497" s="65"/>
    </row>
    <row r="498">
      <c r="A498" s="65"/>
      <c r="B498" s="65"/>
      <c r="C498" s="31"/>
      <c r="D498" s="65"/>
      <c r="E498" s="65"/>
      <c r="F498" s="65"/>
      <c r="G498" s="65"/>
      <c r="H498" s="65"/>
    </row>
    <row r="499">
      <c r="A499" s="65"/>
      <c r="B499" s="65"/>
      <c r="C499" s="31"/>
      <c r="D499" s="65"/>
      <c r="E499" s="65"/>
      <c r="F499" s="65"/>
      <c r="G499" s="65"/>
      <c r="H499" s="65"/>
    </row>
    <row r="500">
      <c r="A500" s="65"/>
      <c r="B500" s="65"/>
      <c r="C500" s="31"/>
      <c r="D500" s="65"/>
      <c r="E500" s="65"/>
      <c r="F500" s="65"/>
      <c r="G500" s="65"/>
      <c r="H500" s="65"/>
    </row>
    <row r="501">
      <c r="A501" s="65"/>
      <c r="B501" s="65"/>
      <c r="C501" s="31"/>
      <c r="D501" s="65"/>
      <c r="E501" s="65"/>
      <c r="F501" s="65"/>
      <c r="G501" s="65"/>
      <c r="H501" s="65"/>
    </row>
    <row r="502">
      <c r="A502" s="65"/>
      <c r="B502" s="65"/>
      <c r="C502" s="31"/>
      <c r="D502" s="65"/>
      <c r="E502" s="65"/>
      <c r="F502" s="65"/>
      <c r="G502" s="65"/>
      <c r="H502" s="65"/>
    </row>
    <row r="503">
      <c r="A503" s="65"/>
      <c r="B503" s="65"/>
      <c r="C503" s="31"/>
      <c r="D503" s="65"/>
      <c r="E503" s="65"/>
      <c r="F503" s="65"/>
      <c r="G503" s="65"/>
      <c r="H503" s="65"/>
    </row>
    <row r="504">
      <c r="A504" s="65"/>
      <c r="B504" s="65"/>
      <c r="C504" s="31"/>
      <c r="D504" s="65"/>
      <c r="E504" s="65"/>
      <c r="F504" s="65"/>
      <c r="G504" s="65"/>
      <c r="H504" s="65"/>
    </row>
    <row r="505">
      <c r="A505" s="65"/>
      <c r="B505" s="65"/>
      <c r="C505" s="31"/>
      <c r="D505" s="65"/>
      <c r="E505" s="65"/>
      <c r="F505" s="65"/>
      <c r="G505" s="65"/>
      <c r="H505" s="65"/>
    </row>
    <row r="506">
      <c r="A506" s="65"/>
      <c r="B506" s="65"/>
      <c r="C506" s="31"/>
      <c r="D506" s="65"/>
      <c r="E506" s="65"/>
      <c r="F506" s="65"/>
      <c r="G506" s="65"/>
      <c r="H506" s="65"/>
    </row>
    <row r="507">
      <c r="A507" s="65"/>
      <c r="B507" s="65"/>
      <c r="C507" s="31"/>
      <c r="D507" s="65"/>
      <c r="E507" s="65"/>
      <c r="F507" s="65"/>
      <c r="G507" s="65"/>
      <c r="H507" s="65"/>
    </row>
    <row r="508">
      <c r="A508" s="65"/>
      <c r="B508" s="65"/>
      <c r="C508" s="31"/>
      <c r="D508" s="65"/>
      <c r="E508" s="65"/>
      <c r="F508" s="65"/>
      <c r="G508" s="65"/>
      <c r="H508" s="65"/>
    </row>
    <row r="509">
      <c r="A509" s="65"/>
      <c r="B509" s="65"/>
      <c r="C509" s="31"/>
      <c r="D509" s="65"/>
      <c r="E509" s="65"/>
      <c r="F509" s="65"/>
      <c r="G509" s="65"/>
      <c r="H509" s="65"/>
    </row>
    <row r="510">
      <c r="A510" s="65"/>
      <c r="B510" s="65"/>
      <c r="C510" s="31"/>
      <c r="D510" s="65"/>
      <c r="E510" s="65"/>
      <c r="F510" s="65"/>
      <c r="G510" s="65"/>
      <c r="H510" s="65"/>
    </row>
    <row r="511">
      <c r="A511" s="65"/>
      <c r="B511" s="65"/>
      <c r="C511" s="31"/>
      <c r="D511" s="65"/>
      <c r="E511" s="65"/>
      <c r="F511" s="65"/>
      <c r="G511" s="65"/>
      <c r="H511" s="65"/>
    </row>
    <row r="512">
      <c r="A512" s="65"/>
      <c r="B512" s="65"/>
      <c r="C512" s="31"/>
      <c r="D512" s="65"/>
      <c r="E512" s="65"/>
      <c r="F512" s="65"/>
      <c r="G512" s="65"/>
      <c r="H512" s="65"/>
    </row>
    <row r="513">
      <c r="A513" s="65"/>
      <c r="B513" s="65"/>
      <c r="C513" s="31"/>
      <c r="D513" s="65"/>
      <c r="E513" s="65"/>
      <c r="F513" s="65"/>
      <c r="G513" s="65"/>
      <c r="H513" s="65"/>
    </row>
    <row r="514">
      <c r="A514" s="65"/>
      <c r="B514" s="65"/>
      <c r="C514" s="31"/>
      <c r="D514" s="65"/>
      <c r="E514" s="65"/>
      <c r="F514" s="65"/>
      <c r="G514" s="65"/>
      <c r="H514" s="65"/>
    </row>
    <row r="515">
      <c r="A515" s="65"/>
      <c r="B515" s="65"/>
      <c r="C515" s="31"/>
      <c r="D515" s="65"/>
      <c r="E515" s="65"/>
      <c r="F515" s="65"/>
      <c r="G515" s="65"/>
      <c r="H515" s="65"/>
    </row>
    <row r="516">
      <c r="A516" s="65"/>
      <c r="B516" s="65"/>
      <c r="C516" s="31"/>
      <c r="D516" s="65"/>
      <c r="E516" s="65"/>
      <c r="F516" s="65"/>
      <c r="G516" s="65"/>
      <c r="H516" s="65"/>
    </row>
    <row r="517">
      <c r="A517" s="65"/>
      <c r="B517" s="65"/>
      <c r="C517" s="31"/>
      <c r="D517" s="65"/>
      <c r="E517" s="65"/>
      <c r="F517" s="65"/>
      <c r="G517" s="65"/>
      <c r="H517" s="65"/>
    </row>
    <row r="518">
      <c r="A518" s="65"/>
      <c r="B518" s="65"/>
      <c r="C518" s="31"/>
      <c r="D518" s="65"/>
      <c r="E518" s="65"/>
      <c r="F518" s="65"/>
      <c r="G518" s="65"/>
      <c r="H518" s="65"/>
    </row>
    <row r="519">
      <c r="A519" s="65"/>
      <c r="B519" s="65"/>
      <c r="C519" s="31"/>
      <c r="D519" s="65"/>
      <c r="E519" s="65"/>
      <c r="F519" s="65"/>
      <c r="G519" s="65"/>
      <c r="H519" s="65"/>
    </row>
    <row r="520">
      <c r="A520" s="65"/>
      <c r="B520" s="65"/>
      <c r="C520" s="31"/>
      <c r="D520" s="65"/>
      <c r="E520" s="65"/>
      <c r="F520" s="65"/>
      <c r="G520" s="65"/>
      <c r="H520" s="65"/>
    </row>
    <row r="521">
      <c r="A521" s="65"/>
      <c r="B521" s="65"/>
      <c r="C521" s="31"/>
      <c r="D521" s="65"/>
      <c r="E521" s="65"/>
      <c r="F521" s="65"/>
      <c r="G521" s="65"/>
      <c r="H521" s="65"/>
    </row>
    <row r="522">
      <c r="A522" s="65"/>
      <c r="B522" s="65"/>
      <c r="C522" s="31"/>
      <c r="D522" s="65"/>
      <c r="E522" s="65"/>
      <c r="F522" s="65"/>
      <c r="G522" s="65"/>
      <c r="H522" s="65"/>
    </row>
    <row r="523">
      <c r="A523" s="65"/>
      <c r="B523" s="65"/>
      <c r="C523" s="31"/>
      <c r="D523" s="65"/>
      <c r="E523" s="65"/>
      <c r="F523" s="65"/>
      <c r="G523" s="65"/>
      <c r="H523" s="65"/>
    </row>
    <row r="524">
      <c r="A524" s="65"/>
      <c r="B524" s="65"/>
      <c r="C524" s="31"/>
      <c r="D524" s="65"/>
      <c r="E524" s="65"/>
      <c r="F524" s="65"/>
      <c r="G524" s="65"/>
      <c r="H524" s="65"/>
    </row>
    <row r="525">
      <c r="A525" s="65"/>
      <c r="B525" s="65"/>
      <c r="C525" s="31"/>
      <c r="D525" s="65"/>
      <c r="E525" s="65"/>
      <c r="F525" s="65"/>
      <c r="G525" s="65"/>
      <c r="H525" s="65"/>
    </row>
    <row r="526">
      <c r="A526" s="65"/>
      <c r="B526" s="65"/>
      <c r="C526" s="31"/>
      <c r="D526" s="65"/>
      <c r="E526" s="65"/>
      <c r="F526" s="65"/>
      <c r="G526" s="65"/>
      <c r="H526" s="65"/>
    </row>
    <row r="527">
      <c r="A527" s="65"/>
      <c r="B527" s="65"/>
      <c r="C527" s="31"/>
      <c r="D527" s="65"/>
      <c r="E527" s="65"/>
      <c r="F527" s="65"/>
      <c r="G527" s="65"/>
      <c r="H527" s="65"/>
    </row>
    <row r="528">
      <c r="A528" s="65"/>
      <c r="B528" s="65"/>
      <c r="C528" s="31"/>
      <c r="D528" s="65"/>
      <c r="E528" s="65"/>
      <c r="F528" s="65"/>
      <c r="G528" s="65"/>
      <c r="H528" s="65"/>
    </row>
    <row r="529">
      <c r="A529" s="65"/>
      <c r="B529" s="65"/>
      <c r="C529" s="31"/>
      <c r="D529" s="65"/>
      <c r="E529" s="65"/>
      <c r="F529" s="65"/>
      <c r="G529" s="65"/>
      <c r="H529" s="65"/>
    </row>
    <row r="530">
      <c r="A530" s="65"/>
      <c r="B530" s="65"/>
      <c r="C530" s="31"/>
      <c r="D530" s="65"/>
      <c r="E530" s="65"/>
      <c r="F530" s="65"/>
      <c r="G530" s="65"/>
      <c r="H530" s="65"/>
    </row>
    <row r="531">
      <c r="A531" s="65"/>
      <c r="B531" s="65"/>
      <c r="C531" s="31"/>
      <c r="D531" s="65"/>
      <c r="E531" s="65"/>
      <c r="F531" s="65"/>
      <c r="G531" s="65"/>
      <c r="H531" s="65"/>
    </row>
    <row r="532">
      <c r="A532" s="65"/>
      <c r="B532" s="65"/>
      <c r="C532" s="31"/>
      <c r="D532" s="65"/>
      <c r="E532" s="65"/>
      <c r="F532" s="65"/>
      <c r="G532" s="65"/>
      <c r="H532" s="65"/>
    </row>
    <row r="533">
      <c r="A533" s="65"/>
      <c r="B533" s="65"/>
      <c r="C533" s="31"/>
      <c r="D533" s="65"/>
      <c r="E533" s="65"/>
      <c r="F533" s="65"/>
      <c r="G533" s="65"/>
      <c r="H533" s="65"/>
    </row>
    <row r="534">
      <c r="A534" s="65"/>
      <c r="B534" s="65"/>
      <c r="C534" s="31"/>
      <c r="D534" s="65"/>
      <c r="E534" s="65"/>
      <c r="F534" s="65"/>
      <c r="G534" s="65"/>
      <c r="H534" s="65"/>
    </row>
    <row r="535">
      <c r="A535" s="65"/>
      <c r="B535" s="65"/>
      <c r="C535" s="31"/>
      <c r="D535" s="65"/>
      <c r="E535" s="65"/>
      <c r="F535" s="65"/>
      <c r="G535" s="65"/>
      <c r="H535" s="65"/>
    </row>
    <row r="536">
      <c r="A536" s="65"/>
      <c r="B536" s="65"/>
      <c r="C536" s="31"/>
      <c r="D536" s="65"/>
      <c r="E536" s="65"/>
      <c r="F536" s="65"/>
      <c r="G536" s="65"/>
      <c r="H536" s="65"/>
    </row>
    <row r="537">
      <c r="A537" s="65"/>
      <c r="B537" s="65"/>
      <c r="C537" s="31"/>
      <c r="D537" s="65"/>
      <c r="E537" s="65"/>
      <c r="F537" s="65"/>
      <c r="G537" s="65"/>
      <c r="H537" s="65"/>
    </row>
    <row r="538">
      <c r="A538" s="65"/>
      <c r="B538" s="65"/>
      <c r="C538" s="31"/>
      <c r="D538" s="65"/>
      <c r="E538" s="65"/>
      <c r="F538" s="65"/>
      <c r="G538" s="65"/>
      <c r="H538" s="65"/>
    </row>
    <row r="539">
      <c r="A539" s="65"/>
      <c r="B539" s="65"/>
      <c r="C539" s="31"/>
      <c r="D539" s="65"/>
      <c r="E539" s="65"/>
      <c r="F539" s="65"/>
      <c r="G539" s="65"/>
      <c r="H539" s="65"/>
    </row>
    <row r="540">
      <c r="A540" s="65"/>
      <c r="B540" s="65"/>
      <c r="C540" s="31"/>
      <c r="D540" s="65"/>
      <c r="E540" s="65"/>
      <c r="F540" s="65"/>
      <c r="G540" s="65"/>
      <c r="H540" s="65"/>
    </row>
    <row r="541">
      <c r="A541" s="65"/>
      <c r="B541" s="65"/>
      <c r="C541" s="31"/>
      <c r="D541" s="65"/>
      <c r="E541" s="65"/>
      <c r="F541" s="65"/>
      <c r="G541" s="65"/>
      <c r="H541" s="65"/>
    </row>
    <row r="542">
      <c r="A542" s="65"/>
      <c r="B542" s="65"/>
      <c r="C542" s="31"/>
      <c r="D542" s="65"/>
      <c r="E542" s="65"/>
      <c r="F542" s="65"/>
      <c r="G542" s="65"/>
      <c r="H542" s="65"/>
    </row>
    <row r="543">
      <c r="A543" s="65"/>
      <c r="B543" s="65"/>
      <c r="C543" s="31"/>
      <c r="D543" s="65"/>
      <c r="E543" s="65"/>
      <c r="F543" s="65"/>
      <c r="G543" s="65"/>
      <c r="H543" s="65"/>
    </row>
    <row r="544">
      <c r="A544" s="65"/>
      <c r="B544" s="65"/>
      <c r="C544" s="31"/>
      <c r="D544" s="65"/>
      <c r="E544" s="65"/>
      <c r="F544" s="65"/>
      <c r="G544" s="65"/>
      <c r="H544" s="65"/>
    </row>
    <row r="545">
      <c r="A545" s="65"/>
      <c r="B545" s="65"/>
      <c r="C545" s="31"/>
      <c r="D545" s="65"/>
      <c r="E545" s="65"/>
      <c r="F545" s="65"/>
      <c r="G545" s="65"/>
      <c r="H545" s="65"/>
    </row>
    <row r="546">
      <c r="A546" s="65"/>
      <c r="B546" s="65"/>
      <c r="C546" s="31"/>
      <c r="D546" s="65"/>
      <c r="E546" s="65"/>
      <c r="F546" s="65"/>
      <c r="G546" s="65"/>
      <c r="H546" s="65"/>
    </row>
    <row r="547">
      <c r="A547" s="65"/>
      <c r="B547" s="65"/>
      <c r="C547" s="31"/>
      <c r="D547" s="65"/>
      <c r="E547" s="65"/>
      <c r="F547" s="65"/>
      <c r="G547" s="65"/>
      <c r="H547" s="65"/>
    </row>
    <row r="548">
      <c r="A548" s="65"/>
      <c r="B548" s="65"/>
      <c r="C548" s="31"/>
      <c r="D548" s="65"/>
      <c r="E548" s="65"/>
      <c r="F548" s="65"/>
      <c r="G548" s="65"/>
      <c r="H548" s="65"/>
    </row>
    <row r="549">
      <c r="A549" s="65"/>
      <c r="B549" s="65"/>
      <c r="C549" s="31"/>
      <c r="D549" s="65"/>
      <c r="E549" s="65"/>
      <c r="F549" s="65"/>
      <c r="G549" s="65"/>
      <c r="H549" s="65"/>
    </row>
    <row r="550">
      <c r="A550" s="65"/>
      <c r="B550" s="65"/>
      <c r="C550" s="31"/>
      <c r="D550" s="65"/>
      <c r="E550" s="65"/>
      <c r="F550" s="65"/>
      <c r="G550" s="65"/>
      <c r="H550" s="65"/>
    </row>
    <row r="551">
      <c r="A551" s="65"/>
      <c r="B551" s="65"/>
      <c r="C551" s="31"/>
      <c r="D551" s="65"/>
      <c r="E551" s="65"/>
      <c r="F551" s="65"/>
      <c r="G551" s="65"/>
      <c r="H551" s="65"/>
    </row>
    <row r="552">
      <c r="A552" s="65"/>
      <c r="B552" s="65"/>
      <c r="C552" s="31"/>
      <c r="D552" s="65"/>
      <c r="E552" s="65"/>
      <c r="F552" s="65"/>
      <c r="G552" s="65"/>
      <c r="H552" s="65"/>
    </row>
    <row r="553">
      <c r="A553" s="65"/>
      <c r="B553" s="65"/>
      <c r="C553" s="31"/>
      <c r="D553" s="65"/>
      <c r="E553" s="65"/>
      <c r="F553" s="65"/>
      <c r="G553" s="65"/>
      <c r="H553" s="65"/>
    </row>
    <row r="554">
      <c r="A554" s="65"/>
      <c r="B554" s="65"/>
      <c r="C554" s="31"/>
      <c r="D554" s="65"/>
      <c r="E554" s="65"/>
      <c r="F554" s="65"/>
      <c r="G554" s="65"/>
      <c r="H554" s="65"/>
    </row>
    <row r="555">
      <c r="A555" s="65"/>
      <c r="B555" s="65"/>
      <c r="C555" s="31"/>
      <c r="D555" s="65"/>
      <c r="E555" s="65"/>
      <c r="F555" s="65"/>
      <c r="G555" s="65"/>
      <c r="H555" s="65"/>
    </row>
    <row r="556">
      <c r="A556" s="65"/>
      <c r="B556" s="65"/>
      <c r="C556" s="31"/>
      <c r="D556" s="65"/>
      <c r="E556" s="65"/>
      <c r="F556" s="65"/>
      <c r="G556" s="65"/>
      <c r="H556" s="65"/>
    </row>
    <row r="557">
      <c r="A557" s="65"/>
      <c r="B557" s="65"/>
      <c r="C557" s="31"/>
      <c r="D557" s="65"/>
      <c r="E557" s="65"/>
      <c r="F557" s="65"/>
      <c r="G557" s="65"/>
      <c r="H557" s="65"/>
    </row>
    <row r="558">
      <c r="A558" s="65"/>
      <c r="B558" s="65"/>
      <c r="C558" s="31"/>
      <c r="D558" s="65"/>
      <c r="E558" s="65"/>
      <c r="F558" s="65"/>
      <c r="G558" s="65"/>
      <c r="H558" s="65"/>
    </row>
    <row r="559">
      <c r="A559" s="65"/>
      <c r="B559" s="65"/>
      <c r="C559" s="31"/>
      <c r="D559" s="65"/>
      <c r="E559" s="65"/>
      <c r="F559" s="65"/>
      <c r="G559" s="65"/>
      <c r="H559" s="65"/>
    </row>
    <row r="560">
      <c r="A560" s="65"/>
      <c r="B560" s="65"/>
      <c r="C560" s="31"/>
      <c r="D560" s="65"/>
      <c r="E560" s="65"/>
      <c r="F560" s="65"/>
      <c r="G560" s="65"/>
      <c r="H560" s="65"/>
    </row>
    <row r="561">
      <c r="A561" s="65"/>
      <c r="B561" s="65"/>
      <c r="C561" s="31"/>
      <c r="D561" s="65"/>
      <c r="E561" s="65"/>
      <c r="F561" s="65"/>
      <c r="G561" s="65"/>
      <c r="H561" s="65"/>
    </row>
    <row r="562">
      <c r="A562" s="65"/>
      <c r="B562" s="65"/>
      <c r="C562" s="31"/>
      <c r="D562" s="65"/>
      <c r="E562" s="65"/>
      <c r="F562" s="65"/>
      <c r="G562" s="65"/>
      <c r="H562" s="65"/>
    </row>
    <row r="563">
      <c r="A563" s="65"/>
      <c r="B563" s="65"/>
      <c r="C563" s="31"/>
      <c r="D563" s="65"/>
      <c r="E563" s="65"/>
      <c r="F563" s="65"/>
      <c r="G563" s="65"/>
      <c r="H563" s="65"/>
    </row>
    <row r="564">
      <c r="A564" s="65"/>
      <c r="B564" s="65"/>
      <c r="C564" s="31"/>
      <c r="D564" s="65"/>
      <c r="E564" s="65"/>
      <c r="F564" s="65"/>
      <c r="G564" s="65"/>
      <c r="H564" s="65"/>
    </row>
    <row r="565">
      <c r="A565" s="65"/>
      <c r="B565" s="65"/>
      <c r="C565" s="31"/>
      <c r="D565" s="65"/>
      <c r="E565" s="65"/>
      <c r="F565" s="65"/>
      <c r="G565" s="65"/>
      <c r="H565" s="65"/>
    </row>
    <row r="566">
      <c r="A566" s="65"/>
      <c r="B566" s="65"/>
      <c r="C566" s="31"/>
      <c r="D566" s="65"/>
      <c r="E566" s="65"/>
      <c r="F566" s="65"/>
      <c r="G566" s="65"/>
      <c r="H566" s="65"/>
    </row>
    <row r="567">
      <c r="A567" s="65"/>
      <c r="B567" s="65"/>
      <c r="C567" s="31"/>
      <c r="D567" s="65"/>
      <c r="E567" s="65"/>
      <c r="F567" s="65"/>
      <c r="G567" s="65"/>
      <c r="H567" s="65"/>
    </row>
    <row r="568">
      <c r="A568" s="65"/>
      <c r="B568" s="65"/>
      <c r="C568" s="31"/>
      <c r="D568" s="65"/>
      <c r="E568" s="65"/>
      <c r="F568" s="65"/>
      <c r="G568" s="65"/>
      <c r="H568" s="65"/>
    </row>
    <row r="569">
      <c r="A569" s="65"/>
      <c r="B569" s="65"/>
      <c r="C569" s="31"/>
      <c r="D569" s="65"/>
      <c r="E569" s="65"/>
      <c r="F569" s="65"/>
      <c r="G569" s="65"/>
      <c r="H569" s="65"/>
    </row>
    <row r="570">
      <c r="A570" s="65"/>
      <c r="B570" s="65"/>
      <c r="C570" s="31"/>
      <c r="D570" s="65"/>
      <c r="E570" s="65"/>
      <c r="F570" s="65"/>
      <c r="G570" s="65"/>
      <c r="H570" s="65"/>
    </row>
    <row r="571">
      <c r="A571" s="65"/>
      <c r="B571" s="65"/>
      <c r="C571" s="31"/>
      <c r="D571" s="65"/>
      <c r="E571" s="65"/>
      <c r="F571" s="65"/>
      <c r="G571" s="65"/>
      <c r="H571" s="65"/>
    </row>
    <row r="572">
      <c r="A572" s="65"/>
      <c r="B572" s="65"/>
      <c r="C572" s="31"/>
      <c r="D572" s="65"/>
      <c r="E572" s="65"/>
      <c r="F572" s="65"/>
      <c r="G572" s="65"/>
      <c r="H572" s="65"/>
    </row>
    <row r="573">
      <c r="A573" s="65"/>
      <c r="B573" s="65"/>
      <c r="C573" s="31"/>
      <c r="D573" s="65"/>
      <c r="E573" s="65"/>
      <c r="F573" s="65"/>
      <c r="G573" s="65"/>
      <c r="H573" s="65"/>
    </row>
    <row r="574">
      <c r="A574" s="65"/>
      <c r="B574" s="65"/>
      <c r="C574" s="31"/>
      <c r="D574" s="65"/>
      <c r="E574" s="65"/>
      <c r="F574" s="65"/>
      <c r="G574" s="65"/>
      <c r="H574" s="65"/>
    </row>
    <row r="575">
      <c r="A575" s="65"/>
      <c r="B575" s="65"/>
      <c r="C575" s="31"/>
      <c r="D575" s="65"/>
      <c r="E575" s="65"/>
      <c r="F575" s="65"/>
      <c r="G575" s="65"/>
      <c r="H575" s="65"/>
    </row>
    <row r="576">
      <c r="A576" s="65"/>
      <c r="B576" s="65"/>
      <c r="C576" s="31"/>
      <c r="D576" s="65"/>
      <c r="E576" s="65"/>
      <c r="F576" s="65"/>
      <c r="G576" s="65"/>
      <c r="H576" s="65"/>
    </row>
    <row r="577">
      <c r="A577" s="65"/>
      <c r="B577" s="65"/>
      <c r="C577" s="31"/>
      <c r="D577" s="65"/>
      <c r="E577" s="65"/>
      <c r="F577" s="65"/>
      <c r="G577" s="65"/>
      <c r="H577" s="65"/>
    </row>
    <row r="578">
      <c r="A578" s="65"/>
      <c r="B578" s="65"/>
      <c r="C578" s="31"/>
      <c r="D578" s="65"/>
      <c r="E578" s="65"/>
      <c r="F578" s="65"/>
      <c r="G578" s="65"/>
      <c r="H578" s="65"/>
    </row>
    <row r="579">
      <c r="A579" s="65"/>
      <c r="B579" s="65"/>
      <c r="C579" s="31"/>
      <c r="D579" s="65"/>
      <c r="E579" s="65"/>
      <c r="F579" s="65"/>
      <c r="G579" s="65"/>
      <c r="H579" s="65"/>
    </row>
    <row r="580">
      <c r="A580" s="65"/>
      <c r="B580" s="65"/>
      <c r="C580" s="31"/>
      <c r="D580" s="65"/>
      <c r="E580" s="65"/>
      <c r="F580" s="65"/>
      <c r="G580" s="65"/>
      <c r="H580" s="65"/>
    </row>
    <row r="581">
      <c r="A581" s="65"/>
      <c r="B581" s="65"/>
      <c r="C581" s="31"/>
      <c r="D581" s="65"/>
      <c r="E581" s="65"/>
      <c r="F581" s="65"/>
      <c r="G581" s="65"/>
      <c r="H581" s="65"/>
    </row>
    <row r="582">
      <c r="A582" s="65"/>
      <c r="B582" s="65"/>
      <c r="C582" s="31"/>
      <c r="D582" s="65"/>
      <c r="E582" s="65"/>
      <c r="F582" s="65"/>
      <c r="G582" s="65"/>
      <c r="H582" s="65"/>
    </row>
    <row r="583">
      <c r="A583" s="65"/>
      <c r="B583" s="65"/>
      <c r="C583" s="31"/>
      <c r="D583" s="65"/>
      <c r="E583" s="65"/>
      <c r="F583" s="65"/>
      <c r="G583" s="65"/>
      <c r="H583" s="65"/>
    </row>
    <row r="584">
      <c r="A584" s="65"/>
      <c r="B584" s="65"/>
      <c r="C584" s="31"/>
      <c r="D584" s="65"/>
      <c r="E584" s="65"/>
      <c r="F584" s="65"/>
      <c r="G584" s="65"/>
      <c r="H584" s="65"/>
    </row>
    <row r="585">
      <c r="A585" s="65"/>
      <c r="B585" s="65"/>
      <c r="C585" s="31"/>
      <c r="D585" s="65"/>
      <c r="E585" s="65"/>
      <c r="F585" s="65"/>
      <c r="G585" s="65"/>
      <c r="H585" s="65"/>
    </row>
    <row r="586">
      <c r="A586" s="65"/>
      <c r="B586" s="65"/>
      <c r="C586" s="31"/>
      <c r="D586" s="65"/>
      <c r="E586" s="65"/>
      <c r="F586" s="65"/>
      <c r="G586" s="65"/>
      <c r="H586" s="65"/>
    </row>
    <row r="587">
      <c r="A587" s="65"/>
      <c r="B587" s="65"/>
      <c r="C587" s="31"/>
      <c r="D587" s="65"/>
      <c r="E587" s="65"/>
      <c r="F587" s="65"/>
      <c r="G587" s="65"/>
      <c r="H587" s="65"/>
    </row>
    <row r="588">
      <c r="A588" s="65"/>
      <c r="B588" s="65"/>
      <c r="C588" s="31"/>
      <c r="D588" s="65"/>
      <c r="E588" s="65"/>
      <c r="F588" s="65"/>
      <c r="G588" s="65"/>
      <c r="H588" s="65"/>
    </row>
    <row r="589">
      <c r="A589" s="65"/>
      <c r="B589" s="65"/>
      <c r="C589" s="31"/>
      <c r="D589" s="65"/>
      <c r="E589" s="65"/>
      <c r="F589" s="65"/>
      <c r="G589" s="65"/>
      <c r="H589" s="65"/>
    </row>
    <row r="590">
      <c r="A590" s="65"/>
      <c r="B590" s="65"/>
      <c r="C590" s="31"/>
      <c r="D590" s="65"/>
      <c r="E590" s="65"/>
      <c r="F590" s="65"/>
      <c r="G590" s="65"/>
      <c r="H590" s="65"/>
    </row>
    <row r="591">
      <c r="A591" s="65"/>
      <c r="B591" s="65"/>
      <c r="C591" s="31"/>
      <c r="D591" s="65"/>
      <c r="E591" s="65"/>
      <c r="F591" s="65"/>
      <c r="G591" s="65"/>
      <c r="H591" s="65"/>
    </row>
    <row r="592">
      <c r="A592" s="65"/>
      <c r="B592" s="65"/>
      <c r="C592" s="31"/>
      <c r="D592" s="65"/>
      <c r="E592" s="65"/>
      <c r="F592" s="65"/>
      <c r="G592" s="65"/>
      <c r="H592" s="65"/>
    </row>
    <row r="593">
      <c r="A593" s="65"/>
      <c r="B593" s="65"/>
      <c r="C593" s="31"/>
      <c r="D593" s="65"/>
      <c r="E593" s="65"/>
      <c r="F593" s="65"/>
      <c r="G593" s="65"/>
      <c r="H593" s="65"/>
    </row>
    <row r="594">
      <c r="A594" s="65"/>
      <c r="B594" s="65"/>
      <c r="C594" s="31"/>
      <c r="D594" s="65"/>
      <c r="E594" s="65"/>
      <c r="F594" s="65"/>
      <c r="G594" s="65"/>
      <c r="H594" s="65"/>
    </row>
    <row r="595">
      <c r="A595" s="65"/>
      <c r="B595" s="65"/>
      <c r="C595" s="31"/>
      <c r="D595" s="65"/>
      <c r="E595" s="65"/>
      <c r="F595" s="65"/>
      <c r="G595" s="65"/>
      <c r="H595" s="65"/>
    </row>
    <row r="596">
      <c r="A596" s="65"/>
      <c r="B596" s="65"/>
      <c r="C596" s="31"/>
      <c r="D596" s="65"/>
      <c r="E596" s="65"/>
      <c r="F596" s="65"/>
      <c r="G596" s="65"/>
      <c r="H596" s="65"/>
    </row>
    <row r="597">
      <c r="A597" s="65"/>
      <c r="B597" s="65"/>
      <c r="C597" s="31"/>
      <c r="D597" s="65"/>
      <c r="E597" s="65"/>
      <c r="F597" s="65"/>
      <c r="G597" s="65"/>
      <c r="H597" s="65"/>
    </row>
    <row r="598">
      <c r="A598" s="65"/>
      <c r="B598" s="65"/>
      <c r="C598" s="31"/>
      <c r="D598" s="65"/>
      <c r="E598" s="65"/>
      <c r="F598" s="65"/>
      <c r="G598" s="65"/>
      <c r="H598" s="65"/>
    </row>
    <row r="599">
      <c r="A599" s="65"/>
      <c r="B599" s="65"/>
      <c r="C599" s="31"/>
      <c r="D599" s="65"/>
      <c r="E599" s="65"/>
      <c r="F599" s="65"/>
      <c r="G599" s="65"/>
      <c r="H599" s="65"/>
    </row>
    <row r="600">
      <c r="A600" s="65"/>
      <c r="B600" s="65"/>
      <c r="C600" s="31"/>
      <c r="D600" s="65"/>
      <c r="E600" s="65"/>
      <c r="F600" s="65"/>
      <c r="G600" s="65"/>
      <c r="H600" s="65"/>
    </row>
    <row r="601">
      <c r="A601" s="65"/>
      <c r="B601" s="65"/>
      <c r="C601" s="31"/>
      <c r="D601" s="65"/>
      <c r="E601" s="65"/>
      <c r="F601" s="65"/>
      <c r="G601" s="65"/>
      <c r="H601" s="65"/>
    </row>
    <row r="602">
      <c r="A602" s="65"/>
      <c r="B602" s="65"/>
      <c r="C602" s="31"/>
      <c r="D602" s="65"/>
      <c r="E602" s="65"/>
      <c r="F602" s="65"/>
      <c r="G602" s="65"/>
      <c r="H602" s="65"/>
    </row>
    <row r="603">
      <c r="A603" s="65"/>
      <c r="B603" s="65"/>
      <c r="C603" s="31"/>
      <c r="D603" s="65"/>
      <c r="E603" s="65"/>
      <c r="F603" s="65"/>
      <c r="G603" s="65"/>
      <c r="H603" s="65"/>
    </row>
    <row r="604">
      <c r="A604" s="65"/>
      <c r="B604" s="65"/>
      <c r="C604" s="31"/>
      <c r="D604" s="65"/>
      <c r="E604" s="65"/>
      <c r="F604" s="65"/>
      <c r="G604" s="65"/>
      <c r="H604" s="65"/>
    </row>
    <row r="605">
      <c r="A605" s="65"/>
      <c r="B605" s="65"/>
      <c r="C605" s="31"/>
      <c r="D605" s="65"/>
      <c r="E605" s="65"/>
      <c r="F605" s="65"/>
      <c r="G605" s="65"/>
      <c r="H605" s="65"/>
    </row>
    <row r="606">
      <c r="A606" s="65"/>
      <c r="B606" s="65"/>
      <c r="C606" s="31"/>
      <c r="D606" s="65"/>
      <c r="E606" s="65"/>
      <c r="F606" s="65"/>
      <c r="G606" s="65"/>
      <c r="H606" s="65"/>
    </row>
    <row r="607">
      <c r="A607" s="65"/>
      <c r="B607" s="65"/>
      <c r="C607" s="31"/>
      <c r="D607" s="65"/>
      <c r="E607" s="65"/>
      <c r="F607" s="65"/>
      <c r="G607" s="65"/>
      <c r="H607" s="65"/>
    </row>
    <row r="608">
      <c r="A608" s="65"/>
      <c r="B608" s="65"/>
      <c r="C608" s="31"/>
      <c r="D608" s="65"/>
      <c r="E608" s="65"/>
      <c r="F608" s="65"/>
      <c r="G608" s="65"/>
      <c r="H608" s="65"/>
    </row>
    <row r="609">
      <c r="A609" s="65"/>
      <c r="B609" s="65"/>
      <c r="C609" s="31"/>
      <c r="D609" s="65"/>
      <c r="E609" s="65"/>
      <c r="F609" s="65"/>
      <c r="G609" s="65"/>
      <c r="H609" s="65"/>
    </row>
    <row r="610">
      <c r="A610" s="65"/>
      <c r="B610" s="65"/>
      <c r="C610" s="31"/>
      <c r="D610" s="65"/>
      <c r="E610" s="65"/>
      <c r="F610" s="65"/>
      <c r="G610" s="65"/>
      <c r="H610" s="65"/>
    </row>
    <row r="611">
      <c r="A611" s="65"/>
      <c r="B611" s="65"/>
      <c r="C611" s="31"/>
      <c r="D611" s="65"/>
      <c r="E611" s="65"/>
      <c r="F611" s="65"/>
      <c r="G611" s="65"/>
      <c r="H611" s="65"/>
    </row>
    <row r="612">
      <c r="A612" s="65"/>
      <c r="B612" s="65"/>
      <c r="C612" s="31"/>
      <c r="D612" s="65"/>
      <c r="E612" s="65"/>
      <c r="F612" s="65"/>
      <c r="G612" s="65"/>
      <c r="H612" s="65"/>
    </row>
    <row r="613">
      <c r="A613" s="65"/>
      <c r="B613" s="65"/>
      <c r="C613" s="31"/>
      <c r="D613" s="65"/>
      <c r="E613" s="65"/>
      <c r="F613" s="65"/>
      <c r="G613" s="65"/>
      <c r="H613" s="65"/>
    </row>
    <row r="614">
      <c r="A614" s="65"/>
      <c r="B614" s="65"/>
      <c r="C614" s="31"/>
      <c r="D614" s="65"/>
      <c r="E614" s="65"/>
      <c r="F614" s="65"/>
      <c r="G614" s="65"/>
      <c r="H614" s="65"/>
    </row>
    <row r="615">
      <c r="A615" s="65"/>
      <c r="B615" s="65"/>
      <c r="C615" s="31"/>
      <c r="D615" s="65"/>
      <c r="E615" s="65"/>
      <c r="F615" s="65"/>
      <c r="G615" s="65"/>
      <c r="H615" s="65"/>
    </row>
    <row r="616">
      <c r="A616" s="65"/>
      <c r="B616" s="65"/>
      <c r="C616" s="31"/>
      <c r="D616" s="65"/>
      <c r="E616" s="65"/>
      <c r="F616" s="65"/>
      <c r="G616" s="65"/>
      <c r="H616" s="65"/>
    </row>
    <row r="617">
      <c r="A617" s="65"/>
      <c r="B617" s="65"/>
      <c r="C617" s="31"/>
      <c r="D617" s="65"/>
      <c r="E617" s="65"/>
      <c r="F617" s="65"/>
      <c r="G617" s="65"/>
      <c r="H617" s="65"/>
    </row>
    <row r="618">
      <c r="A618" s="65"/>
      <c r="B618" s="65"/>
      <c r="C618" s="31"/>
      <c r="D618" s="65"/>
      <c r="E618" s="65"/>
      <c r="F618" s="65"/>
      <c r="G618" s="65"/>
      <c r="H618" s="65"/>
    </row>
    <row r="619">
      <c r="A619" s="65"/>
      <c r="B619" s="65"/>
      <c r="C619" s="31"/>
      <c r="D619" s="65"/>
      <c r="E619" s="65"/>
      <c r="F619" s="65"/>
      <c r="G619" s="65"/>
      <c r="H619" s="65"/>
    </row>
    <row r="620">
      <c r="A620" s="65"/>
      <c r="B620" s="65"/>
      <c r="C620" s="31"/>
      <c r="D620" s="65"/>
      <c r="E620" s="65"/>
      <c r="F620" s="65"/>
      <c r="G620" s="65"/>
      <c r="H620" s="65"/>
    </row>
    <row r="621">
      <c r="A621" s="65"/>
      <c r="B621" s="65"/>
      <c r="C621" s="31"/>
      <c r="D621" s="65"/>
      <c r="E621" s="65"/>
      <c r="F621" s="65"/>
      <c r="G621" s="65"/>
      <c r="H621" s="65"/>
    </row>
    <row r="622">
      <c r="A622" s="65"/>
      <c r="B622" s="65"/>
      <c r="C622" s="31"/>
      <c r="D622" s="65"/>
      <c r="E622" s="65"/>
      <c r="F622" s="65"/>
      <c r="G622" s="65"/>
      <c r="H622" s="65"/>
    </row>
    <row r="623">
      <c r="A623" s="65"/>
      <c r="B623" s="65"/>
      <c r="C623" s="31"/>
      <c r="D623" s="65"/>
      <c r="E623" s="65"/>
      <c r="F623" s="65"/>
      <c r="G623" s="65"/>
      <c r="H623" s="65"/>
    </row>
    <row r="624">
      <c r="A624" s="65"/>
      <c r="B624" s="65"/>
      <c r="C624" s="31"/>
      <c r="D624" s="65"/>
      <c r="E624" s="65"/>
      <c r="F624" s="65"/>
      <c r="G624" s="65"/>
      <c r="H624" s="65"/>
    </row>
    <row r="625">
      <c r="A625" s="65"/>
      <c r="B625" s="65"/>
      <c r="C625" s="31"/>
      <c r="D625" s="65"/>
      <c r="E625" s="65"/>
      <c r="F625" s="65"/>
      <c r="G625" s="65"/>
      <c r="H625" s="65"/>
    </row>
    <row r="626">
      <c r="A626" s="65"/>
      <c r="B626" s="65"/>
      <c r="C626" s="31"/>
      <c r="D626" s="65"/>
      <c r="E626" s="65"/>
      <c r="F626" s="65"/>
      <c r="G626" s="65"/>
      <c r="H626" s="65"/>
    </row>
    <row r="627">
      <c r="A627" s="65"/>
      <c r="B627" s="65"/>
      <c r="C627" s="31"/>
      <c r="D627" s="65"/>
      <c r="E627" s="65"/>
      <c r="F627" s="65"/>
      <c r="G627" s="65"/>
      <c r="H627" s="65"/>
    </row>
    <row r="628">
      <c r="A628" s="65"/>
      <c r="B628" s="65"/>
      <c r="C628" s="31"/>
      <c r="D628" s="65"/>
      <c r="E628" s="65"/>
      <c r="F628" s="65"/>
      <c r="G628" s="65"/>
      <c r="H628" s="65"/>
    </row>
    <row r="629">
      <c r="A629" s="65"/>
      <c r="B629" s="65"/>
      <c r="C629" s="31"/>
      <c r="D629" s="65"/>
      <c r="E629" s="65"/>
      <c r="F629" s="65"/>
      <c r="G629" s="65"/>
      <c r="H629" s="65"/>
    </row>
    <row r="630">
      <c r="A630" s="65"/>
      <c r="B630" s="65"/>
      <c r="C630" s="31"/>
      <c r="D630" s="65"/>
      <c r="E630" s="65"/>
      <c r="F630" s="65"/>
      <c r="G630" s="65"/>
      <c r="H630" s="65"/>
    </row>
    <row r="631">
      <c r="A631" s="65"/>
      <c r="B631" s="65"/>
      <c r="C631" s="31"/>
      <c r="D631" s="65"/>
      <c r="E631" s="65"/>
      <c r="F631" s="65"/>
      <c r="G631" s="65"/>
      <c r="H631" s="65"/>
    </row>
    <row r="632">
      <c r="A632" s="65"/>
      <c r="B632" s="65"/>
      <c r="C632" s="31"/>
      <c r="D632" s="65"/>
      <c r="E632" s="65"/>
      <c r="F632" s="65"/>
      <c r="G632" s="65"/>
      <c r="H632" s="65"/>
    </row>
    <row r="633">
      <c r="A633" s="65"/>
      <c r="B633" s="65"/>
      <c r="C633" s="31"/>
      <c r="D633" s="65"/>
      <c r="E633" s="65"/>
      <c r="F633" s="65"/>
      <c r="G633" s="65"/>
      <c r="H633" s="65"/>
    </row>
    <row r="634">
      <c r="A634" s="65"/>
      <c r="B634" s="65"/>
      <c r="C634" s="31"/>
      <c r="D634" s="65"/>
      <c r="E634" s="65"/>
      <c r="F634" s="65"/>
      <c r="G634" s="65"/>
      <c r="H634" s="65"/>
    </row>
    <row r="635">
      <c r="A635" s="65"/>
      <c r="B635" s="65"/>
      <c r="C635" s="31"/>
      <c r="D635" s="65"/>
      <c r="E635" s="65"/>
      <c r="F635" s="65"/>
      <c r="G635" s="65"/>
      <c r="H635" s="65"/>
    </row>
    <row r="636">
      <c r="A636" s="65"/>
      <c r="B636" s="65"/>
      <c r="C636" s="31"/>
      <c r="D636" s="65"/>
      <c r="E636" s="65"/>
      <c r="F636" s="65"/>
      <c r="G636" s="65"/>
      <c r="H636" s="65"/>
    </row>
    <row r="637">
      <c r="A637" s="65"/>
      <c r="B637" s="65"/>
      <c r="C637" s="31"/>
      <c r="D637" s="65"/>
      <c r="E637" s="65"/>
      <c r="F637" s="65"/>
      <c r="G637" s="65"/>
      <c r="H637" s="65"/>
    </row>
    <row r="638">
      <c r="A638" s="65"/>
      <c r="B638" s="65"/>
      <c r="C638" s="31"/>
      <c r="D638" s="65"/>
      <c r="E638" s="65"/>
      <c r="F638" s="65"/>
      <c r="G638" s="65"/>
      <c r="H638" s="65"/>
    </row>
    <row r="639">
      <c r="A639" s="65"/>
      <c r="B639" s="65"/>
      <c r="C639" s="31"/>
      <c r="D639" s="65"/>
      <c r="E639" s="65"/>
      <c r="F639" s="65"/>
      <c r="G639" s="65"/>
      <c r="H639" s="65"/>
    </row>
    <row r="640">
      <c r="A640" s="65"/>
      <c r="B640" s="65"/>
      <c r="C640" s="31"/>
      <c r="D640" s="65"/>
      <c r="E640" s="65"/>
      <c r="F640" s="65"/>
      <c r="G640" s="65"/>
      <c r="H640" s="65"/>
    </row>
    <row r="641">
      <c r="A641" s="65"/>
      <c r="B641" s="65"/>
      <c r="C641" s="31"/>
      <c r="D641" s="65"/>
      <c r="E641" s="65"/>
      <c r="F641" s="65"/>
      <c r="G641" s="65"/>
      <c r="H641" s="65"/>
    </row>
    <row r="642">
      <c r="A642" s="65"/>
      <c r="B642" s="65"/>
      <c r="C642" s="31"/>
      <c r="D642" s="65"/>
      <c r="E642" s="65"/>
      <c r="F642" s="65"/>
      <c r="G642" s="65"/>
      <c r="H642" s="65"/>
    </row>
    <row r="643">
      <c r="A643" s="65"/>
      <c r="B643" s="65"/>
      <c r="C643" s="31"/>
      <c r="D643" s="65"/>
      <c r="E643" s="65"/>
      <c r="F643" s="65"/>
      <c r="G643" s="65"/>
      <c r="H643" s="65"/>
    </row>
    <row r="644">
      <c r="A644" s="65"/>
      <c r="B644" s="65"/>
      <c r="C644" s="31"/>
      <c r="D644" s="65"/>
      <c r="E644" s="65"/>
      <c r="F644" s="65"/>
      <c r="G644" s="65"/>
      <c r="H644" s="65"/>
    </row>
    <row r="645">
      <c r="A645" s="65"/>
      <c r="B645" s="65"/>
      <c r="C645" s="31"/>
      <c r="D645" s="65"/>
      <c r="E645" s="65"/>
      <c r="F645" s="65"/>
      <c r="G645" s="65"/>
      <c r="H645" s="65"/>
    </row>
    <row r="646">
      <c r="A646" s="65"/>
      <c r="B646" s="65"/>
      <c r="C646" s="31"/>
      <c r="D646" s="65"/>
      <c r="E646" s="65"/>
      <c r="F646" s="65"/>
      <c r="G646" s="65"/>
      <c r="H646" s="65"/>
    </row>
    <row r="647">
      <c r="A647" s="65"/>
      <c r="B647" s="65"/>
      <c r="C647" s="31"/>
      <c r="D647" s="65"/>
      <c r="E647" s="65"/>
      <c r="F647" s="65"/>
      <c r="G647" s="65"/>
      <c r="H647" s="65"/>
    </row>
    <row r="648">
      <c r="A648" s="65"/>
      <c r="B648" s="65"/>
      <c r="C648" s="31"/>
      <c r="D648" s="65"/>
      <c r="E648" s="65"/>
      <c r="F648" s="65"/>
      <c r="G648" s="65"/>
      <c r="H648" s="65"/>
    </row>
    <row r="649">
      <c r="A649" s="65"/>
      <c r="B649" s="65"/>
      <c r="C649" s="31"/>
      <c r="D649" s="65"/>
      <c r="E649" s="65"/>
      <c r="F649" s="65"/>
      <c r="G649" s="65"/>
      <c r="H649" s="65"/>
    </row>
    <row r="650">
      <c r="A650" s="65"/>
      <c r="B650" s="65"/>
      <c r="C650" s="31"/>
      <c r="D650" s="65"/>
      <c r="E650" s="65"/>
      <c r="F650" s="65"/>
      <c r="G650" s="65"/>
      <c r="H650" s="65"/>
    </row>
    <row r="651">
      <c r="A651" s="65"/>
      <c r="B651" s="65"/>
      <c r="C651" s="31"/>
      <c r="D651" s="65"/>
      <c r="E651" s="65"/>
      <c r="F651" s="65"/>
      <c r="G651" s="65"/>
      <c r="H651" s="65"/>
    </row>
    <row r="652">
      <c r="A652" s="65"/>
      <c r="B652" s="65"/>
      <c r="C652" s="31"/>
      <c r="D652" s="65"/>
      <c r="E652" s="65"/>
      <c r="F652" s="65"/>
      <c r="G652" s="65"/>
      <c r="H652" s="65"/>
    </row>
    <row r="653">
      <c r="A653" s="65"/>
      <c r="B653" s="65"/>
      <c r="C653" s="31"/>
      <c r="D653" s="65"/>
      <c r="E653" s="65"/>
      <c r="F653" s="65"/>
      <c r="G653" s="65"/>
      <c r="H653" s="65"/>
    </row>
    <row r="654">
      <c r="A654" s="65"/>
      <c r="B654" s="65"/>
      <c r="C654" s="31"/>
      <c r="D654" s="65"/>
      <c r="E654" s="65"/>
      <c r="F654" s="65"/>
      <c r="G654" s="65"/>
      <c r="H654" s="65"/>
    </row>
    <row r="655">
      <c r="A655" s="65"/>
      <c r="B655" s="65"/>
      <c r="C655" s="31"/>
      <c r="D655" s="65"/>
      <c r="E655" s="65"/>
      <c r="F655" s="65"/>
      <c r="G655" s="65"/>
      <c r="H655" s="65"/>
    </row>
    <row r="656">
      <c r="A656" s="65"/>
      <c r="B656" s="65"/>
      <c r="C656" s="31"/>
      <c r="D656" s="65"/>
      <c r="E656" s="65"/>
      <c r="F656" s="65"/>
      <c r="G656" s="65"/>
      <c r="H656" s="65"/>
    </row>
    <row r="657">
      <c r="A657" s="65"/>
      <c r="B657" s="65"/>
      <c r="C657" s="31"/>
      <c r="D657" s="65"/>
      <c r="E657" s="65"/>
      <c r="F657" s="65"/>
      <c r="G657" s="65"/>
      <c r="H657" s="65"/>
    </row>
    <row r="658">
      <c r="A658" s="65"/>
      <c r="B658" s="65"/>
      <c r="C658" s="31"/>
      <c r="D658" s="65"/>
      <c r="E658" s="65"/>
      <c r="F658" s="65"/>
      <c r="G658" s="65"/>
      <c r="H658" s="65"/>
    </row>
    <row r="659">
      <c r="A659" s="65"/>
      <c r="B659" s="65"/>
      <c r="C659" s="31"/>
      <c r="D659" s="65"/>
      <c r="E659" s="65"/>
      <c r="F659" s="65"/>
      <c r="G659" s="65"/>
      <c r="H659" s="65"/>
    </row>
    <row r="660">
      <c r="A660" s="65"/>
      <c r="B660" s="65"/>
      <c r="C660" s="31"/>
      <c r="D660" s="65"/>
      <c r="E660" s="65"/>
      <c r="F660" s="65"/>
      <c r="G660" s="65"/>
      <c r="H660" s="65"/>
    </row>
    <row r="661">
      <c r="A661" s="65"/>
      <c r="B661" s="65"/>
      <c r="C661" s="31"/>
      <c r="D661" s="65"/>
      <c r="E661" s="65"/>
      <c r="F661" s="65"/>
      <c r="G661" s="65"/>
      <c r="H661" s="65"/>
    </row>
    <row r="662">
      <c r="A662" s="65"/>
      <c r="B662" s="65"/>
      <c r="C662" s="31"/>
      <c r="D662" s="65"/>
      <c r="E662" s="65"/>
      <c r="F662" s="65"/>
      <c r="G662" s="65"/>
      <c r="H662" s="65"/>
    </row>
    <row r="663">
      <c r="A663" s="65"/>
      <c r="B663" s="65"/>
      <c r="C663" s="31"/>
      <c r="D663" s="65"/>
      <c r="E663" s="65"/>
      <c r="F663" s="65"/>
      <c r="G663" s="65"/>
      <c r="H663" s="65"/>
    </row>
    <row r="664">
      <c r="A664" s="65"/>
      <c r="B664" s="65"/>
      <c r="C664" s="31"/>
      <c r="D664" s="65"/>
      <c r="E664" s="65"/>
      <c r="F664" s="65"/>
      <c r="G664" s="65"/>
      <c r="H664" s="65"/>
    </row>
    <row r="665">
      <c r="A665" s="65"/>
      <c r="B665" s="65"/>
      <c r="C665" s="31"/>
      <c r="D665" s="65"/>
      <c r="E665" s="65"/>
      <c r="F665" s="65"/>
      <c r="G665" s="65"/>
      <c r="H665" s="65"/>
    </row>
    <row r="666">
      <c r="A666" s="65"/>
      <c r="B666" s="65"/>
      <c r="C666" s="31"/>
      <c r="D666" s="65"/>
      <c r="E666" s="65"/>
      <c r="F666" s="65"/>
      <c r="G666" s="65"/>
      <c r="H666" s="65"/>
    </row>
    <row r="667">
      <c r="A667" s="65"/>
      <c r="B667" s="65"/>
      <c r="C667" s="31"/>
      <c r="D667" s="65"/>
      <c r="E667" s="65"/>
      <c r="F667" s="65"/>
      <c r="G667" s="65"/>
      <c r="H667" s="65"/>
    </row>
    <row r="668">
      <c r="A668" s="65"/>
      <c r="B668" s="65"/>
      <c r="C668" s="31"/>
      <c r="D668" s="65"/>
      <c r="E668" s="65"/>
      <c r="F668" s="65"/>
      <c r="G668" s="65"/>
      <c r="H668" s="65"/>
    </row>
    <row r="669">
      <c r="A669" s="65"/>
      <c r="B669" s="65"/>
      <c r="C669" s="31"/>
      <c r="D669" s="65"/>
      <c r="E669" s="65"/>
      <c r="F669" s="65"/>
      <c r="G669" s="65"/>
      <c r="H669" s="65"/>
    </row>
    <row r="670">
      <c r="A670" s="65"/>
      <c r="B670" s="65"/>
      <c r="C670" s="31"/>
      <c r="D670" s="65"/>
      <c r="E670" s="65"/>
      <c r="F670" s="65"/>
      <c r="G670" s="65"/>
      <c r="H670" s="65"/>
    </row>
    <row r="671">
      <c r="A671" s="65"/>
      <c r="B671" s="65"/>
      <c r="C671" s="31"/>
      <c r="D671" s="65"/>
      <c r="E671" s="65"/>
      <c r="F671" s="65"/>
      <c r="G671" s="65"/>
      <c r="H671" s="65"/>
    </row>
    <row r="672">
      <c r="A672" s="65"/>
      <c r="B672" s="65"/>
      <c r="C672" s="31"/>
      <c r="D672" s="65"/>
      <c r="E672" s="65"/>
      <c r="F672" s="65"/>
      <c r="G672" s="65"/>
      <c r="H672" s="65"/>
    </row>
    <row r="673">
      <c r="A673" s="65"/>
      <c r="B673" s="65"/>
      <c r="C673" s="31"/>
      <c r="D673" s="65"/>
      <c r="E673" s="65"/>
      <c r="F673" s="65"/>
      <c r="G673" s="65"/>
      <c r="H673" s="65"/>
    </row>
    <row r="674">
      <c r="A674" s="65"/>
      <c r="B674" s="65"/>
      <c r="C674" s="31"/>
      <c r="D674" s="65"/>
      <c r="E674" s="65"/>
      <c r="F674" s="65"/>
      <c r="G674" s="65"/>
      <c r="H674" s="65"/>
    </row>
    <row r="675">
      <c r="A675" s="65"/>
      <c r="B675" s="65"/>
      <c r="C675" s="31"/>
      <c r="D675" s="65"/>
      <c r="E675" s="65"/>
      <c r="F675" s="65"/>
      <c r="G675" s="65"/>
      <c r="H675" s="65"/>
    </row>
    <row r="676">
      <c r="A676" s="65"/>
      <c r="B676" s="65"/>
      <c r="C676" s="31"/>
      <c r="D676" s="65"/>
      <c r="E676" s="65"/>
      <c r="F676" s="65"/>
      <c r="G676" s="65"/>
      <c r="H676" s="65"/>
    </row>
    <row r="677">
      <c r="A677" s="65"/>
      <c r="B677" s="65"/>
      <c r="C677" s="31"/>
      <c r="D677" s="65"/>
      <c r="E677" s="65"/>
      <c r="F677" s="65"/>
      <c r="G677" s="65"/>
      <c r="H677" s="65"/>
    </row>
    <row r="678">
      <c r="A678" s="65"/>
      <c r="B678" s="65"/>
      <c r="C678" s="31"/>
      <c r="D678" s="65"/>
      <c r="E678" s="65"/>
      <c r="F678" s="65"/>
      <c r="G678" s="65"/>
      <c r="H678" s="65"/>
    </row>
    <row r="679">
      <c r="A679" s="65"/>
      <c r="B679" s="65"/>
      <c r="C679" s="31"/>
      <c r="D679" s="65"/>
      <c r="E679" s="65"/>
      <c r="F679" s="65"/>
      <c r="G679" s="65"/>
      <c r="H679" s="65"/>
    </row>
    <row r="680">
      <c r="A680" s="65"/>
      <c r="B680" s="65"/>
      <c r="C680" s="31"/>
      <c r="D680" s="65"/>
      <c r="E680" s="65"/>
      <c r="F680" s="65"/>
      <c r="G680" s="65"/>
      <c r="H680" s="65"/>
    </row>
    <row r="681">
      <c r="A681" s="65"/>
      <c r="B681" s="65"/>
      <c r="C681" s="31"/>
      <c r="D681" s="65"/>
      <c r="E681" s="65"/>
      <c r="F681" s="65"/>
      <c r="G681" s="65"/>
      <c r="H681" s="65"/>
    </row>
    <row r="682">
      <c r="A682" s="65"/>
      <c r="B682" s="65"/>
      <c r="C682" s="31"/>
      <c r="D682" s="65"/>
      <c r="E682" s="65"/>
      <c r="F682" s="65"/>
      <c r="G682" s="65"/>
      <c r="H682" s="65"/>
    </row>
    <row r="683">
      <c r="A683" s="65"/>
      <c r="B683" s="65"/>
      <c r="C683" s="31"/>
      <c r="D683" s="65"/>
      <c r="E683" s="65"/>
      <c r="F683" s="65"/>
      <c r="G683" s="65"/>
      <c r="H683" s="65"/>
    </row>
    <row r="684">
      <c r="A684" s="65"/>
      <c r="B684" s="65"/>
      <c r="C684" s="31"/>
      <c r="D684" s="65"/>
      <c r="E684" s="65"/>
      <c r="F684" s="65"/>
      <c r="G684" s="65"/>
      <c r="H684" s="65"/>
    </row>
    <row r="685">
      <c r="A685" s="65"/>
      <c r="B685" s="65"/>
      <c r="C685" s="31"/>
      <c r="D685" s="65"/>
      <c r="E685" s="65"/>
      <c r="F685" s="65"/>
      <c r="G685" s="65"/>
      <c r="H685" s="65"/>
    </row>
    <row r="686">
      <c r="A686" s="65"/>
      <c r="B686" s="65"/>
      <c r="C686" s="31"/>
      <c r="D686" s="65"/>
      <c r="E686" s="65"/>
      <c r="F686" s="65"/>
      <c r="G686" s="65"/>
      <c r="H686" s="65"/>
    </row>
    <row r="687">
      <c r="A687" s="65"/>
      <c r="B687" s="65"/>
      <c r="C687" s="31"/>
      <c r="D687" s="65"/>
      <c r="E687" s="65"/>
      <c r="F687" s="65"/>
      <c r="G687" s="65"/>
      <c r="H687" s="65"/>
    </row>
    <row r="688">
      <c r="A688" s="65"/>
      <c r="B688" s="65"/>
      <c r="C688" s="31"/>
      <c r="D688" s="65"/>
      <c r="E688" s="65"/>
      <c r="F688" s="65"/>
      <c r="G688" s="65"/>
      <c r="H688" s="65"/>
    </row>
    <row r="689">
      <c r="A689" s="65"/>
      <c r="B689" s="65"/>
      <c r="C689" s="31"/>
      <c r="D689" s="65"/>
      <c r="E689" s="65"/>
      <c r="F689" s="65"/>
      <c r="G689" s="65"/>
      <c r="H689" s="65"/>
    </row>
    <row r="690">
      <c r="A690" s="65"/>
      <c r="B690" s="65"/>
      <c r="C690" s="31"/>
      <c r="D690" s="65"/>
      <c r="E690" s="65"/>
      <c r="F690" s="65"/>
      <c r="G690" s="65"/>
      <c r="H690" s="65"/>
    </row>
    <row r="691">
      <c r="A691" s="65"/>
      <c r="B691" s="65"/>
      <c r="C691" s="31"/>
      <c r="D691" s="65"/>
      <c r="E691" s="65"/>
      <c r="F691" s="65"/>
      <c r="G691" s="65"/>
      <c r="H691" s="65"/>
    </row>
    <row r="692">
      <c r="A692" s="65"/>
      <c r="B692" s="65"/>
      <c r="C692" s="31"/>
      <c r="D692" s="65"/>
      <c r="E692" s="65"/>
      <c r="F692" s="65"/>
      <c r="G692" s="65"/>
      <c r="H692" s="65"/>
    </row>
    <row r="693">
      <c r="A693" s="65"/>
      <c r="B693" s="65"/>
      <c r="C693" s="31"/>
      <c r="D693" s="65"/>
      <c r="E693" s="65"/>
      <c r="F693" s="65"/>
      <c r="G693" s="65"/>
      <c r="H693" s="65"/>
    </row>
    <row r="694">
      <c r="A694" s="65"/>
      <c r="B694" s="65"/>
      <c r="C694" s="31"/>
      <c r="D694" s="65"/>
      <c r="E694" s="65"/>
      <c r="F694" s="65"/>
      <c r="G694" s="65"/>
      <c r="H694" s="65"/>
    </row>
    <row r="695">
      <c r="A695" s="65"/>
      <c r="B695" s="65"/>
      <c r="C695" s="31"/>
      <c r="D695" s="65"/>
      <c r="E695" s="65"/>
      <c r="F695" s="65"/>
      <c r="G695" s="65"/>
      <c r="H695" s="65"/>
    </row>
    <row r="696">
      <c r="A696" s="65"/>
      <c r="B696" s="65"/>
      <c r="C696" s="31"/>
      <c r="D696" s="65"/>
      <c r="E696" s="65"/>
      <c r="F696" s="65"/>
      <c r="G696" s="65"/>
      <c r="H696" s="65"/>
    </row>
    <row r="697">
      <c r="A697" s="65"/>
      <c r="B697" s="65"/>
      <c r="C697" s="31"/>
      <c r="D697" s="65"/>
      <c r="E697" s="65"/>
      <c r="F697" s="65"/>
      <c r="G697" s="65"/>
      <c r="H697" s="65"/>
    </row>
    <row r="698">
      <c r="A698" s="65"/>
      <c r="B698" s="65"/>
      <c r="C698" s="31"/>
      <c r="D698" s="65"/>
      <c r="E698" s="65"/>
      <c r="F698" s="65"/>
      <c r="G698" s="65"/>
      <c r="H698" s="65"/>
    </row>
    <row r="699">
      <c r="A699" s="65"/>
      <c r="B699" s="65"/>
      <c r="C699" s="31"/>
      <c r="D699" s="65"/>
      <c r="E699" s="65"/>
      <c r="F699" s="65"/>
      <c r="G699" s="65"/>
      <c r="H699" s="65"/>
    </row>
    <row r="700">
      <c r="A700" s="65"/>
      <c r="B700" s="65"/>
      <c r="C700" s="31"/>
      <c r="D700" s="65"/>
      <c r="E700" s="65"/>
      <c r="F700" s="65"/>
      <c r="G700" s="65"/>
      <c r="H700" s="65"/>
    </row>
    <row r="701">
      <c r="A701" s="65"/>
      <c r="B701" s="65"/>
      <c r="C701" s="31"/>
      <c r="D701" s="65"/>
      <c r="E701" s="65"/>
      <c r="F701" s="65"/>
      <c r="G701" s="65"/>
      <c r="H701" s="65"/>
    </row>
    <row r="702">
      <c r="A702" s="65"/>
      <c r="B702" s="65"/>
      <c r="C702" s="31"/>
      <c r="D702" s="65"/>
      <c r="E702" s="65"/>
      <c r="F702" s="65"/>
      <c r="G702" s="65"/>
      <c r="H702" s="65"/>
    </row>
    <row r="703">
      <c r="A703" s="65"/>
      <c r="B703" s="65"/>
      <c r="C703" s="31"/>
      <c r="D703" s="65"/>
      <c r="E703" s="65"/>
      <c r="F703" s="65"/>
      <c r="G703" s="65"/>
      <c r="H703" s="65"/>
    </row>
    <row r="704">
      <c r="A704" s="65"/>
      <c r="B704" s="65"/>
      <c r="C704" s="31"/>
      <c r="D704" s="65"/>
      <c r="E704" s="65"/>
      <c r="F704" s="65"/>
      <c r="G704" s="65"/>
      <c r="H704" s="65"/>
    </row>
    <row r="705">
      <c r="A705" s="65"/>
      <c r="B705" s="65"/>
      <c r="C705" s="31"/>
      <c r="D705" s="65"/>
      <c r="E705" s="65"/>
      <c r="F705" s="65"/>
      <c r="G705" s="65"/>
      <c r="H705" s="65"/>
    </row>
    <row r="706">
      <c r="A706" s="65"/>
      <c r="B706" s="65"/>
      <c r="C706" s="31"/>
      <c r="D706" s="65"/>
      <c r="E706" s="65"/>
      <c r="F706" s="65"/>
      <c r="G706" s="65"/>
      <c r="H706" s="65"/>
    </row>
    <row r="707">
      <c r="A707" s="65"/>
      <c r="B707" s="65"/>
      <c r="C707" s="31"/>
      <c r="D707" s="65"/>
      <c r="E707" s="65"/>
      <c r="F707" s="65"/>
      <c r="G707" s="65"/>
      <c r="H707" s="65"/>
    </row>
    <row r="708">
      <c r="A708" s="65"/>
      <c r="B708" s="65"/>
      <c r="C708" s="31"/>
      <c r="D708" s="65"/>
      <c r="E708" s="65"/>
      <c r="F708" s="65"/>
      <c r="G708" s="65"/>
      <c r="H708" s="65"/>
    </row>
    <row r="709">
      <c r="A709" s="65"/>
      <c r="B709" s="65"/>
      <c r="C709" s="31"/>
      <c r="D709" s="65"/>
      <c r="E709" s="65"/>
      <c r="F709" s="65"/>
      <c r="G709" s="65"/>
      <c r="H709" s="65"/>
    </row>
    <row r="710">
      <c r="A710" s="65"/>
      <c r="B710" s="65"/>
      <c r="C710" s="31"/>
      <c r="D710" s="65"/>
      <c r="E710" s="65"/>
      <c r="F710" s="65"/>
      <c r="G710" s="65"/>
      <c r="H710" s="65"/>
    </row>
    <row r="711">
      <c r="A711" s="65"/>
      <c r="B711" s="65"/>
      <c r="C711" s="31"/>
      <c r="D711" s="65"/>
      <c r="E711" s="65"/>
      <c r="F711" s="65"/>
      <c r="G711" s="65"/>
      <c r="H711" s="65"/>
    </row>
    <row r="712">
      <c r="A712" s="65"/>
      <c r="B712" s="65"/>
      <c r="C712" s="31"/>
      <c r="D712" s="65"/>
      <c r="E712" s="65"/>
      <c r="F712" s="65"/>
      <c r="G712" s="65"/>
      <c r="H712" s="65"/>
    </row>
    <row r="713">
      <c r="A713" s="65"/>
      <c r="B713" s="65"/>
      <c r="C713" s="31"/>
      <c r="D713" s="65"/>
      <c r="E713" s="65"/>
      <c r="F713" s="65"/>
      <c r="G713" s="65"/>
      <c r="H713" s="65"/>
    </row>
    <row r="714">
      <c r="A714" s="65"/>
      <c r="B714" s="65"/>
      <c r="C714" s="31"/>
      <c r="D714" s="65"/>
      <c r="E714" s="65"/>
      <c r="F714" s="65"/>
      <c r="G714" s="65"/>
      <c r="H714" s="65"/>
    </row>
    <row r="715">
      <c r="A715" s="65"/>
      <c r="B715" s="65"/>
      <c r="C715" s="31"/>
      <c r="D715" s="65"/>
      <c r="E715" s="65"/>
      <c r="F715" s="65"/>
      <c r="G715" s="65"/>
      <c r="H715" s="65"/>
    </row>
    <row r="716">
      <c r="A716" s="65"/>
      <c r="B716" s="65"/>
      <c r="C716" s="31"/>
      <c r="D716" s="65"/>
      <c r="E716" s="65"/>
      <c r="F716" s="65"/>
      <c r="G716" s="65"/>
      <c r="H716" s="65"/>
    </row>
    <row r="717">
      <c r="A717" s="65"/>
      <c r="B717" s="65"/>
      <c r="C717" s="31"/>
      <c r="D717" s="65"/>
      <c r="E717" s="65"/>
      <c r="F717" s="65"/>
      <c r="G717" s="65"/>
      <c r="H717" s="65"/>
    </row>
    <row r="718">
      <c r="A718" s="65"/>
      <c r="B718" s="65"/>
      <c r="C718" s="31"/>
      <c r="D718" s="65"/>
      <c r="E718" s="65"/>
      <c r="F718" s="65"/>
      <c r="G718" s="65"/>
      <c r="H718" s="65"/>
    </row>
    <row r="719">
      <c r="A719" s="65"/>
      <c r="B719" s="65"/>
      <c r="C719" s="31"/>
      <c r="D719" s="65"/>
      <c r="E719" s="65"/>
      <c r="F719" s="65"/>
      <c r="G719" s="65"/>
      <c r="H719" s="65"/>
    </row>
    <row r="720">
      <c r="A720" s="65"/>
      <c r="B720" s="65"/>
      <c r="C720" s="31"/>
      <c r="D720" s="65"/>
      <c r="E720" s="65"/>
      <c r="F720" s="65"/>
      <c r="G720" s="65"/>
      <c r="H720" s="65"/>
    </row>
    <row r="721">
      <c r="A721" s="65"/>
      <c r="B721" s="65"/>
      <c r="C721" s="31"/>
      <c r="D721" s="65"/>
      <c r="E721" s="65"/>
      <c r="F721" s="65"/>
      <c r="G721" s="65"/>
      <c r="H721" s="65"/>
    </row>
    <row r="722">
      <c r="A722" s="65"/>
      <c r="B722" s="65"/>
      <c r="C722" s="31"/>
      <c r="D722" s="65"/>
      <c r="E722" s="65"/>
      <c r="F722" s="65"/>
      <c r="G722" s="65"/>
      <c r="H722" s="65"/>
    </row>
    <row r="723">
      <c r="A723" s="65"/>
      <c r="B723" s="65"/>
      <c r="C723" s="31"/>
      <c r="D723" s="65"/>
      <c r="E723" s="65"/>
      <c r="F723" s="65"/>
      <c r="G723" s="65"/>
      <c r="H723" s="65"/>
    </row>
    <row r="724">
      <c r="A724" s="65"/>
      <c r="B724" s="65"/>
      <c r="C724" s="31"/>
      <c r="D724" s="65"/>
      <c r="E724" s="65"/>
      <c r="F724" s="65"/>
      <c r="G724" s="65"/>
      <c r="H724" s="65"/>
    </row>
    <row r="725">
      <c r="A725" s="65"/>
      <c r="B725" s="65"/>
      <c r="C725" s="31"/>
      <c r="D725" s="65"/>
      <c r="E725" s="65"/>
      <c r="F725" s="65"/>
      <c r="G725" s="65"/>
      <c r="H725" s="65"/>
    </row>
    <row r="726">
      <c r="A726" s="65"/>
      <c r="B726" s="65"/>
      <c r="C726" s="31"/>
      <c r="D726" s="65"/>
      <c r="E726" s="65"/>
      <c r="F726" s="65"/>
      <c r="G726" s="65"/>
      <c r="H726" s="65"/>
    </row>
    <row r="727">
      <c r="A727" s="65"/>
      <c r="B727" s="65"/>
      <c r="C727" s="31"/>
      <c r="D727" s="65"/>
      <c r="E727" s="65"/>
      <c r="F727" s="65"/>
      <c r="G727" s="65"/>
      <c r="H727" s="65"/>
    </row>
    <row r="728">
      <c r="A728" s="65"/>
      <c r="B728" s="65"/>
      <c r="C728" s="31"/>
      <c r="D728" s="65"/>
      <c r="E728" s="65"/>
      <c r="F728" s="65"/>
      <c r="G728" s="65"/>
      <c r="H728" s="65"/>
    </row>
    <row r="729">
      <c r="A729" s="65"/>
      <c r="B729" s="65"/>
      <c r="C729" s="31"/>
      <c r="D729" s="65"/>
      <c r="E729" s="65"/>
      <c r="F729" s="65"/>
      <c r="G729" s="65"/>
      <c r="H729" s="65"/>
    </row>
    <row r="730">
      <c r="A730" s="65"/>
      <c r="B730" s="65"/>
      <c r="C730" s="31"/>
      <c r="D730" s="65"/>
      <c r="E730" s="65"/>
      <c r="F730" s="65"/>
      <c r="G730" s="65"/>
      <c r="H730" s="65"/>
    </row>
    <row r="731">
      <c r="A731" s="65"/>
      <c r="B731" s="65"/>
      <c r="C731" s="31"/>
      <c r="D731" s="65"/>
      <c r="E731" s="65"/>
      <c r="F731" s="65"/>
      <c r="G731" s="65"/>
      <c r="H731" s="65"/>
    </row>
    <row r="732">
      <c r="A732" s="65"/>
      <c r="B732" s="65"/>
      <c r="C732" s="31"/>
      <c r="D732" s="65"/>
      <c r="E732" s="65"/>
      <c r="F732" s="65"/>
      <c r="G732" s="65"/>
      <c r="H732" s="65"/>
    </row>
    <row r="733">
      <c r="A733" s="65"/>
      <c r="B733" s="65"/>
      <c r="C733" s="31"/>
      <c r="D733" s="65"/>
      <c r="E733" s="65"/>
      <c r="F733" s="65"/>
      <c r="G733" s="65"/>
      <c r="H733" s="65"/>
    </row>
    <row r="734">
      <c r="A734" s="65"/>
      <c r="B734" s="65"/>
      <c r="C734" s="31"/>
      <c r="D734" s="65"/>
      <c r="E734" s="65"/>
      <c r="F734" s="65"/>
      <c r="G734" s="65"/>
      <c r="H734" s="65"/>
    </row>
    <row r="735">
      <c r="A735" s="65"/>
      <c r="B735" s="65"/>
      <c r="C735" s="31"/>
      <c r="D735" s="65"/>
      <c r="E735" s="65"/>
      <c r="F735" s="65"/>
      <c r="G735" s="65"/>
      <c r="H735" s="65"/>
    </row>
    <row r="736">
      <c r="A736" s="65"/>
      <c r="B736" s="65"/>
      <c r="C736" s="31"/>
      <c r="D736" s="65"/>
      <c r="E736" s="65"/>
      <c r="F736" s="65"/>
      <c r="G736" s="65"/>
      <c r="H736" s="65"/>
    </row>
    <row r="737">
      <c r="A737" s="65"/>
      <c r="B737" s="65"/>
      <c r="C737" s="31"/>
      <c r="D737" s="65"/>
      <c r="E737" s="65"/>
      <c r="F737" s="65"/>
      <c r="G737" s="65"/>
      <c r="H737" s="65"/>
    </row>
    <row r="738">
      <c r="A738" s="65"/>
      <c r="B738" s="65"/>
      <c r="C738" s="31"/>
      <c r="D738" s="65"/>
      <c r="E738" s="65"/>
      <c r="F738" s="65"/>
      <c r="G738" s="65"/>
      <c r="H738" s="65"/>
    </row>
    <row r="739">
      <c r="A739" s="65"/>
      <c r="B739" s="65"/>
      <c r="C739" s="31"/>
      <c r="D739" s="65"/>
      <c r="E739" s="65"/>
      <c r="F739" s="65"/>
      <c r="G739" s="65"/>
      <c r="H739" s="65"/>
    </row>
    <row r="740">
      <c r="A740" s="65"/>
      <c r="B740" s="65"/>
      <c r="C740" s="31"/>
      <c r="D740" s="65"/>
      <c r="E740" s="65"/>
      <c r="F740" s="65"/>
      <c r="G740" s="65"/>
      <c r="H740" s="65"/>
    </row>
    <row r="741">
      <c r="A741" s="65"/>
      <c r="B741" s="65"/>
      <c r="C741" s="31"/>
      <c r="D741" s="65"/>
      <c r="E741" s="65"/>
      <c r="F741" s="65"/>
      <c r="G741" s="65"/>
      <c r="H741" s="65"/>
    </row>
    <row r="742">
      <c r="A742" s="65"/>
      <c r="B742" s="65"/>
      <c r="C742" s="31"/>
      <c r="D742" s="65"/>
      <c r="E742" s="65"/>
      <c r="F742" s="65"/>
      <c r="G742" s="65"/>
      <c r="H742" s="65"/>
    </row>
    <row r="743">
      <c r="A743" s="65"/>
      <c r="B743" s="65"/>
      <c r="C743" s="31"/>
      <c r="D743" s="65"/>
      <c r="E743" s="65"/>
      <c r="F743" s="65"/>
      <c r="G743" s="65"/>
      <c r="H743" s="65"/>
    </row>
    <row r="744">
      <c r="A744" s="65"/>
      <c r="B744" s="65"/>
      <c r="C744" s="31"/>
      <c r="D744" s="65"/>
      <c r="E744" s="65"/>
      <c r="F744" s="65"/>
      <c r="G744" s="65"/>
      <c r="H744" s="65"/>
    </row>
    <row r="745">
      <c r="A745" s="65"/>
      <c r="B745" s="65"/>
      <c r="C745" s="31"/>
      <c r="D745" s="65"/>
      <c r="E745" s="65"/>
      <c r="F745" s="65"/>
      <c r="G745" s="65"/>
      <c r="H745" s="65"/>
    </row>
    <row r="746">
      <c r="A746" s="65"/>
      <c r="B746" s="65"/>
      <c r="C746" s="31"/>
      <c r="D746" s="65"/>
      <c r="E746" s="65"/>
      <c r="F746" s="65"/>
      <c r="G746" s="65"/>
      <c r="H746" s="65"/>
    </row>
    <row r="747">
      <c r="A747" s="65"/>
      <c r="B747" s="65"/>
      <c r="C747" s="31"/>
      <c r="D747" s="65"/>
      <c r="E747" s="65"/>
      <c r="F747" s="65"/>
      <c r="G747" s="65"/>
      <c r="H747" s="65"/>
    </row>
    <row r="748">
      <c r="A748" s="65"/>
      <c r="B748" s="65"/>
      <c r="C748" s="31"/>
      <c r="D748" s="65"/>
      <c r="E748" s="65"/>
      <c r="F748" s="65"/>
      <c r="G748" s="65"/>
      <c r="H748" s="65"/>
    </row>
    <row r="749">
      <c r="A749" s="65"/>
      <c r="B749" s="65"/>
      <c r="C749" s="31"/>
      <c r="D749" s="65"/>
      <c r="E749" s="65"/>
      <c r="F749" s="65"/>
      <c r="G749" s="65"/>
      <c r="H749" s="65"/>
    </row>
    <row r="750">
      <c r="A750" s="65"/>
      <c r="B750" s="65"/>
      <c r="C750" s="31"/>
      <c r="D750" s="65"/>
      <c r="E750" s="65"/>
      <c r="F750" s="65"/>
      <c r="G750" s="65"/>
      <c r="H750" s="65"/>
    </row>
    <row r="751">
      <c r="A751" s="65"/>
      <c r="B751" s="65"/>
      <c r="C751" s="31"/>
      <c r="D751" s="65"/>
      <c r="E751" s="65"/>
      <c r="F751" s="65"/>
      <c r="G751" s="65"/>
      <c r="H751" s="65"/>
    </row>
    <row r="752">
      <c r="A752" s="65"/>
      <c r="B752" s="65"/>
      <c r="C752" s="31"/>
      <c r="D752" s="65"/>
      <c r="E752" s="65"/>
      <c r="F752" s="65"/>
      <c r="G752" s="65"/>
      <c r="H752" s="65"/>
    </row>
    <row r="753">
      <c r="A753" s="65"/>
      <c r="B753" s="65"/>
      <c r="C753" s="31"/>
      <c r="D753" s="65"/>
      <c r="E753" s="65"/>
      <c r="F753" s="65"/>
      <c r="G753" s="65"/>
      <c r="H753" s="65"/>
    </row>
    <row r="754">
      <c r="A754" s="65"/>
      <c r="B754" s="65"/>
      <c r="C754" s="31"/>
      <c r="D754" s="65"/>
      <c r="E754" s="65"/>
      <c r="F754" s="65"/>
      <c r="G754" s="65"/>
      <c r="H754" s="65"/>
    </row>
    <row r="755">
      <c r="A755" s="65"/>
      <c r="B755" s="65"/>
      <c r="C755" s="31"/>
      <c r="D755" s="65"/>
      <c r="E755" s="65"/>
      <c r="F755" s="65"/>
      <c r="G755" s="65"/>
      <c r="H755" s="65"/>
    </row>
    <row r="756">
      <c r="A756" s="65"/>
      <c r="B756" s="65"/>
      <c r="C756" s="31"/>
      <c r="D756" s="65"/>
      <c r="E756" s="65"/>
      <c r="F756" s="65"/>
      <c r="G756" s="65"/>
      <c r="H756" s="65"/>
    </row>
    <row r="757">
      <c r="A757" s="65"/>
      <c r="B757" s="65"/>
      <c r="C757" s="31"/>
      <c r="D757" s="65"/>
      <c r="E757" s="65"/>
      <c r="F757" s="65"/>
      <c r="G757" s="65"/>
      <c r="H757" s="65"/>
    </row>
    <row r="758">
      <c r="A758" s="65"/>
      <c r="B758" s="65"/>
      <c r="C758" s="31"/>
      <c r="D758" s="65"/>
      <c r="E758" s="65"/>
      <c r="F758" s="65"/>
      <c r="G758" s="65"/>
      <c r="H758" s="65"/>
    </row>
    <row r="759">
      <c r="A759" s="65"/>
      <c r="B759" s="65"/>
      <c r="C759" s="31"/>
      <c r="D759" s="65"/>
      <c r="E759" s="65"/>
      <c r="F759" s="65"/>
      <c r="G759" s="65"/>
      <c r="H759" s="65"/>
    </row>
    <row r="760">
      <c r="A760" s="65"/>
      <c r="B760" s="65"/>
      <c r="C760" s="31"/>
      <c r="D760" s="65"/>
      <c r="E760" s="65"/>
      <c r="F760" s="65"/>
      <c r="G760" s="65"/>
      <c r="H760" s="65"/>
    </row>
    <row r="761">
      <c r="A761" s="65"/>
      <c r="B761" s="65"/>
      <c r="C761" s="31"/>
      <c r="D761" s="65"/>
      <c r="E761" s="65"/>
      <c r="F761" s="65"/>
      <c r="G761" s="65"/>
      <c r="H761" s="65"/>
    </row>
    <row r="762">
      <c r="A762" s="65"/>
      <c r="B762" s="65"/>
      <c r="C762" s="31"/>
      <c r="D762" s="65"/>
      <c r="E762" s="65"/>
      <c r="F762" s="65"/>
      <c r="G762" s="65"/>
      <c r="H762" s="65"/>
    </row>
    <row r="763">
      <c r="A763" s="65"/>
      <c r="B763" s="65"/>
      <c r="C763" s="31"/>
      <c r="D763" s="65"/>
      <c r="E763" s="65"/>
      <c r="F763" s="65"/>
      <c r="G763" s="65"/>
      <c r="H763" s="65"/>
    </row>
    <row r="764">
      <c r="A764" s="65"/>
      <c r="B764" s="65"/>
      <c r="C764" s="31"/>
      <c r="D764" s="65"/>
      <c r="E764" s="65"/>
      <c r="F764" s="65"/>
      <c r="G764" s="65"/>
      <c r="H764" s="65"/>
    </row>
    <row r="765">
      <c r="A765" s="65"/>
      <c r="B765" s="65"/>
      <c r="C765" s="31"/>
      <c r="D765" s="65"/>
      <c r="E765" s="65"/>
      <c r="F765" s="65"/>
      <c r="G765" s="65"/>
      <c r="H765" s="65"/>
    </row>
    <row r="766">
      <c r="A766" s="65"/>
      <c r="B766" s="65"/>
      <c r="C766" s="31"/>
      <c r="D766" s="65"/>
      <c r="E766" s="65"/>
      <c r="F766" s="65"/>
      <c r="G766" s="65"/>
      <c r="H766" s="65"/>
    </row>
    <row r="767">
      <c r="A767" s="65"/>
      <c r="B767" s="65"/>
      <c r="C767" s="31"/>
      <c r="D767" s="65"/>
      <c r="E767" s="65"/>
      <c r="F767" s="65"/>
      <c r="G767" s="65"/>
      <c r="H767" s="65"/>
    </row>
    <row r="768">
      <c r="A768" s="65"/>
      <c r="B768" s="65"/>
      <c r="C768" s="31"/>
      <c r="D768" s="65"/>
      <c r="E768" s="65"/>
      <c r="F768" s="65"/>
      <c r="G768" s="65"/>
      <c r="H768" s="65"/>
    </row>
    <row r="769">
      <c r="A769" s="65"/>
      <c r="B769" s="65"/>
      <c r="C769" s="31"/>
      <c r="D769" s="65"/>
      <c r="E769" s="65"/>
      <c r="F769" s="65"/>
      <c r="G769" s="65"/>
      <c r="H769" s="65"/>
    </row>
    <row r="770">
      <c r="A770" s="65"/>
      <c r="B770" s="65"/>
      <c r="C770" s="31"/>
      <c r="D770" s="65"/>
      <c r="E770" s="65"/>
      <c r="F770" s="65"/>
      <c r="G770" s="65"/>
      <c r="H770" s="65"/>
    </row>
    <row r="771">
      <c r="A771" s="65"/>
      <c r="B771" s="65"/>
      <c r="C771" s="31"/>
      <c r="D771" s="65"/>
      <c r="E771" s="65"/>
      <c r="F771" s="65"/>
      <c r="G771" s="65"/>
      <c r="H771" s="65"/>
    </row>
    <row r="772">
      <c r="A772" s="65"/>
      <c r="B772" s="65"/>
      <c r="C772" s="31"/>
      <c r="D772" s="65"/>
      <c r="E772" s="65"/>
      <c r="F772" s="65"/>
      <c r="G772" s="65"/>
      <c r="H772" s="65"/>
    </row>
    <row r="773">
      <c r="A773" s="65"/>
      <c r="B773" s="65"/>
      <c r="C773" s="31"/>
      <c r="D773" s="65"/>
      <c r="E773" s="65"/>
      <c r="F773" s="65"/>
      <c r="G773" s="65"/>
      <c r="H773" s="65"/>
    </row>
    <row r="774">
      <c r="A774" s="65"/>
      <c r="B774" s="65"/>
      <c r="C774" s="31"/>
      <c r="D774" s="65"/>
      <c r="E774" s="65"/>
      <c r="F774" s="65"/>
      <c r="G774" s="65"/>
      <c r="H774" s="65"/>
    </row>
    <row r="775">
      <c r="A775" s="65"/>
      <c r="B775" s="65"/>
      <c r="C775" s="31"/>
      <c r="D775" s="65"/>
      <c r="E775" s="65"/>
      <c r="F775" s="65"/>
      <c r="G775" s="65"/>
      <c r="H775" s="65"/>
    </row>
    <row r="776">
      <c r="A776" s="65"/>
      <c r="B776" s="65"/>
      <c r="C776" s="31"/>
      <c r="D776" s="65"/>
      <c r="E776" s="65"/>
      <c r="F776" s="65"/>
      <c r="G776" s="65"/>
      <c r="H776" s="65"/>
    </row>
    <row r="777">
      <c r="A777" s="65"/>
      <c r="B777" s="65"/>
      <c r="C777" s="31"/>
      <c r="D777" s="65"/>
      <c r="E777" s="65"/>
      <c r="F777" s="65"/>
      <c r="G777" s="65"/>
      <c r="H777" s="65"/>
    </row>
    <row r="778">
      <c r="A778" s="65"/>
      <c r="B778" s="65"/>
      <c r="C778" s="31"/>
      <c r="D778" s="65"/>
      <c r="E778" s="65"/>
      <c r="F778" s="65"/>
      <c r="G778" s="65"/>
      <c r="H778" s="65"/>
    </row>
    <row r="779">
      <c r="A779" s="65"/>
      <c r="B779" s="65"/>
      <c r="C779" s="31"/>
      <c r="D779" s="65"/>
      <c r="E779" s="65"/>
      <c r="F779" s="65"/>
      <c r="G779" s="65"/>
      <c r="H779" s="65"/>
    </row>
    <row r="780">
      <c r="A780" s="65"/>
      <c r="B780" s="65"/>
      <c r="C780" s="31"/>
      <c r="D780" s="65"/>
      <c r="E780" s="65"/>
      <c r="F780" s="65"/>
      <c r="G780" s="65"/>
      <c r="H780" s="65"/>
    </row>
    <row r="781">
      <c r="A781" s="65"/>
      <c r="B781" s="65"/>
      <c r="C781" s="31"/>
      <c r="D781" s="65"/>
      <c r="E781" s="65"/>
      <c r="F781" s="65"/>
      <c r="G781" s="65"/>
      <c r="H781" s="65"/>
    </row>
    <row r="782">
      <c r="A782" s="65"/>
      <c r="B782" s="65"/>
      <c r="C782" s="31"/>
      <c r="D782" s="65"/>
      <c r="E782" s="65"/>
      <c r="F782" s="65"/>
      <c r="G782" s="65"/>
      <c r="H782" s="65"/>
    </row>
    <row r="783">
      <c r="A783" s="65"/>
      <c r="B783" s="65"/>
      <c r="C783" s="31"/>
      <c r="D783" s="65"/>
      <c r="E783" s="65"/>
      <c r="F783" s="65"/>
      <c r="G783" s="65"/>
      <c r="H783" s="65"/>
    </row>
    <row r="784">
      <c r="A784" s="65"/>
      <c r="B784" s="65"/>
      <c r="C784" s="31"/>
      <c r="D784" s="65"/>
      <c r="E784" s="65"/>
      <c r="F784" s="65"/>
      <c r="G784" s="65"/>
      <c r="H784" s="65"/>
    </row>
    <row r="785">
      <c r="A785" s="65"/>
      <c r="B785" s="65"/>
      <c r="C785" s="31"/>
      <c r="D785" s="65"/>
      <c r="E785" s="65"/>
      <c r="F785" s="65"/>
      <c r="G785" s="65"/>
      <c r="H785" s="65"/>
    </row>
    <row r="786">
      <c r="A786" s="65"/>
      <c r="B786" s="65"/>
      <c r="C786" s="31"/>
      <c r="D786" s="65"/>
      <c r="E786" s="65"/>
      <c r="F786" s="65"/>
      <c r="G786" s="65"/>
      <c r="H786" s="65"/>
    </row>
    <row r="787">
      <c r="A787" s="65"/>
      <c r="B787" s="65"/>
      <c r="C787" s="31"/>
      <c r="D787" s="65"/>
      <c r="E787" s="65"/>
      <c r="F787" s="65"/>
      <c r="G787" s="65"/>
      <c r="H787" s="65"/>
    </row>
    <row r="788">
      <c r="A788" s="65"/>
      <c r="B788" s="65"/>
      <c r="C788" s="31"/>
      <c r="D788" s="65"/>
      <c r="E788" s="65"/>
      <c r="F788" s="65"/>
      <c r="G788" s="65"/>
      <c r="H788" s="65"/>
    </row>
    <row r="789">
      <c r="A789" s="65"/>
      <c r="B789" s="65"/>
      <c r="C789" s="31"/>
      <c r="D789" s="65"/>
      <c r="E789" s="65"/>
      <c r="F789" s="65"/>
      <c r="G789" s="65"/>
      <c r="H789" s="65"/>
    </row>
    <row r="790">
      <c r="A790" s="65"/>
      <c r="B790" s="65"/>
      <c r="C790" s="31"/>
      <c r="D790" s="65"/>
      <c r="E790" s="65"/>
      <c r="F790" s="65"/>
      <c r="G790" s="65"/>
      <c r="H790" s="65"/>
    </row>
    <row r="791">
      <c r="A791" s="65"/>
      <c r="B791" s="65"/>
      <c r="C791" s="31"/>
      <c r="D791" s="65"/>
      <c r="E791" s="65"/>
      <c r="F791" s="65"/>
      <c r="G791" s="65"/>
      <c r="H791" s="65"/>
    </row>
    <row r="792">
      <c r="A792" s="65"/>
      <c r="B792" s="65"/>
      <c r="C792" s="31"/>
      <c r="D792" s="65"/>
      <c r="E792" s="65"/>
      <c r="F792" s="65"/>
      <c r="G792" s="65"/>
      <c r="H792" s="65"/>
    </row>
    <row r="793">
      <c r="A793" s="65"/>
      <c r="B793" s="65"/>
      <c r="C793" s="31"/>
      <c r="D793" s="65"/>
      <c r="E793" s="65"/>
      <c r="F793" s="65"/>
      <c r="G793" s="65"/>
      <c r="H793" s="65"/>
    </row>
    <row r="794">
      <c r="A794" s="65"/>
      <c r="B794" s="65"/>
      <c r="C794" s="31"/>
      <c r="D794" s="65"/>
      <c r="E794" s="65"/>
      <c r="F794" s="65"/>
      <c r="G794" s="65"/>
      <c r="H794" s="65"/>
    </row>
    <row r="795">
      <c r="A795" s="65"/>
      <c r="B795" s="65"/>
      <c r="C795" s="31"/>
      <c r="D795" s="65"/>
      <c r="E795" s="65"/>
      <c r="F795" s="65"/>
      <c r="G795" s="65"/>
      <c r="H795" s="65"/>
    </row>
    <row r="796">
      <c r="A796" s="65"/>
      <c r="B796" s="65"/>
      <c r="C796" s="31"/>
      <c r="D796" s="65"/>
      <c r="E796" s="65"/>
      <c r="F796" s="65"/>
      <c r="G796" s="65"/>
      <c r="H796" s="65"/>
    </row>
    <row r="797">
      <c r="A797" s="65"/>
      <c r="B797" s="65"/>
      <c r="C797" s="31"/>
      <c r="D797" s="65"/>
      <c r="E797" s="65"/>
      <c r="F797" s="65"/>
      <c r="G797" s="65"/>
      <c r="H797" s="65"/>
    </row>
    <row r="798">
      <c r="A798" s="65"/>
      <c r="B798" s="65"/>
      <c r="C798" s="31"/>
      <c r="D798" s="65"/>
      <c r="E798" s="65"/>
      <c r="F798" s="65"/>
      <c r="G798" s="65"/>
      <c r="H798" s="65"/>
    </row>
    <row r="799">
      <c r="A799" s="65"/>
      <c r="B799" s="65"/>
      <c r="C799" s="31"/>
      <c r="D799" s="65"/>
      <c r="E799" s="65"/>
      <c r="F799" s="65"/>
      <c r="G799" s="65"/>
      <c r="H799" s="65"/>
    </row>
    <row r="800">
      <c r="A800" s="65"/>
      <c r="B800" s="65"/>
      <c r="C800" s="31"/>
      <c r="D800" s="65"/>
      <c r="E800" s="65"/>
      <c r="F800" s="65"/>
      <c r="G800" s="65"/>
      <c r="H800" s="65"/>
    </row>
    <row r="801">
      <c r="A801" s="65"/>
      <c r="B801" s="65"/>
      <c r="C801" s="31"/>
      <c r="D801" s="65"/>
      <c r="E801" s="65"/>
      <c r="F801" s="65"/>
      <c r="G801" s="65"/>
      <c r="H801" s="65"/>
    </row>
    <row r="802">
      <c r="A802" s="65"/>
      <c r="B802" s="65"/>
      <c r="C802" s="31"/>
      <c r="D802" s="65"/>
      <c r="E802" s="65"/>
      <c r="F802" s="65"/>
      <c r="G802" s="65"/>
      <c r="H802" s="65"/>
    </row>
    <row r="803">
      <c r="A803" s="65"/>
      <c r="B803" s="65"/>
      <c r="C803" s="31"/>
      <c r="D803" s="65"/>
      <c r="E803" s="65"/>
      <c r="F803" s="65"/>
      <c r="G803" s="65"/>
      <c r="H803" s="65"/>
    </row>
    <row r="804">
      <c r="A804" s="65"/>
      <c r="B804" s="65"/>
      <c r="C804" s="31"/>
      <c r="D804" s="65"/>
      <c r="E804" s="65"/>
      <c r="F804" s="65"/>
      <c r="G804" s="65"/>
      <c r="H804" s="65"/>
    </row>
    <row r="805">
      <c r="A805" s="65"/>
      <c r="B805" s="65"/>
      <c r="C805" s="31"/>
      <c r="D805" s="65"/>
      <c r="E805" s="65"/>
      <c r="F805" s="65"/>
      <c r="G805" s="65"/>
      <c r="H805" s="65"/>
    </row>
    <row r="806">
      <c r="A806" s="65"/>
      <c r="B806" s="65"/>
      <c r="C806" s="31"/>
      <c r="D806" s="65"/>
      <c r="E806" s="65"/>
      <c r="F806" s="65"/>
      <c r="G806" s="65"/>
      <c r="H806" s="65"/>
    </row>
    <row r="807">
      <c r="A807" s="65"/>
      <c r="B807" s="65"/>
      <c r="C807" s="31"/>
      <c r="D807" s="65"/>
      <c r="E807" s="65"/>
      <c r="F807" s="65"/>
      <c r="G807" s="65"/>
      <c r="H807" s="65"/>
    </row>
    <row r="808">
      <c r="A808" s="65"/>
      <c r="B808" s="65"/>
      <c r="C808" s="31"/>
      <c r="D808" s="65"/>
      <c r="E808" s="65"/>
      <c r="F808" s="65"/>
      <c r="G808" s="65"/>
      <c r="H808" s="65"/>
    </row>
    <row r="809">
      <c r="A809" s="65"/>
      <c r="B809" s="65"/>
      <c r="C809" s="31"/>
      <c r="D809" s="65"/>
      <c r="E809" s="65"/>
      <c r="F809" s="65"/>
      <c r="G809" s="65"/>
      <c r="H809" s="65"/>
    </row>
    <row r="810">
      <c r="A810" s="65"/>
      <c r="B810" s="65"/>
      <c r="C810" s="31"/>
      <c r="D810" s="65"/>
      <c r="E810" s="65"/>
      <c r="F810" s="65"/>
      <c r="G810" s="65"/>
      <c r="H810" s="65"/>
    </row>
    <row r="811">
      <c r="A811" s="65"/>
      <c r="B811" s="65"/>
      <c r="C811" s="31"/>
      <c r="D811" s="65"/>
      <c r="E811" s="65"/>
      <c r="F811" s="65"/>
      <c r="G811" s="65"/>
      <c r="H811" s="65"/>
    </row>
    <row r="812">
      <c r="A812" s="65"/>
      <c r="B812" s="65"/>
      <c r="C812" s="31"/>
      <c r="D812" s="65"/>
      <c r="E812" s="65"/>
      <c r="F812" s="65"/>
      <c r="G812" s="65"/>
      <c r="H812" s="65"/>
    </row>
    <row r="813">
      <c r="A813" s="65"/>
      <c r="B813" s="65"/>
      <c r="C813" s="31"/>
      <c r="D813" s="65"/>
      <c r="E813" s="65"/>
      <c r="F813" s="65"/>
      <c r="G813" s="65"/>
      <c r="H813" s="65"/>
    </row>
    <row r="814">
      <c r="A814" s="65"/>
      <c r="B814" s="65"/>
      <c r="C814" s="31"/>
      <c r="D814" s="65"/>
      <c r="E814" s="65"/>
      <c r="F814" s="65"/>
      <c r="G814" s="65"/>
      <c r="H814" s="65"/>
    </row>
    <row r="815">
      <c r="A815" s="65"/>
      <c r="B815" s="65"/>
      <c r="C815" s="31"/>
      <c r="D815" s="65"/>
      <c r="E815" s="65"/>
      <c r="F815" s="65"/>
      <c r="G815" s="65"/>
      <c r="H815" s="65"/>
    </row>
    <row r="816">
      <c r="A816" s="65"/>
      <c r="B816" s="65"/>
      <c r="C816" s="31"/>
      <c r="D816" s="65"/>
      <c r="E816" s="65"/>
      <c r="F816" s="65"/>
      <c r="G816" s="65"/>
      <c r="H816" s="65"/>
    </row>
    <row r="817">
      <c r="A817" s="65"/>
      <c r="B817" s="65"/>
      <c r="C817" s="31"/>
      <c r="D817" s="65"/>
      <c r="E817" s="65"/>
      <c r="F817" s="65"/>
      <c r="G817" s="65"/>
      <c r="H817" s="65"/>
    </row>
    <row r="818">
      <c r="A818" s="65"/>
      <c r="B818" s="65"/>
      <c r="C818" s="31"/>
      <c r="D818" s="65"/>
      <c r="E818" s="65"/>
      <c r="F818" s="65"/>
      <c r="G818" s="65"/>
      <c r="H818" s="65"/>
    </row>
    <row r="819">
      <c r="A819" s="65"/>
      <c r="B819" s="65"/>
      <c r="C819" s="31"/>
      <c r="D819" s="65"/>
      <c r="E819" s="65"/>
      <c r="F819" s="65"/>
      <c r="G819" s="65"/>
      <c r="H819" s="65"/>
    </row>
    <row r="820">
      <c r="A820" s="65"/>
      <c r="B820" s="65"/>
      <c r="C820" s="31"/>
      <c r="D820" s="65"/>
      <c r="E820" s="65"/>
      <c r="F820" s="65"/>
      <c r="G820" s="65"/>
      <c r="H820" s="65"/>
    </row>
    <row r="821">
      <c r="A821" s="65"/>
      <c r="B821" s="65"/>
      <c r="C821" s="31"/>
      <c r="D821" s="65"/>
      <c r="E821" s="65"/>
      <c r="F821" s="65"/>
      <c r="G821" s="65"/>
      <c r="H821" s="65"/>
    </row>
    <row r="822">
      <c r="A822" s="65"/>
      <c r="B822" s="65"/>
      <c r="C822" s="31"/>
      <c r="D822" s="65"/>
      <c r="E822" s="65"/>
      <c r="F822" s="65"/>
      <c r="G822" s="65"/>
      <c r="H822" s="65"/>
    </row>
    <row r="823">
      <c r="A823" s="65"/>
      <c r="B823" s="65"/>
      <c r="C823" s="31"/>
      <c r="D823" s="65"/>
      <c r="E823" s="65"/>
      <c r="F823" s="65"/>
      <c r="G823" s="65"/>
      <c r="H823" s="65"/>
    </row>
    <row r="824">
      <c r="A824" s="65"/>
      <c r="B824" s="65"/>
      <c r="C824" s="31"/>
      <c r="D824" s="65"/>
      <c r="E824" s="65"/>
      <c r="F824" s="65"/>
      <c r="G824" s="65"/>
      <c r="H824" s="65"/>
    </row>
    <row r="825">
      <c r="A825" s="65"/>
      <c r="B825" s="65"/>
      <c r="C825" s="31"/>
      <c r="D825" s="65"/>
      <c r="E825" s="65"/>
      <c r="F825" s="65"/>
      <c r="G825" s="65"/>
      <c r="H825" s="65"/>
    </row>
    <row r="826">
      <c r="A826" s="65"/>
      <c r="B826" s="65"/>
      <c r="C826" s="31"/>
      <c r="D826" s="65"/>
      <c r="E826" s="65"/>
      <c r="F826" s="65"/>
      <c r="G826" s="65"/>
      <c r="H826" s="65"/>
    </row>
    <row r="827">
      <c r="A827" s="65"/>
      <c r="B827" s="65"/>
      <c r="C827" s="31"/>
      <c r="D827" s="65"/>
      <c r="E827" s="65"/>
      <c r="F827" s="65"/>
      <c r="G827" s="65"/>
      <c r="H827" s="65"/>
    </row>
    <row r="828">
      <c r="A828" s="65"/>
      <c r="B828" s="65"/>
      <c r="C828" s="31"/>
      <c r="D828" s="65"/>
      <c r="E828" s="65"/>
      <c r="F828" s="65"/>
      <c r="G828" s="65"/>
      <c r="H828" s="65"/>
    </row>
    <row r="829">
      <c r="A829" s="65"/>
      <c r="B829" s="65"/>
      <c r="C829" s="31"/>
      <c r="D829" s="65"/>
      <c r="E829" s="65"/>
      <c r="F829" s="65"/>
      <c r="G829" s="65"/>
      <c r="H829" s="65"/>
    </row>
    <row r="830">
      <c r="A830" s="65"/>
      <c r="B830" s="65"/>
      <c r="C830" s="31"/>
      <c r="D830" s="65"/>
      <c r="E830" s="65"/>
      <c r="F830" s="65"/>
      <c r="G830" s="65"/>
      <c r="H830" s="65"/>
    </row>
    <row r="831">
      <c r="A831" s="65"/>
      <c r="B831" s="65"/>
      <c r="C831" s="31"/>
      <c r="D831" s="65"/>
      <c r="E831" s="65"/>
      <c r="F831" s="65"/>
      <c r="G831" s="65"/>
      <c r="H831" s="65"/>
    </row>
    <row r="832">
      <c r="A832" s="65"/>
      <c r="B832" s="65"/>
      <c r="C832" s="31"/>
      <c r="D832" s="65"/>
      <c r="E832" s="65"/>
      <c r="F832" s="65"/>
      <c r="G832" s="65"/>
      <c r="H832" s="65"/>
    </row>
    <row r="833">
      <c r="A833" s="65"/>
      <c r="B833" s="65"/>
      <c r="C833" s="31"/>
      <c r="D833" s="65"/>
      <c r="E833" s="65"/>
      <c r="F833" s="65"/>
      <c r="G833" s="65"/>
      <c r="H833" s="65"/>
    </row>
    <row r="834">
      <c r="A834" s="65"/>
      <c r="B834" s="65"/>
      <c r="C834" s="31"/>
      <c r="D834" s="65"/>
      <c r="E834" s="65"/>
      <c r="F834" s="65"/>
      <c r="G834" s="65"/>
      <c r="H834" s="65"/>
    </row>
    <row r="835">
      <c r="A835" s="65"/>
      <c r="B835" s="65"/>
      <c r="C835" s="31"/>
      <c r="D835" s="65"/>
      <c r="E835" s="65"/>
      <c r="F835" s="65"/>
      <c r="G835" s="65"/>
      <c r="H835" s="65"/>
    </row>
    <row r="836">
      <c r="A836" s="65"/>
      <c r="B836" s="65"/>
      <c r="C836" s="31"/>
      <c r="D836" s="65"/>
      <c r="E836" s="65"/>
      <c r="F836" s="65"/>
      <c r="G836" s="65"/>
      <c r="H836" s="65"/>
    </row>
    <row r="837">
      <c r="A837" s="65"/>
      <c r="B837" s="65"/>
      <c r="C837" s="31"/>
      <c r="D837" s="65"/>
      <c r="E837" s="65"/>
      <c r="F837" s="65"/>
      <c r="G837" s="65"/>
      <c r="H837" s="65"/>
    </row>
    <row r="838">
      <c r="A838" s="65"/>
      <c r="B838" s="65"/>
      <c r="C838" s="31"/>
      <c r="D838" s="65"/>
      <c r="E838" s="65"/>
      <c r="F838" s="65"/>
      <c r="G838" s="65"/>
      <c r="H838" s="65"/>
    </row>
    <row r="839">
      <c r="A839" s="65"/>
      <c r="B839" s="65"/>
      <c r="C839" s="31"/>
      <c r="D839" s="65"/>
      <c r="E839" s="65"/>
      <c r="F839" s="65"/>
      <c r="G839" s="65"/>
      <c r="H839" s="65"/>
    </row>
    <row r="840">
      <c r="A840" s="65"/>
      <c r="B840" s="65"/>
      <c r="C840" s="31"/>
      <c r="D840" s="65"/>
      <c r="E840" s="65"/>
      <c r="F840" s="65"/>
      <c r="G840" s="65"/>
      <c r="H840" s="65"/>
    </row>
    <row r="841">
      <c r="A841" s="65"/>
      <c r="B841" s="65"/>
      <c r="C841" s="31"/>
      <c r="D841" s="65"/>
      <c r="E841" s="65"/>
      <c r="F841" s="65"/>
      <c r="G841" s="65"/>
      <c r="H841" s="65"/>
    </row>
    <row r="842">
      <c r="A842" s="65"/>
      <c r="B842" s="65"/>
      <c r="C842" s="31"/>
      <c r="D842" s="65"/>
      <c r="E842" s="65"/>
      <c r="F842" s="65"/>
      <c r="G842" s="65"/>
      <c r="H842" s="65"/>
    </row>
    <row r="843">
      <c r="A843" s="65"/>
      <c r="B843" s="65"/>
      <c r="C843" s="31"/>
      <c r="D843" s="65"/>
      <c r="E843" s="65"/>
      <c r="F843" s="65"/>
      <c r="G843" s="65"/>
      <c r="H843" s="65"/>
    </row>
    <row r="844">
      <c r="A844" s="65"/>
      <c r="B844" s="65"/>
      <c r="C844" s="31"/>
      <c r="D844" s="65"/>
      <c r="E844" s="65"/>
      <c r="F844" s="65"/>
      <c r="G844" s="65"/>
      <c r="H844" s="65"/>
    </row>
    <row r="845">
      <c r="A845" s="65"/>
      <c r="B845" s="65"/>
      <c r="C845" s="31"/>
      <c r="D845" s="65"/>
      <c r="E845" s="65"/>
      <c r="F845" s="65"/>
      <c r="G845" s="65"/>
      <c r="H845" s="65"/>
    </row>
    <row r="846">
      <c r="A846" s="65"/>
      <c r="B846" s="65"/>
      <c r="C846" s="31"/>
      <c r="D846" s="65"/>
      <c r="E846" s="65"/>
      <c r="F846" s="65"/>
      <c r="G846" s="65"/>
      <c r="H846" s="65"/>
    </row>
    <row r="847">
      <c r="A847" s="65"/>
      <c r="B847" s="65"/>
      <c r="C847" s="31"/>
      <c r="D847" s="65"/>
      <c r="E847" s="65"/>
      <c r="F847" s="65"/>
      <c r="G847" s="65"/>
      <c r="H847" s="65"/>
    </row>
    <row r="848">
      <c r="A848" s="65"/>
      <c r="B848" s="65"/>
      <c r="C848" s="31"/>
      <c r="D848" s="65"/>
      <c r="E848" s="65"/>
      <c r="F848" s="65"/>
      <c r="G848" s="65"/>
      <c r="H848" s="65"/>
    </row>
    <row r="849">
      <c r="A849" s="65"/>
      <c r="B849" s="65"/>
      <c r="C849" s="31"/>
      <c r="D849" s="65"/>
      <c r="E849" s="65"/>
      <c r="F849" s="65"/>
      <c r="G849" s="65"/>
      <c r="H849" s="65"/>
    </row>
    <row r="850">
      <c r="A850" s="65"/>
      <c r="B850" s="65"/>
      <c r="C850" s="31"/>
      <c r="D850" s="65"/>
      <c r="E850" s="65"/>
      <c r="F850" s="65"/>
      <c r="G850" s="65"/>
      <c r="H850" s="65"/>
    </row>
    <row r="851">
      <c r="A851" s="65"/>
      <c r="B851" s="65"/>
      <c r="C851" s="31"/>
      <c r="D851" s="65"/>
      <c r="E851" s="65"/>
      <c r="F851" s="65"/>
      <c r="G851" s="65"/>
      <c r="H851" s="65"/>
    </row>
    <row r="852">
      <c r="A852" s="65"/>
      <c r="B852" s="65"/>
      <c r="C852" s="31"/>
      <c r="D852" s="65"/>
      <c r="E852" s="65"/>
      <c r="F852" s="65"/>
      <c r="G852" s="65"/>
      <c r="H852" s="65"/>
    </row>
    <row r="853">
      <c r="A853" s="65"/>
      <c r="B853" s="65"/>
      <c r="C853" s="31"/>
      <c r="D853" s="65"/>
      <c r="E853" s="65"/>
      <c r="F853" s="65"/>
      <c r="G853" s="65"/>
      <c r="H853" s="65"/>
    </row>
    <row r="854">
      <c r="A854" s="65"/>
      <c r="B854" s="65"/>
      <c r="C854" s="31"/>
      <c r="D854" s="65"/>
      <c r="E854" s="65"/>
      <c r="F854" s="65"/>
      <c r="G854" s="65"/>
      <c r="H854" s="65"/>
    </row>
    <row r="855">
      <c r="A855" s="65"/>
      <c r="B855" s="65"/>
      <c r="C855" s="31"/>
      <c r="D855" s="65"/>
      <c r="E855" s="65"/>
      <c r="F855" s="65"/>
      <c r="G855" s="65"/>
      <c r="H855" s="65"/>
    </row>
    <row r="856">
      <c r="A856" s="65"/>
      <c r="B856" s="65"/>
      <c r="C856" s="31"/>
      <c r="D856" s="65"/>
      <c r="E856" s="65"/>
      <c r="F856" s="65"/>
      <c r="G856" s="65"/>
      <c r="H856" s="65"/>
    </row>
    <row r="857">
      <c r="A857" s="65"/>
      <c r="B857" s="65"/>
      <c r="C857" s="31"/>
      <c r="D857" s="65"/>
      <c r="E857" s="65"/>
      <c r="F857" s="65"/>
      <c r="G857" s="65"/>
      <c r="H857" s="65"/>
    </row>
    <row r="858">
      <c r="A858" s="65"/>
      <c r="B858" s="65"/>
      <c r="C858" s="31"/>
      <c r="D858" s="65"/>
      <c r="E858" s="65"/>
      <c r="F858" s="65"/>
      <c r="G858" s="65"/>
      <c r="H858" s="65"/>
    </row>
    <row r="859">
      <c r="A859" s="65"/>
      <c r="B859" s="65"/>
      <c r="C859" s="31"/>
      <c r="D859" s="65"/>
      <c r="E859" s="65"/>
      <c r="F859" s="65"/>
      <c r="G859" s="65"/>
      <c r="H859" s="65"/>
    </row>
    <row r="860">
      <c r="A860" s="65"/>
      <c r="B860" s="65"/>
      <c r="C860" s="31"/>
      <c r="D860" s="65"/>
      <c r="E860" s="65"/>
      <c r="F860" s="65"/>
      <c r="G860" s="65"/>
      <c r="H860" s="65"/>
    </row>
    <row r="861">
      <c r="A861" s="65"/>
      <c r="B861" s="65"/>
      <c r="C861" s="31"/>
      <c r="D861" s="65"/>
      <c r="E861" s="65"/>
      <c r="F861" s="65"/>
      <c r="G861" s="65"/>
      <c r="H861" s="65"/>
    </row>
    <row r="862">
      <c r="A862" s="65"/>
      <c r="B862" s="65"/>
      <c r="C862" s="31"/>
      <c r="D862" s="65"/>
      <c r="E862" s="65"/>
      <c r="F862" s="65"/>
      <c r="G862" s="65"/>
      <c r="H862" s="65"/>
    </row>
    <row r="863">
      <c r="A863" s="65"/>
      <c r="B863" s="65"/>
      <c r="C863" s="31"/>
      <c r="D863" s="65"/>
      <c r="E863" s="65"/>
      <c r="F863" s="65"/>
      <c r="G863" s="65"/>
      <c r="H863" s="65"/>
    </row>
    <row r="864">
      <c r="A864" s="65"/>
      <c r="B864" s="65"/>
      <c r="C864" s="31"/>
      <c r="D864" s="65"/>
      <c r="E864" s="65"/>
      <c r="F864" s="65"/>
      <c r="G864" s="65"/>
      <c r="H864" s="65"/>
    </row>
    <row r="865">
      <c r="A865" s="65"/>
      <c r="B865" s="65"/>
      <c r="C865" s="31"/>
      <c r="D865" s="65"/>
      <c r="E865" s="65"/>
      <c r="F865" s="65"/>
      <c r="G865" s="65"/>
      <c r="H865" s="65"/>
    </row>
    <row r="866">
      <c r="A866" s="65"/>
      <c r="B866" s="65"/>
      <c r="C866" s="31"/>
      <c r="D866" s="65"/>
      <c r="E866" s="65"/>
      <c r="F866" s="65"/>
      <c r="G866" s="65"/>
      <c r="H866" s="65"/>
    </row>
    <row r="867">
      <c r="A867" s="65"/>
      <c r="B867" s="65"/>
      <c r="C867" s="31"/>
      <c r="D867" s="65"/>
      <c r="E867" s="65"/>
      <c r="F867" s="65"/>
      <c r="G867" s="65"/>
      <c r="H867" s="65"/>
    </row>
    <row r="868">
      <c r="A868" s="65"/>
      <c r="B868" s="65"/>
      <c r="C868" s="31"/>
      <c r="D868" s="65"/>
      <c r="E868" s="65"/>
      <c r="F868" s="65"/>
      <c r="G868" s="65"/>
      <c r="H868" s="65"/>
    </row>
    <row r="869">
      <c r="A869" s="65"/>
      <c r="B869" s="65"/>
      <c r="C869" s="31"/>
      <c r="D869" s="65"/>
      <c r="E869" s="65"/>
      <c r="F869" s="65"/>
      <c r="G869" s="65"/>
      <c r="H869" s="65"/>
    </row>
    <row r="870">
      <c r="A870" s="65"/>
      <c r="B870" s="65"/>
      <c r="C870" s="31"/>
      <c r="D870" s="65"/>
      <c r="E870" s="65"/>
      <c r="F870" s="65"/>
      <c r="G870" s="65"/>
      <c r="H870" s="65"/>
    </row>
    <row r="871">
      <c r="A871" s="65"/>
      <c r="B871" s="65"/>
      <c r="C871" s="31"/>
      <c r="D871" s="65"/>
      <c r="E871" s="65"/>
      <c r="F871" s="65"/>
      <c r="G871" s="65"/>
      <c r="H871" s="65"/>
    </row>
    <row r="872">
      <c r="A872" s="65"/>
      <c r="B872" s="65"/>
      <c r="C872" s="31"/>
      <c r="D872" s="65"/>
      <c r="E872" s="65"/>
      <c r="F872" s="65"/>
      <c r="G872" s="65"/>
      <c r="H872" s="65"/>
    </row>
    <row r="873">
      <c r="A873" s="65"/>
      <c r="B873" s="65"/>
      <c r="C873" s="31"/>
      <c r="D873" s="65"/>
      <c r="E873" s="65"/>
      <c r="F873" s="65"/>
      <c r="G873" s="65"/>
      <c r="H873" s="65"/>
    </row>
    <row r="874">
      <c r="A874" s="65"/>
      <c r="B874" s="65"/>
      <c r="C874" s="31"/>
      <c r="D874" s="65"/>
      <c r="E874" s="65"/>
      <c r="F874" s="65"/>
      <c r="G874" s="65"/>
      <c r="H874" s="65"/>
    </row>
    <row r="875">
      <c r="A875" s="65"/>
      <c r="B875" s="65"/>
      <c r="C875" s="31"/>
      <c r="D875" s="65"/>
      <c r="E875" s="65"/>
      <c r="F875" s="65"/>
      <c r="G875" s="65"/>
      <c r="H875" s="65"/>
    </row>
    <row r="876">
      <c r="A876" s="65"/>
      <c r="B876" s="65"/>
      <c r="C876" s="31"/>
      <c r="D876" s="65"/>
      <c r="E876" s="65"/>
      <c r="F876" s="65"/>
      <c r="G876" s="65"/>
      <c r="H876" s="65"/>
    </row>
    <row r="877">
      <c r="A877" s="65"/>
      <c r="B877" s="65"/>
      <c r="C877" s="31"/>
      <c r="D877" s="65"/>
      <c r="E877" s="65"/>
      <c r="F877" s="65"/>
      <c r="G877" s="65"/>
      <c r="H877" s="65"/>
    </row>
    <row r="878">
      <c r="A878" s="65"/>
      <c r="B878" s="65"/>
      <c r="C878" s="31"/>
      <c r="D878" s="65"/>
      <c r="E878" s="65"/>
      <c r="F878" s="65"/>
      <c r="G878" s="65"/>
      <c r="H878" s="65"/>
    </row>
    <row r="879">
      <c r="A879" s="65"/>
      <c r="B879" s="65"/>
      <c r="C879" s="31"/>
      <c r="D879" s="65"/>
      <c r="E879" s="65"/>
      <c r="F879" s="65"/>
      <c r="G879" s="65"/>
      <c r="H879" s="65"/>
    </row>
    <row r="880">
      <c r="A880" s="65"/>
      <c r="B880" s="65"/>
      <c r="C880" s="31"/>
      <c r="D880" s="65"/>
      <c r="E880" s="65"/>
      <c r="F880" s="65"/>
      <c r="G880" s="65"/>
      <c r="H880" s="65"/>
    </row>
    <row r="881">
      <c r="A881" s="65"/>
      <c r="B881" s="65"/>
      <c r="C881" s="31"/>
      <c r="D881" s="65"/>
      <c r="E881" s="65"/>
      <c r="F881" s="65"/>
      <c r="G881" s="65"/>
      <c r="H881" s="65"/>
    </row>
    <row r="882">
      <c r="A882" s="65"/>
      <c r="B882" s="65"/>
      <c r="C882" s="31"/>
      <c r="D882" s="65"/>
      <c r="E882" s="65"/>
      <c r="F882" s="65"/>
      <c r="G882" s="65"/>
      <c r="H882" s="65"/>
    </row>
    <row r="883">
      <c r="A883" s="65"/>
      <c r="B883" s="65"/>
      <c r="C883" s="31"/>
      <c r="D883" s="65"/>
      <c r="E883" s="65"/>
      <c r="F883" s="65"/>
      <c r="G883" s="65"/>
      <c r="H883" s="65"/>
    </row>
    <row r="884">
      <c r="A884" s="65"/>
      <c r="B884" s="65"/>
      <c r="C884" s="31"/>
      <c r="D884" s="65"/>
      <c r="E884" s="65"/>
      <c r="F884" s="65"/>
      <c r="G884" s="65"/>
      <c r="H884" s="65"/>
    </row>
    <row r="885">
      <c r="A885" s="65"/>
      <c r="B885" s="65"/>
      <c r="C885" s="31"/>
      <c r="D885" s="65"/>
      <c r="E885" s="65"/>
      <c r="F885" s="65"/>
      <c r="G885" s="65"/>
      <c r="H885" s="65"/>
    </row>
    <row r="886">
      <c r="A886" s="65"/>
      <c r="B886" s="65"/>
      <c r="C886" s="31"/>
      <c r="D886" s="65"/>
      <c r="E886" s="65"/>
      <c r="F886" s="65"/>
      <c r="G886" s="65"/>
      <c r="H886" s="65"/>
    </row>
    <row r="887">
      <c r="A887" s="65"/>
      <c r="B887" s="65"/>
      <c r="C887" s="31"/>
      <c r="D887" s="65"/>
      <c r="E887" s="65"/>
      <c r="F887" s="65"/>
      <c r="G887" s="65"/>
      <c r="H887" s="65"/>
    </row>
    <row r="888">
      <c r="A888" s="65"/>
      <c r="B888" s="65"/>
      <c r="C888" s="31"/>
      <c r="D888" s="65"/>
      <c r="E888" s="65"/>
      <c r="F888" s="65"/>
      <c r="G888" s="65"/>
      <c r="H888" s="65"/>
    </row>
    <row r="889">
      <c r="A889" s="65"/>
      <c r="B889" s="65"/>
      <c r="C889" s="31"/>
      <c r="D889" s="65"/>
      <c r="E889" s="65"/>
      <c r="F889" s="65"/>
      <c r="G889" s="65"/>
      <c r="H889" s="65"/>
    </row>
    <row r="890">
      <c r="A890" s="65"/>
      <c r="B890" s="65"/>
      <c r="C890" s="31"/>
      <c r="D890" s="65"/>
      <c r="E890" s="65"/>
      <c r="F890" s="65"/>
      <c r="G890" s="65"/>
      <c r="H890" s="65"/>
    </row>
    <row r="891">
      <c r="A891" s="65"/>
      <c r="B891" s="65"/>
      <c r="C891" s="31"/>
      <c r="D891" s="65"/>
      <c r="E891" s="65"/>
      <c r="F891" s="65"/>
      <c r="G891" s="65"/>
      <c r="H891" s="65"/>
    </row>
    <row r="892">
      <c r="A892" s="65"/>
      <c r="B892" s="65"/>
      <c r="C892" s="31"/>
      <c r="D892" s="65"/>
      <c r="E892" s="65"/>
      <c r="F892" s="65"/>
      <c r="G892" s="65"/>
      <c r="H892" s="65"/>
    </row>
    <row r="893">
      <c r="A893" s="65"/>
      <c r="B893" s="65"/>
      <c r="C893" s="31"/>
      <c r="D893" s="65"/>
      <c r="E893" s="65"/>
      <c r="F893" s="65"/>
      <c r="G893" s="65"/>
      <c r="H893" s="65"/>
    </row>
    <row r="894">
      <c r="A894" s="65"/>
      <c r="B894" s="65"/>
      <c r="C894" s="31"/>
      <c r="D894" s="65"/>
      <c r="E894" s="65"/>
      <c r="F894" s="65"/>
      <c r="G894" s="65"/>
      <c r="H894" s="65"/>
    </row>
    <row r="895">
      <c r="A895" s="65"/>
      <c r="B895" s="65"/>
      <c r="C895" s="31"/>
      <c r="D895" s="65"/>
      <c r="E895" s="65"/>
      <c r="F895" s="65"/>
      <c r="G895" s="65"/>
      <c r="H895" s="65"/>
    </row>
    <row r="896">
      <c r="A896" s="65"/>
      <c r="B896" s="65"/>
      <c r="C896" s="31"/>
      <c r="D896" s="65"/>
      <c r="E896" s="65"/>
      <c r="F896" s="65"/>
      <c r="G896" s="65"/>
      <c r="H896" s="65"/>
    </row>
    <row r="897">
      <c r="A897" s="65"/>
      <c r="B897" s="65"/>
      <c r="C897" s="31"/>
      <c r="D897" s="65"/>
      <c r="E897" s="65"/>
      <c r="F897" s="65"/>
      <c r="G897" s="65"/>
      <c r="H897" s="65"/>
    </row>
    <row r="898">
      <c r="A898" s="65"/>
      <c r="B898" s="65"/>
      <c r="C898" s="31"/>
      <c r="D898" s="65"/>
      <c r="E898" s="65"/>
      <c r="F898" s="65"/>
      <c r="G898" s="65"/>
      <c r="H898" s="65"/>
    </row>
    <row r="899">
      <c r="A899" s="65"/>
      <c r="B899" s="65"/>
      <c r="C899" s="31"/>
      <c r="D899" s="65"/>
      <c r="E899" s="65"/>
      <c r="F899" s="65"/>
      <c r="G899" s="65"/>
      <c r="H899" s="65"/>
    </row>
    <row r="900">
      <c r="A900" s="65"/>
      <c r="B900" s="65"/>
      <c r="C900" s="31"/>
      <c r="D900" s="65"/>
      <c r="E900" s="65"/>
      <c r="F900" s="65"/>
      <c r="G900" s="65"/>
      <c r="H900" s="65"/>
    </row>
    <row r="901">
      <c r="A901" s="65"/>
      <c r="B901" s="65"/>
      <c r="C901" s="31"/>
      <c r="D901" s="65"/>
      <c r="E901" s="65"/>
      <c r="F901" s="65"/>
      <c r="G901" s="65"/>
      <c r="H901" s="65"/>
    </row>
    <row r="902">
      <c r="A902" s="65"/>
      <c r="B902" s="65"/>
      <c r="C902" s="31"/>
      <c r="D902" s="65"/>
      <c r="E902" s="65"/>
      <c r="F902" s="65"/>
      <c r="G902" s="65"/>
      <c r="H902" s="65"/>
    </row>
    <row r="903">
      <c r="A903" s="65"/>
      <c r="B903" s="65"/>
      <c r="C903" s="31"/>
      <c r="D903" s="65"/>
      <c r="E903" s="65"/>
      <c r="F903" s="65"/>
      <c r="G903" s="65"/>
      <c r="H903" s="65"/>
    </row>
    <row r="904">
      <c r="A904" s="65"/>
      <c r="B904" s="65"/>
      <c r="C904" s="31"/>
      <c r="D904" s="65"/>
      <c r="E904" s="65"/>
      <c r="F904" s="65"/>
      <c r="G904" s="65"/>
      <c r="H904" s="65"/>
    </row>
    <row r="905">
      <c r="A905" s="65"/>
      <c r="B905" s="65"/>
      <c r="C905" s="31"/>
      <c r="D905" s="65"/>
      <c r="E905" s="65"/>
      <c r="F905" s="65"/>
      <c r="G905" s="65"/>
      <c r="H905" s="65"/>
    </row>
    <row r="906">
      <c r="A906" s="65"/>
      <c r="B906" s="65"/>
      <c r="C906" s="31"/>
      <c r="D906" s="65"/>
      <c r="E906" s="65"/>
      <c r="F906" s="65"/>
      <c r="G906" s="65"/>
      <c r="H906" s="65"/>
    </row>
    <row r="907">
      <c r="A907" s="65"/>
      <c r="B907" s="65"/>
      <c r="C907" s="31"/>
      <c r="D907" s="65"/>
      <c r="E907" s="65"/>
      <c r="F907" s="65"/>
      <c r="G907" s="65"/>
      <c r="H907" s="65"/>
    </row>
    <row r="908">
      <c r="A908" s="65"/>
      <c r="B908" s="65"/>
      <c r="C908" s="31"/>
      <c r="D908" s="65"/>
      <c r="E908" s="65"/>
      <c r="F908" s="65"/>
      <c r="G908" s="65"/>
      <c r="H908" s="65"/>
    </row>
    <row r="909">
      <c r="A909" s="65"/>
      <c r="B909" s="65"/>
      <c r="C909" s="31"/>
      <c r="D909" s="65"/>
      <c r="E909" s="65"/>
      <c r="F909" s="65"/>
      <c r="G909" s="65"/>
      <c r="H909" s="65"/>
    </row>
    <row r="910">
      <c r="A910" s="65"/>
      <c r="B910" s="65"/>
      <c r="C910" s="31"/>
      <c r="D910" s="65"/>
      <c r="E910" s="65"/>
      <c r="F910" s="65"/>
      <c r="G910" s="65"/>
      <c r="H910" s="65"/>
    </row>
    <row r="911">
      <c r="A911" s="65"/>
      <c r="B911" s="65"/>
      <c r="C911" s="31"/>
      <c r="D911" s="65"/>
      <c r="E911" s="65"/>
      <c r="F911" s="65"/>
      <c r="G911" s="65"/>
      <c r="H911" s="65"/>
    </row>
    <row r="912">
      <c r="A912" s="65"/>
      <c r="B912" s="65"/>
      <c r="C912" s="31"/>
      <c r="D912" s="65"/>
      <c r="E912" s="65"/>
      <c r="F912" s="65"/>
      <c r="G912" s="65"/>
      <c r="H912" s="65"/>
    </row>
    <row r="913">
      <c r="A913" s="65"/>
      <c r="B913" s="65"/>
      <c r="C913" s="31"/>
      <c r="D913" s="65"/>
      <c r="E913" s="65"/>
      <c r="F913" s="65"/>
      <c r="G913" s="65"/>
      <c r="H913" s="65"/>
    </row>
    <row r="914">
      <c r="A914" s="65"/>
      <c r="B914" s="65"/>
      <c r="C914" s="31"/>
      <c r="D914" s="65"/>
      <c r="E914" s="65"/>
      <c r="F914" s="65"/>
      <c r="G914" s="65"/>
      <c r="H914" s="65"/>
    </row>
    <row r="915">
      <c r="A915" s="65"/>
      <c r="B915" s="65"/>
      <c r="C915" s="31"/>
      <c r="D915" s="65"/>
      <c r="E915" s="65"/>
      <c r="F915" s="65"/>
      <c r="G915" s="65"/>
      <c r="H915" s="65"/>
    </row>
    <row r="916">
      <c r="A916" s="65"/>
      <c r="B916" s="65"/>
      <c r="C916" s="31"/>
      <c r="D916" s="65"/>
      <c r="E916" s="65"/>
      <c r="F916" s="65"/>
      <c r="G916" s="65"/>
      <c r="H916" s="65"/>
    </row>
    <row r="917">
      <c r="A917" s="65"/>
      <c r="B917" s="65"/>
      <c r="C917" s="31"/>
      <c r="D917" s="65"/>
      <c r="E917" s="65"/>
      <c r="F917" s="65"/>
      <c r="G917" s="65"/>
      <c r="H917" s="65"/>
    </row>
    <row r="918">
      <c r="A918" s="65"/>
      <c r="B918" s="65"/>
      <c r="C918" s="31"/>
      <c r="D918" s="65"/>
      <c r="E918" s="65"/>
      <c r="F918" s="65"/>
      <c r="G918" s="65"/>
      <c r="H918" s="65"/>
    </row>
    <row r="919">
      <c r="A919" s="65"/>
      <c r="B919" s="65"/>
      <c r="C919" s="31"/>
      <c r="D919" s="65"/>
      <c r="E919" s="65"/>
      <c r="F919" s="65"/>
      <c r="G919" s="65"/>
      <c r="H919" s="65"/>
    </row>
    <row r="920">
      <c r="A920" s="65"/>
      <c r="B920" s="65"/>
      <c r="C920" s="31"/>
      <c r="D920" s="65"/>
      <c r="E920" s="65"/>
      <c r="F920" s="65"/>
      <c r="G920" s="65"/>
      <c r="H920" s="65"/>
    </row>
    <row r="921">
      <c r="A921" s="65"/>
      <c r="B921" s="65"/>
      <c r="C921" s="31"/>
      <c r="D921" s="65"/>
      <c r="E921" s="65"/>
      <c r="F921" s="65"/>
      <c r="G921" s="65"/>
      <c r="H921" s="65"/>
    </row>
    <row r="922">
      <c r="A922" s="65"/>
      <c r="B922" s="65"/>
      <c r="C922" s="31"/>
      <c r="D922" s="65"/>
      <c r="E922" s="65"/>
      <c r="F922" s="65"/>
      <c r="G922" s="65"/>
      <c r="H922" s="65"/>
    </row>
    <row r="923">
      <c r="A923" s="65"/>
      <c r="B923" s="65"/>
      <c r="C923" s="31"/>
      <c r="D923" s="65"/>
      <c r="E923" s="65"/>
      <c r="F923" s="65"/>
      <c r="G923" s="65"/>
      <c r="H923" s="65"/>
    </row>
    <row r="924">
      <c r="A924" s="65"/>
      <c r="B924" s="65"/>
      <c r="C924" s="31"/>
      <c r="D924" s="65"/>
      <c r="E924" s="65"/>
      <c r="F924" s="65"/>
      <c r="G924" s="65"/>
      <c r="H924" s="65"/>
    </row>
    <row r="925">
      <c r="A925" s="65"/>
      <c r="B925" s="65"/>
      <c r="C925" s="31"/>
      <c r="D925" s="65"/>
      <c r="E925" s="65"/>
      <c r="F925" s="65"/>
      <c r="G925" s="65"/>
      <c r="H925" s="65"/>
    </row>
    <row r="926">
      <c r="A926" s="65"/>
      <c r="B926" s="65"/>
      <c r="C926" s="31"/>
      <c r="D926" s="65"/>
      <c r="E926" s="65"/>
      <c r="F926" s="65"/>
      <c r="G926" s="65"/>
      <c r="H926" s="65"/>
    </row>
    <row r="927">
      <c r="A927" s="65"/>
      <c r="B927" s="65"/>
      <c r="C927" s="31"/>
      <c r="D927" s="65"/>
      <c r="E927" s="65"/>
      <c r="F927" s="65"/>
      <c r="G927" s="65"/>
      <c r="H927" s="65"/>
    </row>
    <row r="928">
      <c r="A928" s="65"/>
      <c r="B928" s="65"/>
      <c r="C928" s="31"/>
      <c r="D928" s="65"/>
      <c r="E928" s="65"/>
      <c r="F928" s="65"/>
      <c r="G928" s="65"/>
      <c r="H928" s="65"/>
    </row>
    <row r="929">
      <c r="A929" s="65"/>
      <c r="B929" s="65"/>
      <c r="C929" s="31"/>
      <c r="D929" s="65"/>
      <c r="E929" s="65"/>
      <c r="F929" s="65"/>
      <c r="G929" s="65"/>
      <c r="H929" s="65"/>
    </row>
    <row r="930">
      <c r="A930" s="65"/>
      <c r="B930" s="65"/>
      <c r="C930" s="31"/>
      <c r="D930" s="65"/>
      <c r="E930" s="65"/>
      <c r="F930" s="65"/>
      <c r="G930" s="65"/>
      <c r="H930" s="65"/>
    </row>
    <row r="931">
      <c r="A931" s="65"/>
      <c r="B931" s="65"/>
      <c r="C931" s="31"/>
      <c r="D931" s="65"/>
      <c r="E931" s="65"/>
      <c r="F931" s="65"/>
      <c r="G931" s="65"/>
      <c r="H931" s="65"/>
    </row>
    <row r="932">
      <c r="A932" s="65"/>
      <c r="B932" s="65"/>
      <c r="C932" s="31"/>
      <c r="D932" s="65"/>
      <c r="E932" s="65"/>
      <c r="F932" s="65"/>
      <c r="G932" s="65"/>
      <c r="H932" s="65"/>
    </row>
    <row r="933">
      <c r="A933" s="65"/>
      <c r="B933" s="65"/>
      <c r="C933" s="31"/>
      <c r="D933" s="65"/>
      <c r="E933" s="65"/>
      <c r="F933" s="65"/>
      <c r="G933" s="65"/>
      <c r="H933" s="65"/>
    </row>
    <row r="934">
      <c r="A934" s="65"/>
      <c r="B934" s="65"/>
      <c r="C934" s="31"/>
      <c r="D934" s="65"/>
      <c r="E934" s="65"/>
      <c r="F934" s="65"/>
      <c r="G934" s="65"/>
      <c r="H934" s="65"/>
    </row>
    <row r="935">
      <c r="A935" s="65"/>
      <c r="B935" s="65"/>
      <c r="C935" s="31"/>
      <c r="D935" s="65"/>
      <c r="E935" s="65"/>
      <c r="F935" s="65"/>
      <c r="G935" s="65"/>
      <c r="H935" s="65"/>
    </row>
    <row r="936">
      <c r="A936" s="65"/>
      <c r="B936" s="65"/>
      <c r="C936" s="31"/>
      <c r="D936" s="65"/>
      <c r="E936" s="65"/>
      <c r="F936" s="65"/>
      <c r="G936" s="65"/>
      <c r="H936" s="65"/>
    </row>
    <row r="937">
      <c r="A937" s="65"/>
      <c r="B937" s="65"/>
      <c r="C937" s="31"/>
      <c r="D937" s="65"/>
      <c r="E937" s="65"/>
      <c r="F937" s="65"/>
      <c r="G937" s="65"/>
      <c r="H937" s="65"/>
    </row>
    <row r="938">
      <c r="A938" s="65"/>
      <c r="B938" s="65"/>
      <c r="C938" s="31"/>
      <c r="D938" s="65"/>
      <c r="E938" s="65"/>
      <c r="F938" s="65"/>
      <c r="G938" s="65"/>
      <c r="H938" s="65"/>
    </row>
    <row r="939">
      <c r="A939" s="65"/>
      <c r="B939" s="65"/>
      <c r="C939" s="31"/>
      <c r="D939" s="65"/>
      <c r="E939" s="65"/>
      <c r="F939" s="65"/>
      <c r="G939" s="65"/>
      <c r="H939" s="65"/>
    </row>
    <row r="940">
      <c r="A940" s="65"/>
      <c r="B940" s="65"/>
      <c r="C940" s="31"/>
      <c r="D940" s="65"/>
      <c r="E940" s="65"/>
      <c r="F940" s="65"/>
      <c r="G940" s="65"/>
      <c r="H940" s="65"/>
    </row>
    <row r="941">
      <c r="A941" s="65"/>
      <c r="B941" s="65"/>
      <c r="C941" s="31"/>
      <c r="D941" s="65"/>
      <c r="E941" s="65"/>
      <c r="F941" s="65"/>
      <c r="G941" s="65"/>
      <c r="H941" s="65"/>
    </row>
    <row r="942">
      <c r="A942" s="65"/>
      <c r="B942" s="65"/>
      <c r="C942" s="31"/>
      <c r="D942" s="65"/>
      <c r="E942" s="65"/>
      <c r="F942" s="65"/>
      <c r="G942" s="65"/>
      <c r="H942" s="65"/>
    </row>
    <row r="943">
      <c r="A943" s="65"/>
      <c r="B943" s="65"/>
      <c r="C943" s="31"/>
      <c r="D943" s="65"/>
      <c r="E943" s="65"/>
      <c r="F943" s="65"/>
      <c r="G943" s="65"/>
      <c r="H943" s="65"/>
    </row>
    <row r="944">
      <c r="A944" s="65"/>
      <c r="B944" s="65"/>
      <c r="C944" s="31"/>
      <c r="D944" s="65"/>
      <c r="E944" s="65"/>
      <c r="F944" s="65"/>
      <c r="G944" s="65"/>
      <c r="H944" s="65"/>
    </row>
    <row r="945">
      <c r="A945" s="65"/>
      <c r="B945" s="65"/>
      <c r="C945" s="31"/>
      <c r="D945" s="65"/>
      <c r="E945" s="65"/>
      <c r="F945" s="65"/>
      <c r="G945" s="65"/>
      <c r="H945" s="65"/>
    </row>
    <row r="946">
      <c r="A946" s="65"/>
      <c r="B946" s="65"/>
      <c r="C946" s="31"/>
      <c r="D946" s="65"/>
      <c r="E946" s="65"/>
      <c r="F946" s="65"/>
      <c r="G946" s="65"/>
      <c r="H946" s="65"/>
    </row>
    <row r="947">
      <c r="A947" s="65"/>
      <c r="B947" s="65"/>
      <c r="C947" s="31"/>
      <c r="D947" s="65"/>
      <c r="E947" s="65"/>
      <c r="F947" s="65"/>
      <c r="G947" s="65"/>
      <c r="H947" s="65"/>
    </row>
    <row r="948">
      <c r="A948" s="65"/>
      <c r="B948" s="65"/>
      <c r="C948" s="31"/>
      <c r="D948" s="65"/>
      <c r="E948" s="65"/>
      <c r="F948" s="65"/>
      <c r="G948" s="65"/>
      <c r="H948" s="65"/>
    </row>
    <row r="949">
      <c r="A949" s="65"/>
      <c r="B949" s="65"/>
      <c r="C949" s="31"/>
      <c r="D949" s="65"/>
      <c r="E949" s="65"/>
      <c r="F949" s="65"/>
      <c r="G949" s="65"/>
      <c r="H949" s="65"/>
    </row>
    <row r="950">
      <c r="A950" s="65"/>
      <c r="B950" s="65"/>
      <c r="C950" s="31"/>
      <c r="D950" s="65"/>
      <c r="E950" s="65"/>
      <c r="F950" s="65"/>
      <c r="G950" s="65"/>
      <c r="H950" s="65"/>
    </row>
    <row r="951">
      <c r="A951" s="65"/>
      <c r="B951" s="65"/>
      <c r="C951" s="31"/>
      <c r="D951" s="65"/>
      <c r="E951" s="65"/>
      <c r="F951" s="65"/>
      <c r="G951" s="65"/>
      <c r="H951" s="65"/>
    </row>
    <row r="952">
      <c r="A952" s="65"/>
      <c r="B952" s="65"/>
      <c r="C952" s="31"/>
      <c r="D952" s="65"/>
      <c r="E952" s="65"/>
      <c r="F952" s="65"/>
      <c r="G952" s="65"/>
      <c r="H952" s="65"/>
    </row>
    <row r="953">
      <c r="A953" s="65"/>
      <c r="B953" s="65"/>
      <c r="C953" s="31"/>
      <c r="D953" s="65"/>
      <c r="E953" s="65"/>
      <c r="F953" s="65"/>
      <c r="G953" s="65"/>
      <c r="H953" s="65"/>
    </row>
    <row r="954">
      <c r="A954" s="65"/>
      <c r="B954" s="65"/>
      <c r="C954" s="31"/>
      <c r="D954" s="65"/>
      <c r="E954" s="65"/>
      <c r="F954" s="65"/>
      <c r="G954" s="65"/>
      <c r="H954" s="65"/>
    </row>
    <row r="955">
      <c r="A955" s="65"/>
      <c r="B955" s="65"/>
      <c r="C955" s="31"/>
      <c r="D955" s="65"/>
      <c r="E955" s="65"/>
      <c r="F955" s="65"/>
      <c r="G955" s="65"/>
      <c r="H955" s="65"/>
    </row>
    <row r="956">
      <c r="A956" s="65"/>
      <c r="B956" s="65"/>
      <c r="C956" s="31"/>
      <c r="D956" s="65"/>
      <c r="E956" s="65"/>
      <c r="F956" s="65"/>
      <c r="G956" s="65"/>
      <c r="H956" s="65"/>
    </row>
    <row r="957">
      <c r="A957" s="65"/>
      <c r="B957" s="65"/>
      <c r="C957" s="31"/>
      <c r="D957" s="65"/>
      <c r="E957" s="65"/>
      <c r="F957" s="65"/>
      <c r="G957" s="65"/>
      <c r="H957" s="65"/>
    </row>
    <row r="958">
      <c r="A958" s="65"/>
      <c r="B958" s="65"/>
      <c r="C958" s="31"/>
      <c r="D958" s="65"/>
      <c r="E958" s="65"/>
      <c r="F958" s="65"/>
      <c r="G958" s="65"/>
      <c r="H958" s="65"/>
    </row>
    <row r="959">
      <c r="A959" s="65"/>
      <c r="B959" s="65"/>
      <c r="C959" s="31"/>
      <c r="D959" s="65"/>
      <c r="E959" s="65"/>
      <c r="F959" s="65"/>
      <c r="G959" s="65"/>
      <c r="H959" s="65"/>
    </row>
    <row r="960">
      <c r="A960" s="65"/>
      <c r="B960" s="65"/>
      <c r="C960" s="31"/>
      <c r="D960" s="65"/>
      <c r="E960" s="65"/>
      <c r="F960" s="65"/>
      <c r="G960" s="65"/>
      <c r="H960" s="65"/>
    </row>
    <row r="961">
      <c r="A961" s="65"/>
      <c r="B961" s="65"/>
      <c r="C961" s="31"/>
      <c r="D961" s="65"/>
      <c r="E961" s="65"/>
      <c r="F961" s="65"/>
      <c r="G961" s="65"/>
      <c r="H961" s="65"/>
    </row>
    <row r="962">
      <c r="A962" s="65"/>
      <c r="B962" s="65"/>
      <c r="C962" s="31"/>
      <c r="D962" s="65"/>
      <c r="E962" s="65"/>
      <c r="F962" s="65"/>
      <c r="G962" s="65"/>
      <c r="H962" s="65"/>
    </row>
    <row r="963">
      <c r="A963" s="65"/>
      <c r="B963" s="65"/>
      <c r="C963" s="31"/>
      <c r="D963" s="65"/>
      <c r="E963" s="65"/>
      <c r="F963" s="65"/>
      <c r="G963" s="65"/>
      <c r="H963" s="65"/>
    </row>
    <row r="964">
      <c r="A964" s="65"/>
      <c r="B964" s="65"/>
      <c r="C964" s="31"/>
      <c r="D964" s="65"/>
      <c r="E964" s="65"/>
      <c r="F964" s="65"/>
      <c r="G964" s="65"/>
      <c r="H964" s="65"/>
    </row>
    <row r="965">
      <c r="A965" s="65"/>
      <c r="B965" s="65"/>
      <c r="C965" s="31"/>
      <c r="D965" s="65"/>
      <c r="E965" s="65"/>
      <c r="F965" s="65"/>
      <c r="G965" s="65"/>
      <c r="H965" s="65"/>
    </row>
    <row r="966">
      <c r="A966" s="65"/>
      <c r="B966" s="65"/>
      <c r="C966" s="31"/>
      <c r="D966" s="65"/>
      <c r="E966" s="65"/>
      <c r="F966" s="65"/>
      <c r="G966" s="65"/>
      <c r="H966" s="65"/>
    </row>
    <row r="967">
      <c r="A967" s="65"/>
      <c r="B967" s="65"/>
      <c r="C967" s="31"/>
      <c r="D967" s="65"/>
      <c r="E967" s="65"/>
      <c r="F967" s="65"/>
      <c r="G967" s="65"/>
      <c r="H967" s="65"/>
    </row>
    <row r="968">
      <c r="A968" s="65"/>
      <c r="B968" s="65"/>
      <c r="C968" s="31"/>
      <c r="D968" s="65"/>
      <c r="E968" s="65"/>
      <c r="F968" s="65"/>
      <c r="G968" s="65"/>
      <c r="H968" s="65"/>
    </row>
    <row r="969">
      <c r="A969" s="65"/>
      <c r="B969" s="65"/>
      <c r="C969" s="31"/>
      <c r="D969" s="65"/>
      <c r="E969" s="65"/>
      <c r="F969" s="65"/>
      <c r="G969" s="65"/>
      <c r="H969" s="65"/>
    </row>
    <row r="970">
      <c r="A970" s="65"/>
      <c r="B970" s="65"/>
      <c r="C970" s="31"/>
      <c r="D970" s="65"/>
      <c r="E970" s="65"/>
      <c r="F970" s="65"/>
      <c r="G970" s="65"/>
      <c r="H970" s="65"/>
    </row>
    <row r="971">
      <c r="A971" s="65"/>
      <c r="B971" s="65"/>
      <c r="C971" s="31"/>
      <c r="D971" s="65"/>
      <c r="E971" s="65"/>
      <c r="F971" s="65"/>
      <c r="G971" s="65"/>
      <c r="H971" s="65"/>
    </row>
    <row r="972">
      <c r="A972" s="65"/>
      <c r="B972" s="65"/>
      <c r="C972" s="31"/>
      <c r="D972" s="65"/>
      <c r="E972" s="65"/>
      <c r="F972" s="65"/>
      <c r="G972" s="65"/>
      <c r="H972" s="65"/>
    </row>
    <row r="973">
      <c r="A973" s="65"/>
      <c r="B973" s="65"/>
      <c r="C973" s="31"/>
      <c r="D973" s="65"/>
      <c r="E973" s="65"/>
      <c r="F973" s="65"/>
      <c r="G973" s="65"/>
      <c r="H973" s="65"/>
    </row>
    <row r="974">
      <c r="A974" s="65"/>
      <c r="B974" s="65"/>
      <c r="C974" s="31"/>
      <c r="D974" s="65"/>
      <c r="E974" s="65"/>
      <c r="F974" s="65"/>
      <c r="G974" s="65"/>
      <c r="H974" s="65"/>
    </row>
    <row r="975">
      <c r="A975" s="65"/>
      <c r="B975" s="65"/>
      <c r="C975" s="31"/>
      <c r="D975" s="65"/>
      <c r="E975" s="65"/>
      <c r="F975" s="65"/>
      <c r="G975" s="65"/>
      <c r="H975" s="65"/>
    </row>
    <row r="976">
      <c r="A976" s="65"/>
      <c r="B976" s="65"/>
      <c r="C976" s="31"/>
      <c r="D976" s="65"/>
      <c r="E976" s="65"/>
      <c r="F976" s="65"/>
      <c r="G976" s="65"/>
      <c r="H976" s="65"/>
    </row>
    <row r="977">
      <c r="A977" s="65"/>
      <c r="B977" s="65"/>
      <c r="C977" s="31"/>
      <c r="D977" s="65"/>
      <c r="E977" s="65"/>
      <c r="F977" s="65"/>
      <c r="G977" s="65"/>
      <c r="H977" s="65"/>
    </row>
    <row r="978">
      <c r="A978" s="65"/>
      <c r="B978" s="65"/>
      <c r="C978" s="31"/>
      <c r="D978" s="65"/>
      <c r="E978" s="65"/>
      <c r="F978" s="65"/>
      <c r="G978" s="65"/>
      <c r="H978" s="65"/>
    </row>
    <row r="979">
      <c r="A979" s="65"/>
      <c r="B979" s="65"/>
      <c r="C979" s="31"/>
      <c r="D979" s="65"/>
      <c r="E979" s="65"/>
      <c r="F979" s="65"/>
      <c r="G979" s="65"/>
      <c r="H979" s="65"/>
    </row>
    <row r="980">
      <c r="A980" s="65"/>
      <c r="B980" s="65"/>
      <c r="C980" s="31"/>
      <c r="D980" s="65"/>
      <c r="E980" s="65"/>
      <c r="F980" s="65"/>
      <c r="G980" s="65"/>
      <c r="H980" s="65"/>
    </row>
    <row r="981">
      <c r="A981" s="65"/>
      <c r="B981" s="65"/>
      <c r="C981" s="31"/>
      <c r="D981" s="65"/>
      <c r="E981" s="65"/>
      <c r="F981" s="65"/>
      <c r="G981" s="65"/>
      <c r="H981" s="65"/>
    </row>
    <row r="982">
      <c r="A982" s="65"/>
      <c r="B982" s="65"/>
      <c r="C982" s="31"/>
      <c r="D982" s="65"/>
      <c r="E982" s="65"/>
      <c r="F982" s="65"/>
      <c r="G982" s="65"/>
      <c r="H982" s="65"/>
    </row>
    <row r="983">
      <c r="A983" s="65"/>
      <c r="B983" s="65"/>
      <c r="C983" s="31"/>
      <c r="D983" s="65"/>
      <c r="E983" s="65"/>
      <c r="F983" s="65"/>
      <c r="G983" s="65"/>
      <c r="H983" s="65"/>
    </row>
    <row r="984">
      <c r="A984" s="65"/>
      <c r="B984" s="65"/>
      <c r="C984" s="31"/>
      <c r="D984" s="65"/>
      <c r="E984" s="65"/>
      <c r="F984" s="65"/>
      <c r="G984" s="65"/>
      <c r="H984" s="65"/>
    </row>
    <row r="985">
      <c r="A985" s="65"/>
      <c r="B985" s="65"/>
      <c r="C985" s="31"/>
      <c r="D985" s="65"/>
      <c r="E985" s="65"/>
      <c r="F985" s="65"/>
      <c r="G985" s="65"/>
      <c r="H985" s="65"/>
    </row>
  </sheetData>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58.13"/>
  </cols>
  <sheetData>
    <row r="1">
      <c r="A1" s="98" t="s">
        <v>142</v>
      </c>
      <c r="B1" s="99"/>
      <c r="C1" s="100"/>
      <c r="D1" s="100"/>
      <c r="E1" s="100"/>
      <c r="F1" s="100"/>
      <c r="G1" s="100"/>
      <c r="H1" s="100"/>
      <c r="I1" s="100"/>
    </row>
    <row r="2">
      <c r="A2" s="101" t="s">
        <v>143</v>
      </c>
      <c r="B2" s="99"/>
      <c r="C2" s="100"/>
      <c r="D2" s="100"/>
      <c r="E2" s="100"/>
      <c r="F2" s="100"/>
      <c r="G2" s="100"/>
      <c r="H2" s="100"/>
      <c r="I2" s="100"/>
    </row>
    <row r="3">
      <c r="A3" s="101"/>
      <c r="B3" s="99"/>
      <c r="C3" s="100"/>
      <c r="D3" s="100"/>
      <c r="E3" s="100"/>
      <c r="F3" s="100"/>
      <c r="G3" s="100"/>
      <c r="H3" s="100"/>
      <c r="I3" s="100"/>
    </row>
    <row r="4">
      <c r="A4" s="100"/>
      <c r="B4" s="99"/>
      <c r="C4" s="100"/>
      <c r="D4" s="100"/>
      <c r="E4" s="100"/>
      <c r="F4" s="100"/>
      <c r="G4" s="100"/>
      <c r="H4" s="100"/>
      <c r="I4" s="100"/>
    </row>
    <row r="5">
      <c r="A5" s="97"/>
      <c r="B5" s="102" t="s">
        <v>99</v>
      </c>
      <c r="C5" s="97">
        <v>2025.0</v>
      </c>
      <c r="D5" s="97">
        <v>2030.0</v>
      </c>
      <c r="E5" s="97">
        <v>2035.0</v>
      </c>
      <c r="F5" s="97">
        <v>2040.0</v>
      </c>
      <c r="G5" s="97">
        <v>2045.0</v>
      </c>
      <c r="H5" s="97">
        <v>2050.0</v>
      </c>
      <c r="I5" s="97" t="s">
        <v>144</v>
      </c>
    </row>
    <row r="6">
      <c r="A6" s="35"/>
      <c r="B6" s="103"/>
      <c r="C6" s="31"/>
      <c r="D6" s="31"/>
      <c r="E6" s="31"/>
      <c r="F6" s="31"/>
      <c r="G6" s="31"/>
      <c r="H6" s="31"/>
      <c r="I6" s="31"/>
    </row>
    <row r="7">
      <c r="A7" s="35" t="s">
        <v>145</v>
      </c>
      <c r="B7" s="83" t="s">
        <v>146</v>
      </c>
      <c r="C7" s="35">
        <v>45.0</v>
      </c>
      <c r="D7" s="35">
        <v>50.0</v>
      </c>
      <c r="E7" s="35">
        <v>55.0</v>
      </c>
      <c r="F7" s="35">
        <v>60.0</v>
      </c>
      <c r="G7" s="35">
        <v>67.0</v>
      </c>
      <c r="H7" s="35">
        <v>74.0</v>
      </c>
      <c r="I7" s="31"/>
    </row>
    <row r="8">
      <c r="A8" s="35" t="s">
        <v>145</v>
      </c>
      <c r="B8" s="83" t="s">
        <v>147</v>
      </c>
      <c r="C8" s="35">
        <v>0.0</v>
      </c>
      <c r="D8" s="35">
        <v>20.0</v>
      </c>
      <c r="E8" s="35">
        <v>109.0</v>
      </c>
      <c r="F8" s="35">
        <v>267.0</v>
      </c>
      <c r="G8" s="35">
        <v>407.0</v>
      </c>
      <c r="H8" s="35">
        <v>523.0</v>
      </c>
      <c r="I8" s="31"/>
    </row>
    <row r="9">
      <c r="A9" s="35" t="s">
        <v>145</v>
      </c>
      <c r="B9" s="83" t="s">
        <v>148</v>
      </c>
      <c r="C9" s="35">
        <v>0.0</v>
      </c>
      <c r="D9" s="35">
        <v>20.0</v>
      </c>
      <c r="E9" s="35">
        <v>86.0</v>
      </c>
      <c r="F9" s="35">
        <v>176.0</v>
      </c>
      <c r="G9" s="35">
        <v>278.0</v>
      </c>
      <c r="H9" s="35">
        <v>403.0</v>
      </c>
      <c r="I9" s="31"/>
    </row>
    <row r="10">
      <c r="A10" s="35" t="s">
        <v>145</v>
      </c>
      <c r="B10" s="83" t="s">
        <v>149</v>
      </c>
      <c r="C10" s="35">
        <v>0.0</v>
      </c>
      <c r="D10" s="35">
        <v>15.0</v>
      </c>
      <c r="E10" s="35">
        <v>78.0</v>
      </c>
      <c r="F10" s="35">
        <v>149.0</v>
      </c>
      <c r="G10" s="35">
        <v>231.0</v>
      </c>
      <c r="H10" s="35">
        <v>363.0</v>
      </c>
      <c r="I10" s="31"/>
    </row>
    <row r="11">
      <c r="A11" s="35" t="s">
        <v>145</v>
      </c>
      <c r="B11" s="83" t="s">
        <v>150</v>
      </c>
      <c r="C11" s="35">
        <v>45.0</v>
      </c>
      <c r="D11" s="35">
        <v>64.0</v>
      </c>
      <c r="E11" s="35">
        <v>133.0</v>
      </c>
      <c r="F11" s="35">
        <v>210.0</v>
      </c>
      <c r="G11" s="35">
        <v>298.0</v>
      </c>
      <c r="H11" s="35">
        <v>436.0</v>
      </c>
      <c r="I11" s="31"/>
    </row>
    <row r="12">
      <c r="A12" s="35" t="s">
        <v>145</v>
      </c>
      <c r="B12" s="83" t="s">
        <v>151</v>
      </c>
      <c r="C12" s="35">
        <v>45.0</v>
      </c>
      <c r="D12" s="35">
        <v>70.0</v>
      </c>
      <c r="E12" s="35">
        <v>164.0</v>
      </c>
      <c r="F12" s="35">
        <v>328.0</v>
      </c>
      <c r="G12" s="35">
        <v>474.0</v>
      </c>
      <c r="H12" s="35">
        <v>597.0</v>
      </c>
      <c r="I12" s="31"/>
    </row>
    <row r="13">
      <c r="A13" s="35"/>
      <c r="B13" s="31"/>
      <c r="C13" s="31"/>
      <c r="D13" s="31"/>
      <c r="E13" s="31"/>
      <c r="F13" s="31"/>
      <c r="G13" s="31"/>
      <c r="H13" s="31"/>
      <c r="I13" s="31"/>
    </row>
    <row r="14">
      <c r="A14" s="83" t="s">
        <v>152</v>
      </c>
      <c r="B14" s="83" t="s">
        <v>153</v>
      </c>
      <c r="C14" s="35">
        <v>44.0</v>
      </c>
      <c r="D14" s="35">
        <v>46.0</v>
      </c>
      <c r="E14" s="35">
        <v>32.0</v>
      </c>
      <c r="F14" s="35">
        <v>22.0</v>
      </c>
      <c r="G14" s="35">
        <v>11.0</v>
      </c>
      <c r="H14" s="35">
        <v>0.0</v>
      </c>
      <c r="I14" s="35" t="s">
        <v>154</v>
      </c>
    </row>
    <row r="15">
      <c r="A15" s="83" t="s">
        <v>152</v>
      </c>
      <c r="B15" s="83" t="s">
        <v>155</v>
      </c>
      <c r="C15" s="35">
        <v>1.0</v>
      </c>
      <c r="D15" s="35">
        <v>30.0</v>
      </c>
      <c r="E15" s="35">
        <v>94.0</v>
      </c>
      <c r="F15" s="35">
        <v>154.0</v>
      </c>
      <c r="G15" s="35">
        <v>224.0</v>
      </c>
      <c r="H15" s="35">
        <v>334.0</v>
      </c>
      <c r="I15" s="31"/>
    </row>
    <row r="16">
      <c r="A16" s="83" t="s">
        <v>152</v>
      </c>
      <c r="B16" s="83" t="s">
        <v>156</v>
      </c>
      <c r="C16" s="35">
        <v>0.0</v>
      </c>
      <c r="D16" s="35">
        <v>2.0</v>
      </c>
      <c r="E16" s="35">
        <v>7.0</v>
      </c>
      <c r="F16" s="35">
        <v>12.0</v>
      </c>
      <c r="G16" s="35">
        <v>17.0</v>
      </c>
      <c r="H16" s="35">
        <v>26.0</v>
      </c>
      <c r="I16" s="31"/>
    </row>
    <row r="17">
      <c r="A17" s="83" t="s">
        <v>152</v>
      </c>
      <c r="B17" s="83" t="s">
        <v>157</v>
      </c>
      <c r="C17" s="35">
        <v>0.0</v>
      </c>
      <c r="D17" s="35">
        <v>24.0</v>
      </c>
      <c r="E17" s="35">
        <v>48.0</v>
      </c>
      <c r="F17" s="35">
        <v>72.0</v>
      </c>
      <c r="G17" s="35">
        <v>96.0</v>
      </c>
      <c r="H17" s="35">
        <v>120.0</v>
      </c>
      <c r="I17" s="35" t="s">
        <v>158</v>
      </c>
    </row>
    <row r="18">
      <c r="A18" s="83" t="s">
        <v>152</v>
      </c>
      <c r="B18" s="83" t="s">
        <v>106</v>
      </c>
      <c r="C18" s="35">
        <f t="shared" ref="C18:H18" si="1">SUM(C14:C17)</f>
        <v>45</v>
      </c>
      <c r="D18" s="35">
        <f t="shared" si="1"/>
        <v>102</v>
      </c>
      <c r="E18" s="35">
        <f t="shared" si="1"/>
        <v>181</v>
      </c>
      <c r="F18" s="35">
        <f t="shared" si="1"/>
        <v>260</v>
      </c>
      <c r="G18" s="35">
        <f t="shared" si="1"/>
        <v>348</v>
      </c>
      <c r="H18" s="35">
        <f t="shared" si="1"/>
        <v>480</v>
      </c>
      <c r="I18" s="35"/>
    </row>
    <row r="19">
      <c r="A19" s="83" t="s">
        <v>152</v>
      </c>
      <c r="B19" s="83" t="s">
        <v>159</v>
      </c>
      <c r="C19" s="35">
        <f t="shared" ref="C19:H19" si="2">SUM(C16,C14,C17)</f>
        <v>44</v>
      </c>
      <c r="D19" s="35">
        <f t="shared" si="2"/>
        <v>72</v>
      </c>
      <c r="E19" s="35">
        <f t="shared" si="2"/>
        <v>87</v>
      </c>
      <c r="F19" s="35">
        <f t="shared" si="2"/>
        <v>106</v>
      </c>
      <c r="G19" s="35">
        <f t="shared" si="2"/>
        <v>124</v>
      </c>
      <c r="H19" s="35">
        <f t="shared" si="2"/>
        <v>146</v>
      </c>
      <c r="I19" s="35"/>
    </row>
    <row r="20">
      <c r="A20" s="35"/>
      <c r="B20" s="31"/>
      <c r="C20" s="31"/>
      <c r="D20" s="31"/>
      <c r="E20" s="31"/>
      <c r="F20" s="31"/>
      <c r="G20" s="31"/>
      <c r="H20" s="31"/>
      <c r="I20" s="31"/>
    </row>
    <row r="21">
      <c r="A21" s="83" t="s">
        <v>160</v>
      </c>
      <c r="B21" s="83" t="s">
        <v>161</v>
      </c>
      <c r="C21" s="35">
        <v>1.0</v>
      </c>
      <c r="D21" s="35">
        <v>16.0</v>
      </c>
      <c r="E21" s="35">
        <v>50.0</v>
      </c>
      <c r="F21" s="35">
        <v>82.0</v>
      </c>
      <c r="G21" s="35">
        <v>120.0</v>
      </c>
      <c r="H21" s="35">
        <v>178.0</v>
      </c>
      <c r="I21" s="35" t="s">
        <v>162</v>
      </c>
    </row>
    <row r="22">
      <c r="A22" s="83" t="s">
        <v>160</v>
      </c>
      <c r="B22" s="83" t="s">
        <v>163</v>
      </c>
      <c r="C22" s="35">
        <v>0.0</v>
      </c>
      <c r="D22" s="35">
        <v>24.0</v>
      </c>
      <c r="E22" s="35">
        <v>48.0</v>
      </c>
      <c r="F22" s="35">
        <v>72.0</v>
      </c>
      <c r="G22" s="35">
        <v>96.0</v>
      </c>
      <c r="H22" s="35">
        <v>120.0</v>
      </c>
      <c r="I22" s="35" t="s">
        <v>164</v>
      </c>
    </row>
    <row r="23">
      <c r="A23" s="83" t="s">
        <v>160</v>
      </c>
      <c r="B23" s="83" t="s">
        <v>165</v>
      </c>
      <c r="C23" s="35">
        <v>0.0</v>
      </c>
      <c r="D23" s="35">
        <v>0.0</v>
      </c>
      <c r="E23" s="35">
        <v>0.0</v>
      </c>
      <c r="F23" s="35">
        <v>0.0</v>
      </c>
      <c r="G23" s="35">
        <v>0.0</v>
      </c>
      <c r="H23" s="35">
        <v>0.0</v>
      </c>
      <c r="I23" s="35" t="s">
        <v>166</v>
      </c>
    </row>
    <row r="24">
      <c r="A24" s="35"/>
      <c r="B24" s="31"/>
      <c r="C24" s="31"/>
      <c r="D24" s="31"/>
      <c r="E24" s="31"/>
      <c r="F24" s="31"/>
      <c r="G24" s="31"/>
      <c r="H24" s="31"/>
      <c r="I24" s="31"/>
    </row>
    <row r="25">
      <c r="A25" s="83" t="s">
        <v>167</v>
      </c>
      <c r="B25" s="83" t="s">
        <v>153</v>
      </c>
      <c r="C25" s="35">
        <v>44.0</v>
      </c>
      <c r="D25" s="35">
        <v>46.0</v>
      </c>
      <c r="E25" s="35">
        <v>32.0</v>
      </c>
      <c r="F25" s="35">
        <v>22.0</v>
      </c>
      <c r="G25" s="35">
        <v>11.0</v>
      </c>
      <c r="H25" s="35">
        <v>0.0</v>
      </c>
      <c r="I25" s="31"/>
    </row>
    <row r="26">
      <c r="A26" s="83" t="s">
        <v>167</v>
      </c>
      <c r="B26" s="83" t="s">
        <v>168</v>
      </c>
      <c r="C26" s="35">
        <v>1.0</v>
      </c>
      <c r="D26" s="35">
        <v>14.0</v>
      </c>
      <c r="E26" s="35">
        <v>44.0</v>
      </c>
      <c r="F26" s="35">
        <v>72.0</v>
      </c>
      <c r="G26" s="35">
        <v>105.0</v>
      </c>
      <c r="H26" s="35">
        <v>156.0</v>
      </c>
      <c r="I26" s="31"/>
    </row>
    <row r="27">
      <c r="A27" s="83" t="s">
        <v>167</v>
      </c>
      <c r="B27" s="83" t="s">
        <v>169</v>
      </c>
      <c r="C27" s="35">
        <v>0.0</v>
      </c>
      <c r="D27" s="35">
        <v>0.0</v>
      </c>
      <c r="E27" s="35">
        <v>0.0</v>
      </c>
      <c r="F27" s="35">
        <v>0.0</v>
      </c>
      <c r="G27" s="35">
        <v>0.0</v>
      </c>
      <c r="H27" s="35">
        <v>0.0</v>
      </c>
      <c r="I27" s="35" t="s">
        <v>164</v>
      </c>
    </row>
    <row r="28">
      <c r="A28" s="83" t="s">
        <v>167</v>
      </c>
      <c r="B28" s="83" t="s">
        <v>170</v>
      </c>
      <c r="C28" s="35">
        <v>45.0</v>
      </c>
      <c r="D28" s="35">
        <v>59.0</v>
      </c>
      <c r="E28" s="35">
        <v>76.0</v>
      </c>
      <c r="F28" s="35">
        <v>94.0</v>
      </c>
      <c r="G28" s="35">
        <v>115.0</v>
      </c>
      <c r="H28" s="35">
        <v>156.0</v>
      </c>
      <c r="I28" s="31"/>
    </row>
    <row r="29">
      <c r="A29" s="35"/>
      <c r="B29" s="31"/>
      <c r="C29" s="31"/>
      <c r="D29" s="31"/>
      <c r="E29" s="31"/>
      <c r="F29" s="31"/>
      <c r="G29" s="31"/>
      <c r="H29" s="31"/>
      <c r="I29" s="31"/>
    </row>
    <row r="30">
      <c r="A30" s="83" t="s">
        <v>171</v>
      </c>
      <c r="B30" s="83" t="s">
        <v>172</v>
      </c>
      <c r="C30" s="35">
        <v>0.0</v>
      </c>
      <c r="D30" s="35">
        <v>5.0</v>
      </c>
      <c r="E30" s="35">
        <v>56.0</v>
      </c>
      <c r="F30" s="35">
        <v>116.0</v>
      </c>
      <c r="G30" s="35">
        <v>183.0</v>
      </c>
      <c r="H30" s="35">
        <v>281.0</v>
      </c>
      <c r="I30" s="35" t="s">
        <v>173</v>
      </c>
    </row>
    <row r="31">
      <c r="A31" s="83" t="s">
        <v>171</v>
      </c>
      <c r="B31" s="83" t="s">
        <v>174</v>
      </c>
      <c r="C31" s="35">
        <v>0.0</v>
      </c>
      <c r="D31" s="35">
        <v>10.0</v>
      </c>
      <c r="E31" s="35">
        <v>87.0</v>
      </c>
      <c r="F31" s="35">
        <v>234.0</v>
      </c>
      <c r="G31" s="35">
        <v>359.0</v>
      </c>
      <c r="H31" s="35">
        <v>442.0</v>
      </c>
      <c r="I31" s="31"/>
    </row>
    <row r="32">
      <c r="B32" s="62"/>
    </row>
    <row r="33">
      <c r="B33" s="62"/>
    </row>
    <row r="34">
      <c r="A34" s="104" t="s">
        <v>175</v>
      </c>
      <c r="B34" s="62"/>
    </row>
    <row r="35">
      <c r="A35" s="25"/>
      <c r="B35" s="25"/>
      <c r="C35" s="75"/>
    </row>
    <row r="36">
      <c r="A36" s="25" t="s">
        <v>176</v>
      </c>
      <c r="B36" s="25" t="s">
        <v>41</v>
      </c>
      <c r="C36" s="75" t="s">
        <v>42</v>
      </c>
    </row>
    <row r="37">
      <c r="A37" s="35" t="s">
        <v>177</v>
      </c>
      <c r="B37" s="35">
        <v>230.0</v>
      </c>
      <c r="C37" s="83" t="s">
        <v>178</v>
      </c>
    </row>
    <row r="38">
      <c r="A38" s="83" t="s">
        <v>179</v>
      </c>
      <c r="B38" s="105">
        <v>0.16</v>
      </c>
      <c r="C38" s="35" t="s">
        <v>180</v>
      </c>
    </row>
    <row r="39">
      <c r="A39" s="35" t="s">
        <v>181</v>
      </c>
      <c r="B39" s="31">
        <f>B38*B37</f>
        <v>36.8</v>
      </c>
      <c r="C39" s="83" t="s">
        <v>178</v>
      </c>
    </row>
    <row r="40">
      <c r="A40" s="35" t="s">
        <v>182</v>
      </c>
      <c r="B40" s="105">
        <v>0.02</v>
      </c>
      <c r="C40" s="83" t="s">
        <v>180</v>
      </c>
    </row>
    <row r="41">
      <c r="A41" s="35" t="s">
        <v>183</v>
      </c>
      <c r="B41" s="43">
        <f>B39*POW(1+B40, 35)</f>
        <v>73.59593554</v>
      </c>
      <c r="C41" s="83" t="s">
        <v>178</v>
      </c>
    </row>
    <row r="42">
      <c r="B42" s="62"/>
    </row>
    <row r="43">
      <c r="B43" s="62"/>
    </row>
    <row r="44">
      <c r="A44" s="95"/>
    </row>
    <row r="46">
      <c r="A46" s="106" t="s">
        <v>184</v>
      </c>
    </row>
    <row r="48">
      <c r="A48" s="46" t="s">
        <v>185</v>
      </c>
    </row>
    <row r="50">
      <c r="A50" s="25" t="s">
        <v>186</v>
      </c>
      <c r="B50" s="25" t="s">
        <v>187</v>
      </c>
      <c r="C50" s="25" t="s">
        <v>188</v>
      </c>
      <c r="D50" s="25" t="s">
        <v>189</v>
      </c>
      <c r="E50" s="25" t="s">
        <v>190</v>
      </c>
      <c r="F50" s="25" t="s">
        <v>191</v>
      </c>
    </row>
    <row r="51">
      <c r="A51" s="25" t="s">
        <v>192</v>
      </c>
      <c r="B51" s="35">
        <v>123.0</v>
      </c>
      <c r="C51" s="35">
        <v>305.0</v>
      </c>
      <c r="D51" s="35">
        <v>5.0</v>
      </c>
      <c r="E51" s="35">
        <v>9.0</v>
      </c>
      <c r="F51" s="35">
        <v>173.0</v>
      </c>
    </row>
    <row r="53">
      <c r="A53" s="107" t="s">
        <v>193</v>
      </c>
    </row>
    <row r="55">
      <c r="A55" s="25" t="s">
        <v>194</v>
      </c>
      <c r="B55" s="25" t="s">
        <v>195</v>
      </c>
      <c r="C55" s="25" t="s">
        <v>196</v>
      </c>
      <c r="D55" s="108"/>
      <c r="E55" s="108"/>
      <c r="F55" s="95" t="s">
        <v>197</v>
      </c>
    </row>
    <row r="56">
      <c r="A56" s="29">
        <v>2050.09765751218</v>
      </c>
      <c r="B56" s="29">
        <v>-313.475163267682</v>
      </c>
      <c r="C56" s="44">
        <f t="shared" ref="C56:C59" si="3">B56-B57</f>
        <v>-140.4255525</v>
      </c>
      <c r="D56" s="35" t="s">
        <v>198</v>
      </c>
      <c r="E56" s="35" t="s">
        <v>199</v>
      </c>
    </row>
    <row r="57">
      <c r="A57" s="29">
        <v>2050.09765751218</v>
      </c>
      <c r="B57" s="29">
        <v>-173.049610811902</v>
      </c>
      <c r="C57" s="44">
        <f t="shared" si="3"/>
        <v>-15.60280878</v>
      </c>
      <c r="D57" s="35" t="s">
        <v>200</v>
      </c>
      <c r="E57" s="35" t="s">
        <v>199</v>
      </c>
      <c r="F57" s="44">
        <f>SUM(C57:C59)</f>
        <v>-173.0496279</v>
      </c>
    </row>
    <row r="58">
      <c r="A58" s="29">
        <v>2050.09765751218</v>
      </c>
      <c r="B58" s="29">
        <v>-157.446802027231</v>
      </c>
      <c r="C58" s="44">
        <f t="shared" si="3"/>
        <v>-70.92198238</v>
      </c>
      <c r="D58" s="35" t="s">
        <v>201</v>
      </c>
      <c r="E58" s="35" t="s">
        <v>199</v>
      </c>
    </row>
    <row r="59">
      <c r="A59" s="29">
        <v>2050.09765751218</v>
      </c>
      <c r="B59" s="29">
        <v>-86.5248196452087</v>
      </c>
      <c r="C59" s="44">
        <f t="shared" si="3"/>
        <v>-86.52483673</v>
      </c>
      <c r="D59" s="35" t="s">
        <v>202</v>
      </c>
      <c r="E59" s="35" t="s">
        <v>199</v>
      </c>
    </row>
    <row r="60">
      <c r="A60" s="29">
        <v>1999.90234248781</v>
      </c>
      <c r="B60" s="29">
        <v>1.70871089721913E-5</v>
      </c>
      <c r="C60" s="109"/>
      <c r="D60" s="31"/>
      <c r="E60" s="31"/>
    </row>
    <row r="61">
      <c r="A61" s="29">
        <v>2050.09765751218</v>
      </c>
      <c r="B61" s="29">
        <v>70.921999469132</v>
      </c>
      <c r="C61" s="44">
        <f t="shared" ref="C61:C65" si="4">B61-B60</f>
        <v>70.92198238</v>
      </c>
      <c r="D61" s="35" t="s">
        <v>203</v>
      </c>
      <c r="E61" s="35" t="s">
        <v>204</v>
      </c>
    </row>
    <row r="62">
      <c r="A62" s="29">
        <v>2050.09765751218</v>
      </c>
      <c r="B62" s="29">
        <v>89.3617240015827</v>
      </c>
      <c r="C62" s="44">
        <f t="shared" si="4"/>
        <v>18.43972453</v>
      </c>
      <c r="D62" s="35" t="s">
        <v>205</v>
      </c>
      <c r="E62" s="35" t="s">
        <v>204</v>
      </c>
    </row>
    <row r="63">
      <c r="A63" s="29">
        <v>2050.09765751218</v>
      </c>
      <c r="B63" s="29">
        <v>141.843981851155</v>
      </c>
      <c r="C63" s="44">
        <f t="shared" si="4"/>
        <v>52.48225785</v>
      </c>
      <c r="D63" s="35" t="s">
        <v>206</v>
      </c>
      <c r="E63" s="35" t="s">
        <v>204</v>
      </c>
    </row>
    <row r="64">
      <c r="A64" s="29">
        <v>2050.09765751218</v>
      </c>
      <c r="B64" s="29">
        <v>170.212774803964</v>
      </c>
      <c r="C64" s="44">
        <f t="shared" si="4"/>
        <v>28.36879295</v>
      </c>
      <c r="D64" s="35" t="s">
        <v>207</v>
      </c>
      <c r="E64" s="35" t="s">
        <v>204</v>
      </c>
    </row>
    <row r="65">
      <c r="A65" s="29">
        <v>2050.0</v>
      </c>
      <c r="B65" s="29">
        <v>313.475174659088</v>
      </c>
      <c r="C65" s="44">
        <f t="shared" si="4"/>
        <v>143.2623999</v>
      </c>
      <c r="D65" s="35" t="s">
        <v>208</v>
      </c>
      <c r="E65" s="35" t="s">
        <v>204</v>
      </c>
    </row>
    <row r="92">
      <c r="B92" s="62"/>
    </row>
    <row r="93">
      <c r="B93" s="62"/>
    </row>
    <row r="94">
      <c r="B94" s="62"/>
    </row>
    <row r="95">
      <c r="B95" s="62"/>
    </row>
    <row r="96">
      <c r="B96" s="62"/>
    </row>
    <row r="97">
      <c r="B97" s="62"/>
    </row>
    <row r="98">
      <c r="B98" s="62"/>
    </row>
    <row r="99">
      <c r="B99" s="62"/>
    </row>
    <row r="100">
      <c r="B100" s="62"/>
    </row>
    <row r="101">
      <c r="B101" s="62"/>
    </row>
    <row r="102">
      <c r="B102" s="62"/>
    </row>
    <row r="103">
      <c r="B103" s="62"/>
    </row>
    <row r="104">
      <c r="B104" s="62"/>
    </row>
    <row r="105">
      <c r="B105" s="62"/>
    </row>
    <row r="106">
      <c r="B106" s="62"/>
    </row>
    <row r="107">
      <c r="B107" s="62"/>
    </row>
    <row r="108">
      <c r="B108" s="62"/>
    </row>
    <row r="109">
      <c r="B109" s="62"/>
    </row>
    <row r="110">
      <c r="B110" s="62"/>
    </row>
    <row r="111">
      <c r="B111" s="62"/>
    </row>
    <row r="112">
      <c r="B112" s="62"/>
    </row>
    <row r="113">
      <c r="B113" s="62"/>
    </row>
    <row r="114">
      <c r="B114" s="62"/>
    </row>
    <row r="115">
      <c r="B115" s="62"/>
    </row>
    <row r="116">
      <c r="B116" s="62"/>
    </row>
    <row r="117">
      <c r="B117" s="62"/>
    </row>
    <row r="118">
      <c r="B118" s="62"/>
    </row>
    <row r="119">
      <c r="B119" s="62"/>
    </row>
    <row r="120">
      <c r="B120" s="62"/>
    </row>
    <row r="121">
      <c r="B121" s="62"/>
    </row>
    <row r="122">
      <c r="B122" s="62"/>
    </row>
    <row r="123">
      <c r="B123" s="62"/>
    </row>
    <row r="124">
      <c r="B124" s="62"/>
    </row>
    <row r="125">
      <c r="B125" s="62"/>
    </row>
    <row r="126">
      <c r="B126" s="62"/>
    </row>
    <row r="127">
      <c r="B127" s="62"/>
    </row>
    <row r="128">
      <c r="B128" s="62"/>
    </row>
    <row r="129">
      <c r="B129" s="62"/>
    </row>
    <row r="130">
      <c r="B130" s="62"/>
    </row>
    <row r="131">
      <c r="B131" s="62"/>
    </row>
    <row r="132">
      <c r="B132" s="62"/>
    </row>
    <row r="133">
      <c r="B133" s="62"/>
    </row>
    <row r="134">
      <c r="B134" s="62"/>
    </row>
    <row r="135">
      <c r="B135" s="62"/>
    </row>
    <row r="136">
      <c r="B136" s="62"/>
    </row>
    <row r="137">
      <c r="B137" s="62"/>
    </row>
    <row r="138">
      <c r="B138" s="62"/>
    </row>
    <row r="139">
      <c r="B139" s="62"/>
    </row>
    <row r="140">
      <c r="B140" s="62"/>
    </row>
    <row r="141">
      <c r="B141" s="62"/>
    </row>
    <row r="142">
      <c r="B142" s="62"/>
    </row>
    <row r="143">
      <c r="B143" s="62"/>
    </row>
    <row r="144">
      <c r="B144" s="62"/>
    </row>
    <row r="145">
      <c r="B145" s="62"/>
    </row>
    <row r="146">
      <c r="B146" s="62"/>
    </row>
    <row r="147">
      <c r="B147" s="62"/>
    </row>
    <row r="148">
      <c r="B148" s="62"/>
    </row>
    <row r="149">
      <c r="B149" s="62"/>
    </row>
    <row r="150">
      <c r="B150" s="62"/>
    </row>
    <row r="151">
      <c r="B151" s="62"/>
    </row>
    <row r="152">
      <c r="B152" s="62"/>
    </row>
    <row r="153">
      <c r="B153" s="62"/>
    </row>
    <row r="154">
      <c r="B154" s="62"/>
    </row>
    <row r="155">
      <c r="B155" s="62"/>
    </row>
    <row r="156">
      <c r="B156" s="62"/>
    </row>
    <row r="157">
      <c r="B157" s="62"/>
    </row>
    <row r="158">
      <c r="B158" s="62"/>
    </row>
    <row r="159">
      <c r="B159" s="62"/>
    </row>
    <row r="160">
      <c r="B160" s="62"/>
    </row>
    <row r="161">
      <c r="B161" s="62"/>
    </row>
    <row r="162">
      <c r="B162" s="62"/>
    </row>
    <row r="163">
      <c r="B163" s="62"/>
    </row>
    <row r="164">
      <c r="B164" s="62"/>
    </row>
    <row r="165">
      <c r="B165" s="62"/>
    </row>
    <row r="166">
      <c r="B166" s="62"/>
    </row>
    <row r="167">
      <c r="B167" s="62"/>
    </row>
    <row r="168">
      <c r="B168" s="62"/>
    </row>
    <row r="169">
      <c r="B169" s="62"/>
    </row>
    <row r="170">
      <c r="B170" s="62"/>
    </row>
    <row r="171">
      <c r="B171" s="62"/>
    </row>
    <row r="172">
      <c r="B172" s="62"/>
    </row>
    <row r="173">
      <c r="B173" s="62"/>
    </row>
    <row r="174">
      <c r="B174" s="62"/>
    </row>
    <row r="175">
      <c r="B175" s="62"/>
    </row>
    <row r="176">
      <c r="B176" s="62"/>
    </row>
    <row r="177">
      <c r="B177" s="62"/>
    </row>
    <row r="178">
      <c r="B178" s="62"/>
    </row>
    <row r="179">
      <c r="B179" s="62"/>
    </row>
    <row r="180">
      <c r="B180" s="62"/>
    </row>
    <row r="181">
      <c r="B181" s="62"/>
    </row>
    <row r="182">
      <c r="B182" s="62"/>
    </row>
    <row r="183">
      <c r="B183" s="62"/>
    </row>
    <row r="184">
      <c r="B184" s="62"/>
    </row>
    <row r="185">
      <c r="B185" s="62"/>
    </row>
    <row r="186">
      <c r="B186" s="62"/>
    </row>
    <row r="187">
      <c r="B187" s="62"/>
    </row>
    <row r="188">
      <c r="B188" s="62"/>
    </row>
    <row r="189">
      <c r="B189" s="62"/>
    </row>
    <row r="190">
      <c r="B190" s="62"/>
    </row>
    <row r="191">
      <c r="B191" s="62"/>
    </row>
    <row r="192">
      <c r="B192" s="62"/>
    </row>
    <row r="193">
      <c r="B193" s="62"/>
    </row>
    <row r="194">
      <c r="B194" s="62"/>
    </row>
    <row r="195">
      <c r="B195" s="62"/>
    </row>
    <row r="196">
      <c r="B196" s="62"/>
    </row>
    <row r="197">
      <c r="B197" s="62"/>
    </row>
    <row r="198">
      <c r="B198" s="62"/>
    </row>
    <row r="199">
      <c r="B199" s="62"/>
    </row>
    <row r="200">
      <c r="B200" s="62"/>
    </row>
    <row r="201">
      <c r="B201" s="62"/>
    </row>
    <row r="202">
      <c r="B202" s="62"/>
    </row>
    <row r="203">
      <c r="B203" s="62"/>
    </row>
    <row r="204">
      <c r="B204" s="62"/>
    </row>
    <row r="205">
      <c r="B205" s="62"/>
    </row>
    <row r="206">
      <c r="B206" s="62"/>
    </row>
    <row r="207">
      <c r="B207" s="62"/>
    </row>
    <row r="208">
      <c r="B208" s="62"/>
    </row>
    <row r="209">
      <c r="B209" s="62"/>
    </row>
    <row r="210">
      <c r="B210" s="62"/>
    </row>
    <row r="211">
      <c r="B211" s="62"/>
    </row>
    <row r="212">
      <c r="B212" s="62"/>
    </row>
    <row r="213">
      <c r="B213" s="62"/>
    </row>
    <row r="214">
      <c r="B214" s="62"/>
    </row>
    <row r="215">
      <c r="B215" s="62"/>
    </row>
    <row r="216">
      <c r="B216" s="62"/>
    </row>
    <row r="217">
      <c r="B217" s="62"/>
    </row>
    <row r="218">
      <c r="B218" s="62"/>
    </row>
    <row r="219">
      <c r="B219" s="62"/>
    </row>
    <row r="220">
      <c r="B220" s="62"/>
    </row>
    <row r="221">
      <c r="B221" s="62"/>
    </row>
    <row r="222">
      <c r="B222" s="62"/>
    </row>
    <row r="223">
      <c r="B223" s="62"/>
    </row>
    <row r="224">
      <c r="B224" s="62"/>
    </row>
    <row r="225">
      <c r="B225" s="62"/>
    </row>
    <row r="226">
      <c r="B226" s="62"/>
    </row>
    <row r="227">
      <c r="B227" s="62"/>
    </row>
    <row r="228">
      <c r="B228" s="62"/>
    </row>
    <row r="229">
      <c r="B229" s="62"/>
    </row>
    <row r="230">
      <c r="B230" s="62"/>
    </row>
    <row r="231">
      <c r="B231" s="62"/>
    </row>
    <row r="232">
      <c r="B232" s="62"/>
    </row>
    <row r="233">
      <c r="B233" s="62"/>
    </row>
    <row r="234">
      <c r="B234" s="62"/>
    </row>
    <row r="235">
      <c r="B235" s="62"/>
    </row>
    <row r="236">
      <c r="B236" s="62"/>
    </row>
    <row r="237">
      <c r="B237" s="62"/>
    </row>
    <row r="238">
      <c r="B238" s="62"/>
    </row>
    <row r="239">
      <c r="B239" s="62"/>
    </row>
    <row r="240">
      <c r="B240" s="62"/>
    </row>
    <row r="241">
      <c r="B241" s="62"/>
    </row>
    <row r="242">
      <c r="B242" s="62"/>
    </row>
    <row r="243">
      <c r="B243" s="62"/>
    </row>
    <row r="244">
      <c r="B244" s="62"/>
    </row>
    <row r="245">
      <c r="B245" s="62"/>
    </row>
    <row r="246">
      <c r="B246" s="62"/>
    </row>
    <row r="247">
      <c r="B247" s="62"/>
    </row>
    <row r="248">
      <c r="B248" s="62"/>
    </row>
    <row r="249">
      <c r="B249" s="62"/>
    </row>
    <row r="250">
      <c r="B250" s="62"/>
    </row>
    <row r="251">
      <c r="B251" s="62"/>
    </row>
    <row r="252">
      <c r="B252" s="62"/>
    </row>
    <row r="253">
      <c r="B253" s="62"/>
    </row>
    <row r="254">
      <c r="B254" s="62"/>
    </row>
    <row r="255">
      <c r="B255" s="62"/>
    </row>
    <row r="256">
      <c r="B256" s="62"/>
    </row>
    <row r="257">
      <c r="B257" s="62"/>
    </row>
    <row r="258">
      <c r="B258" s="62"/>
    </row>
    <row r="259">
      <c r="B259" s="62"/>
    </row>
    <row r="260">
      <c r="B260" s="62"/>
    </row>
    <row r="261">
      <c r="B261" s="62"/>
    </row>
    <row r="262">
      <c r="B262" s="62"/>
    </row>
    <row r="263">
      <c r="B263" s="62"/>
    </row>
    <row r="264">
      <c r="B264" s="62"/>
    </row>
    <row r="265">
      <c r="B265" s="62"/>
    </row>
    <row r="266">
      <c r="B266" s="62"/>
    </row>
    <row r="267">
      <c r="B267" s="62"/>
    </row>
    <row r="268">
      <c r="B268" s="62"/>
    </row>
    <row r="269">
      <c r="B269" s="62"/>
    </row>
    <row r="270">
      <c r="B270" s="62"/>
    </row>
    <row r="271">
      <c r="B271" s="62"/>
    </row>
    <row r="272">
      <c r="B272" s="62"/>
    </row>
    <row r="273">
      <c r="B273" s="62"/>
    </row>
    <row r="274">
      <c r="B274" s="62"/>
    </row>
    <row r="275">
      <c r="B275" s="62"/>
    </row>
    <row r="276">
      <c r="B276" s="62"/>
    </row>
    <row r="277">
      <c r="B277" s="62"/>
    </row>
    <row r="278">
      <c r="B278" s="62"/>
    </row>
    <row r="279">
      <c r="B279" s="62"/>
    </row>
    <row r="280">
      <c r="B280" s="62"/>
    </row>
    <row r="281">
      <c r="B281" s="62"/>
    </row>
    <row r="282">
      <c r="B282" s="62"/>
    </row>
    <row r="283">
      <c r="B283" s="62"/>
    </row>
    <row r="284">
      <c r="B284" s="62"/>
    </row>
    <row r="285">
      <c r="B285" s="62"/>
    </row>
    <row r="286">
      <c r="B286" s="62"/>
    </row>
    <row r="287">
      <c r="B287" s="62"/>
    </row>
    <row r="288">
      <c r="B288" s="62"/>
    </row>
    <row r="289">
      <c r="B289" s="62"/>
    </row>
    <row r="290">
      <c r="B290" s="62"/>
    </row>
    <row r="291">
      <c r="B291" s="62"/>
    </row>
    <row r="292">
      <c r="B292" s="62"/>
    </row>
    <row r="293">
      <c r="B293" s="62"/>
    </row>
    <row r="294">
      <c r="B294" s="62"/>
    </row>
    <row r="295">
      <c r="B295" s="62"/>
    </row>
    <row r="296">
      <c r="B296" s="62"/>
    </row>
    <row r="297">
      <c r="B297" s="62"/>
    </row>
    <row r="298">
      <c r="B298" s="62"/>
    </row>
    <row r="299">
      <c r="B299" s="62"/>
    </row>
    <row r="300">
      <c r="B300" s="62"/>
    </row>
    <row r="301">
      <c r="B301" s="62"/>
    </row>
    <row r="302">
      <c r="B302" s="62"/>
    </row>
    <row r="303">
      <c r="B303" s="62"/>
    </row>
    <row r="304">
      <c r="B304" s="62"/>
    </row>
    <row r="305">
      <c r="B305" s="62"/>
    </row>
    <row r="306">
      <c r="B306" s="62"/>
    </row>
    <row r="307">
      <c r="B307" s="62"/>
    </row>
    <row r="308">
      <c r="B308" s="62"/>
    </row>
    <row r="309">
      <c r="B309" s="62"/>
    </row>
    <row r="310">
      <c r="B310" s="62"/>
    </row>
    <row r="311">
      <c r="B311" s="62"/>
    </row>
    <row r="312">
      <c r="B312" s="62"/>
    </row>
    <row r="313">
      <c r="B313" s="62"/>
    </row>
    <row r="314">
      <c r="B314" s="62"/>
    </row>
    <row r="315">
      <c r="B315" s="62"/>
    </row>
    <row r="316">
      <c r="B316" s="62"/>
    </row>
    <row r="317">
      <c r="B317" s="62"/>
    </row>
    <row r="318">
      <c r="B318" s="62"/>
    </row>
    <row r="319">
      <c r="B319" s="62"/>
    </row>
    <row r="320">
      <c r="B320" s="62"/>
    </row>
    <row r="321">
      <c r="B321" s="62"/>
    </row>
    <row r="322">
      <c r="B322" s="62"/>
    </row>
    <row r="323">
      <c r="B323" s="62"/>
    </row>
    <row r="324">
      <c r="B324" s="62"/>
    </row>
    <row r="325">
      <c r="B325" s="62"/>
    </row>
    <row r="326">
      <c r="B326" s="62"/>
    </row>
    <row r="327">
      <c r="B327" s="62"/>
    </row>
    <row r="328">
      <c r="B328" s="62"/>
    </row>
    <row r="329">
      <c r="B329" s="62"/>
    </row>
    <row r="330">
      <c r="B330" s="62"/>
    </row>
    <row r="331">
      <c r="B331" s="62"/>
    </row>
    <row r="332">
      <c r="B332" s="62"/>
    </row>
    <row r="333">
      <c r="B333" s="62"/>
    </row>
    <row r="334">
      <c r="B334" s="62"/>
    </row>
    <row r="335">
      <c r="B335" s="62"/>
    </row>
    <row r="336">
      <c r="B336" s="62"/>
    </row>
    <row r="337">
      <c r="B337" s="62"/>
    </row>
    <row r="338">
      <c r="B338" s="62"/>
    </row>
    <row r="339">
      <c r="B339" s="62"/>
    </row>
    <row r="340">
      <c r="B340" s="62"/>
    </row>
    <row r="341">
      <c r="B341" s="62"/>
    </row>
    <row r="342">
      <c r="B342" s="62"/>
    </row>
    <row r="343">
      <c r="B343" s="62"/>
    </row>
    <row r="344">
      <c r="B344" s="62"/>
    </row>
    <row r="345">
      <c r="B345" s="62"/>
    </row>
    <row r="346">
      <c r="B346" s="62"/>
    </row>
    <row r="347">
      <c r="B347" s="62"/>
    </row>
    <row r="348">
      <c r="B348" s="62"/>
    </row>
    <row r="349">
      <c r="B349" s="62"/>
    </row>
    <row r="350">
      <c r="B350" s="62"/>
    </row>
    <row r="351">
      <c r="B351" s="62"/>
    </row>
    <row r="352">
      <c r="B352" s="62"/>
    </row>
    <row r="353">
      <c r="B353" s="62"/>
    </row>
    <row r="354">
      <c r="B354" s="62"/>
    </row>
    <row r="355">
      <c r="B355" s="62"/>
    </row>
    <row r="356">
      <c r="B356" s="62"/>
    </row>
    <row r="357">
      <c r="B357" s="62"/>
    </row>
    <row r="358">
      <c r="B358" s="62"/>
    </row>
    <row r="359">
      <c r="B359" s="62"/>
    </row>
    <row r="360">
      <c r="B360" s="62"/>
    </row>
    <row r="361">
      <c r="B361" s="62"/>
    </row>
    <row r="362">
      <c r="B362" s="62"/>
    </row>
    <row r="363">
      <c r="B363" s="62"/>
    </row>
    <row r="364">
      <c r="B364" s="62"/>
    </row>
    <row r="365">
      <c r="B365" s="62"/>
    </row>
    <row r="366">
      <c r="B366" s="62"/>
    </row>
    <row r="367">
      <c r="B367" s="62"/>
    </row>
    <row r="368">
      <c r="B368" s="62"/>
    </row>
    <row r="369">
      <c r="B369" s="62"/>
    </row>
    <row r="370">
      <c r="B370" s="62"/>
    </row>
    <row r="371">
      <c r="B371" s="62"/>
    </row>
    <row r="372">
      <c r="B372" s="62"/>
    </row>
    <row r="373">
      <c r="B373" s="62"/>
    </row>
    <row r="374">
      <c r="B374" s="62"/>
    </row>
    <row r="375">
      <c r="B375" s="62"/>
    </row>
    <row r="376">
      <c r="B376" s="62"/>
    </row>
    <row r="377">
      <c r="B377" s="62"/>
    </row>
    <row r="378">
      <c r="B378" s="62"/>
    </row>
    <row r="379">
      <c r="B379" s="62"/>
    </row>
    <row r="380">
      <c r="B380" s="62"/>
    </row>
    <row r="381">
      <c r="B381" s="62"/>
    </row>
    <row r="382">
      <c r="B382" s="62"/>
    </row>
    <row r="383">
      <c r="B383" s="62"/>
    </row>
    <row r="384">
      <c r="B384" s="62"/>
    </row>
    <row r="385">
      <c r="B385" s="62"/>
    </row>
    <row r="386">
      <c r="B386" s="62"/>
    </row>
    <row r="387">
      <c r="B387" s="62"/>
    </row>
    <row r="388">
      <c r="B388" s="62"/>
    </row>
    <row r="389">
      <c r="B389" s="62"/>
    </row>
    <row r="390">
      <c r="B390" s="62"/>
    </row>
    <row r="391">
      <c r="B391" s="62"/>
    </row>
    <row r="392">
      <c r="B392" s="62"/>
    </row>
    <row r="393">
      <c r="B393" s="62"/>
    </row>
    <row r="394">
      <c r="B394" s="62"/>
    </row>
    <row r="395">
      <c r="B395" s="62"/>
    </row>
    <row r="396">
      <c r="B396" s="62"/>
    </row>
    <row r="397">
      <c r="B397" s="62"/>
    </row>
    <row r="398">
      <c r="B398" s="62"/>
    </row>
    <row r="399">
      <c r="B399" s="62"/>
    </row>
    <row r="400">
      <c r="B400" s="62"/>
    </row>
    <row r="401">
      <c r="B401" s="62"/>
    </row>
    <row r="402">
      <c r="B402" s="62"/>
    </row>
    <row r="403">
      <c r="B403" s="62"/>
    </row>
    <row r="404">
      <c r="B404" s="62"/>
    </row>
    <row r="405">
      <c r="B405" s="62"/>
    </row>
    <row r="406">
      <c r="B406" s="62"/>
    </row>
    <row r="407">
      <c r="B407" s="62"/>
    </row>
    <row r="408">
      <c r="B408" s="62"/>
    </row>
    <row r="409">
      <c r="B409" s="62"/>
    </row>
    <row r="410">
      <c r="B410" s="62"/>
    </row>
    <row r="411">
      <c r="B411" s="62"/>
    </row>
    <row r="412">
      <c r="B412" s="62"/>
    </row>
    <row r="413">
      <c r="B413" s="62"/>
    </row>
    <row r="414">
      <c r="B414" s="62"/>
    </row>
    <row r="415">
      <c r="B415" s="62"/>
    </row>
    <row r="416">
      <c r="B416" s="62"/>
    </row>
    <row r="417">
      <c r="B417" s="62"/>
    </row>
    <row r="418">
      <c r="B418" s="62"/>
    </row>
    <row r="419">
      <c r="B419" s="62"/>
    </row>
    <row r="420">
      <c r="B420" s="62"/>
    </row>
    <row r="421">
      <c r="B421" s="62"/>
    </row>
    <row r="422">
      <c r="B422" s="62"/>
    </row>
    <row r="423">
      <c r="B423" s="62"/>
    </row>
    <row r="424">
      <c r="B424" s="62"/>
    </row>
    <row r="425">
      <c r="B425" s="62"/>
    </row>
    <row r="426">
      <c r="B426" s="62"/>
    </row>
    <row r="427">
      <c r="B427" s="62"/>
    </row>
    <row r="428">
      <c r="B428" s="62"/>
    </row>
    <row r="429">
      <c r="B429" s="62"/>
    </row>
    <row r="430">
      <c r="B430" s="62"/>
    </row>
    <row r="431">
      <c r="B431" s="62"/>
    </row>
    <row r="432">
      <c r="B432" s="62"/>
    </row>
    <row r="433">
      <c r="B433" s="62"/>
    </row>
    <row r="434">
      <c r="B434" s="62"/>
    </row>
    <row r="435">
      <c r="B435" s="62"/>
    </row>
    <row r="436">
      <c r="B436" s="62"/>
    </row>
    <row r="437">
      <c r="B437" s="62"/>
    </row>
    <row r="438">
      <c r="B438" s="62"/>
    </row>
    <row r="439">
      <c r="B439" s="62"/>
    </row>
    <row r="440">
      <c r="B440" s="62"/>
    </row>
    <row r="441">
      <c r="B441" s="62"/>
    </row>
    <row r="442">
      <c r="B442" s="62"/>
    </row>
    <row r="443">
      <c r="B443" s="62"/>
    </row>
    <row r="444">
      <c r="B444" s="62"/>
    </row>
    <row r="445">
      <c r="B445" s="62"/>
    </row>
    <row r="446">
      <c r="B446" s="62"/>
    </row>
    <row r="447">
      <c r="B447" s="62"/>
    </row>
    <row r="448">
      <c r="B448" s="62"/>
    </row>
    <row r="449">
      <c r="B449" s="62"/>
    </row>
    <row r="450">
      <c r="B450" s="62"/>
    </row>
    <row r="451">
      <c r="B451" s="62"/>
    </row>
    <row r="452">
      <c r="B452" s="62"/>
    </row>
    <row r="453">
      <c r="B453" s="62"/>
    </row>
    <row r="454">
      <c r="B454" s="62"/>
    </row>
    <row r="455">
      <c r="B455" s="62"/>
    </row>
    <row r="456">
      <c r="B456" s="62"/>
    </row>
    <row r="457">
      <c r="B457" s="62"/>
    </row>
    <row r="458">
      <c r="B458" s="62"/>
    </row>
    <row r="459">
      <c r="B459" s="62"/>
    </row>
    <row r="460">
      <c r="B460" s="62"/>
    </row>
    <row r="461">
      <c r="B461" s="62"/>
    </row>
    <row r="462">
      <c r="B462" s="62"/>
    </row>
    <row r="463">
      <c r="B463" s="62"/>
    </row>
    <row r="464">
      <c r="B464" s="62"/>
    </row>
    <row r="465">
      <c r="B465" s="62"/>
    </row>
    <row r="466">
      <c r="B466" s="62"/>
    </row>
    <row r="467">
      <c r="B467" s="62"/>
    </row>
    <row r="468">
      <c r="B468" s="62"/>
    </row>
    <row r="469">
      <c r="B469" s="62"/>
    </row>
    <row r="470">
      <c r="B470" s="62"/>
    </row>
    <row r="471">
      <c r="B471" s="62"/>
    </row>
    <row r="472">
      <c r="B472" s="62"/>
    </row>
    <row r="473">
      <c r="B473" s="62"/>
    </row>
    <row r="474">
      <c r="B474" s="62"/>
    </row>
    <row r="475">
      <c r="B475" s="62"/>
    </row>
    <row r="476">
      <c r="B476" s="62"/>
    </row>
    <row r="477">
      <c r="B477" s="62"/>
    </row>
    <row r="478">
      <c r="B478" s="62"/>
    </row>
    <row r="479">
      <c r="B479" s="62"/>
    </row>
    <row r="480">
      <c r="B480" s="62"/>
    </row>
    <row r="481">
      <c r="B481" s="62"/>
    </row>
    <row r="482">
      <c r="B482" s="62"/>
    </row>
    <row r="483">
      <c r="B483" s="62"/>
    </row>
    <row r="484">
      <c r="B484" s="62"/>
    </row>
    <row r="485">
      <c r="B485" s="62"/>
    </row>
    <row r="486">
      <c r="B486" s="62"/>
    </row>
    <row r="487">
      <c r="B487" s="62"/>
    </row>
    <row r="488">
      <c r="B488" s="62"/>
    </row>
    <row r="489">
      <c r="B489" s="62"/>
    </row>
    <row r="490">
      <c r="B490" s="62"/>
    </row>
    <row r="491">
      <c r="B491" s="62"/>
    </row>
    <row r="492">
      <c r="B492" s="62"/>
    </row>
    <row r="493">
      <c r="B493" s="62"/>
    </row>
    <row r="494">
      <c r="B494" s="62"/>
    </row>
    <row r="495">
      <c r="B495" s="62"/>
    </row>
    <row r="496">
      <c r="B496" s="62"/>
    </row>
    <row r="497">
      <c r="B497" s="62"/>
    </row>
    <row r="498">
      <c r="B498" s="62"/>
    </row>
    <row r="499">
      <c r="B499" s="62"/>
    </row>
    <row r="500">
      <c r="B500" s="62"/>
    </row>
    <row r="501">
      <c r="B501" s="62"/>
    </row>
    <row r="502">
      <c r="B502" s="62"/>
    </row>
    <row r="503">
      <c r="B503" s="62"/>
    </row>
    <row r="504">
      <c r="B504" s="62"/>
    </row>
    <row r="505">
      <c r="B505" s="62"/>
    </row>
    <row r="506">
      <c r="B506" s="62"/>
    </row>
    <row r="507">
      <c r="B507" s="62"/>
    </row>
    <row r="508">
      <c r="B508" s="62"/>
    </row>
    <row r="509">
      <c r="B509" s="62"/>
    </row>
    <row r="510">
      <c r="B510" s="62"/>
    </row>
    <row r="511">
      <c r="B511" s="62"/>
    </row>
    <row r="512">
      <c r="B512" s="62"/>
    </row>
    <row r="513">
      <c r="B513" s="62"/>
    </row>
    <row r="514">
      <c r="B514" s="62"/>
    </row>
    <row r="515">
      <c r="B515" s="62"/>
    </row>
    <row r="516">
      <c r="B516" s="62"/>
    </row>
    <row r="517">
      <c r="B517" s="62"/>
    </row>
    <row r="518">
      <c r="B518" s="62"/>
    </row>
    <row r="519">
      <c r="B519" s="62"/>
    </row>
    <row r="520">
      <c r="B520" s="62"/>
    </row>
    <row r="521">
      <c r="B521" s="62"/>
    </row>
    <row r="522">
      <c r="B522" s="62"/>
    </row>
    <row r="523">
      <c r="B523" s="62"/>
    </row>
    <row r="524">
      <c r="B524" s="62"/>
    </row>
    <row r="525">
      <c r="B525" s="62"/>
    </row>
    <row r="526">
      <c r="B526" s="62"/>
    </row>
    <row r="527">
      <c r="B527" s="62"/>
    </row>
    <row r="528">
      <c r="B528" s="62"/>
    </row>
    <row r="529">
      <c r="B529" s="62"/>
    </row>
    <row r="530">
      <c r="B530" s="62"/>
    </row>
    <row r="531">
      <c r="B531" s="62"/>
    </row>
    <row r="532">
      <c r="B532" s="62"/>
    </row>
    <row r="533">
      <c r="B533" s="62"/>
    </row>
    <row r="534">
      <c r="B534" s="62"/>
    </row>
    <row r="535">
      <c r="B535" s="62"/>
    </row>
    <row r="536">
      <c r="B536" s="62"/>
    </row>
    <row r="537">
      <c r="B537" s="62"/>
    </row>
    <row r="538">
      <c r="B538" s="62"/>
    </row>
    <row r="539">
      <c r="B539" s="62"/>
    </row>
    <row r="540">
      <c r="B540" s="62"/>
    </row>
    <row r="541">
      <c r="B541" s="62"/>
    </row>
    <row r="542">
      <c r="B542" s="62"/>
    </row>
    <row r="543">
      <c r="B543" s="62"/>
    </row>
    <row r="544">
      <c r="B544" s="62"/>
    </row>
    <row r="545">
      <c r="B545" s="62"/>
    </row>
    <row r="546">
      <c r="B546" s="62"/>
    </row>
    <row r="547">
      <c r="B547" s="62"/>
    </row>
    <row r="548">
      <c r="B548" s="62"/>
    </row>
    <row r="549">
      <c r="B549" s="62"/>
    </row>
    <row r="550">
      <c r="B550" s="62"/>
    </row>
    <row r="551">
      <c r="B551" s="62"/>
    </row>
    <row r="552">
      <c r="B552" s="62"/>
    </row>
    <row r="553">
      <c r="B553" s="62"/>
    </row>
    <row r="554">
      <c r="B554" s="62"/>
    </row>
    <row r="555">
      <c r="B555" s="62"/>
    </row>
    <row r="556">
      <c r="B556" s="62"/>
    </row>
    <row r="557">
      <c r="B557" s="62"/>
    </row>
    <row r="558">
      <c r="B558" s="62"/>
    </row>
    <row r="559">
      <c r="B559" s="62"/>
    </row>
    <row r="560">
      <c r="B560" s="62"/>
    </row>
    <row r="561">
      <c r="B561" s="62"/>
    </row>
    <row r="562">
      <c r="B562" s="62"/>
    </row>
    <row r="563">
      <c r="B563" s="62"/>
    </row>
    <row r="564">
      <c r="B564" s="62"/>
    </row>
    <row r="565">
      <c r="B565" s="62"/>
    </row>
    <row r="566">
      <c r="B566" s="62"/>
    </row>
    <row r="567">
      <c r="B567" s="62"/>
    </row>
    <row r="568">
      <c r="B568" s="62"/>
    </row>
    <row r="569">
      <c r="B569" s="62"/>
    </row>
    <row r="570">
      <c r="B570" s="62"/>
    </row>
    <row r="571">
      <c r="B571" s="62"/>
    </row>
    <row r="572">
      <c r="B572" s="62"/>
    </row>
    <row r="573">
      <c r="B573" s="62"/>
    </row>
    <row r="574">
      <c r="B574" s="62"/>
    </row>
    <row r="575">
      <c r="B575" s="62"/>
    </row>
    <row r="576">
      <c r="B576" s="62"/>
    </row>
    <row r="577">
      <c r="B577" s="62"/>
    </row>
    <row r="578">
      <c r="B578" s="62"/>
    </row>
    <row r="579">
      <c r="B579" s="62"/>
    </row>
    <row r="580">
      <c r="B580" s="62"/>
    </row>
    <row r="581">
      <c r="B581" s="62"/>
    </row>
    <row r="582">
      <c r="B582" s="62"/>
    </row>
    <row r="583">
      <c r="B583" s="62"/>
    </row>
    <row r="584">
      <c r="B584" s="62"/>
    </row>
    <row r="585">
      <c r="B585" s="62"/>
    </row>
    <row r="586">
      <c r="B586" s="62"/>
    </row>
    <row r="587">
      <c r="B587" s="62"/>
    </row>
    <row r="588">
      <c r="B588" s="62"/>
    </row>
    <row r="589">
      <c r="B589" s="62"/>
    </row>
    <row r="590">
      <c r="B590" s="62"/>
    </row>
    <row r="591">
      <c r="B591" s="62"/>
    </row>
    <row r="592">
      <c r="B592" s="62"/>
    </row>
    <row r="593">
      <c r="B593" s="62"/>
    </row>
    <row r="594">
      <c r="B594" s="62"/>
    </row>
    <row r="595">
      <c r="B595" s="62"/>
    </row>
    <row r="596">
      <c r="B596" s="62"/>
    </row>
    <row r="597">
      <c r="B597" s="62"/>
    </row>
    <row r="598">
      <c r="B598" s="62"/>
    </row>
    <row r="599">
      <c r="B599" s="62"/>
    </row>
    <row r="600">
      <c r="B600" s="62"/>
    </row>
    <row r="601">
      <c r="B601" s="62"/>
    </row>
    <row r="602">
      <c r="B602" s="62"/>
    </row>
    <row r="603">
      <c r="B603" s="62"/>
    </row>
    <row r="604">
      <c r="B604" s="62"/>
    </row>
    <row r="605">
      <c r="B605" s="62"/>
    </row>
    <row r="606">
      <c r="B606" s="62"/>
    </row>
    <row r="607">
      <c r="B607" s="62"/>
    </row>
    <row r="608">
      <c r="B608" s="62"/>
    </row>
    <row r="609">
      <c r="B609" s="62"/>
    </row>
    <row r="610">
      <c r="B610" s="62"/>
    </row>
    <row r="611">
      <c r="B611" s="62"/>
    </row>
    <row r="612">
      <c r="B612" s="62"/>
    </row>
    <row r="613">
      <c r="B613" s="62"/>
    </row>
    <row r="614">
      <c r="B614" s="62"/>
    </row>
    <row r="615">
      <c r="B615" s="62"/>
    </row>
    <row r="616">
      <c r="B616" s="62"/>
    </row>
    <row r="617">
      <c r="B617" s="62"/>
    </row>
    <row r="618">
      <c r="B618" s="62"/>
    </row>
    <row r="619">
      <c r="B619" s="62"/>
    </row>
    <row r="620">
      <c r="B620" s="62"/>
    </row>
    <row r="621">
      <c r="B621" s="62"/>
    </row>
    <row r="622">
      <c r="B622" s="62"/>
    </row>
    <row r="623">
      <c r="B623" s="62"/>
    </row>
    <row r="624">
      <c r="B624" s="62"/>
    </row>
    <row r="625">
      <c r="B625" s="62"/>
    </row>
    <row r="626">
      <c r="B626" s="62"/>
    </row>
    <row r="627">
      <c r="B627" s="62"/>
    </row>
    <row r="628">
      <c r="B628" s="62"/>
    </row>
    <row r="629">
      <c r="B629" s="62"/>
    </row>
    <row r="630">
      <c r="B630" s="62"/>
    </row>
    <row r="631">
      <c r="B631" s="62"/>
    </row>
    <row r="632">
      <c r="B632" s="62"/>
    </row>
    <row r="633">
      <c r="B633" s="62"/>
    </row>
    <row r="634">
      <c r="B634" s="62"/>
    </row>
    <row r="635">
      <c r="B635" s="62"/>
    </row>
    <row r="636">
      <c r="B636" s="62"/>
    </row>
    <row r="637">
      <c r="B637" s="62"/>
    </row>
    <row r="638">
      <c r="B638" s="62"/>
    </row>
    <row r="639">
      <c r="B639" s="62"/>
    </row>
    <row r="640">
      <c r="B640" s="62"/>
    </row>
    <row r="641">
      <c r="B641" s="62"/>
    </row>
    <row r="642">
      <c r="B642" s="62"/>
    </row>
    <row r="643">
      <c r="B643" s="62"/>
    </row>
    <row r="644">
      <c r="B644" s="62"/>
    </row>
    <row r="645">
      <c r="B645" s="62"/>
    </row>
    <row r="646">
      <c r="B646" s="62"/>
    </row>
    <row r="647">
      <c r="B647" s="62"/>
    </row>
    <row r="648">
      <c r="B648" s="62"/>
    </row>
    <row r="649">
      <c r="B649" s="62"/>
    </row>
    <row r="650">
      <c r="B650" s="62"/>
    </row>
    <row r="651">
      <c r="B651" s="62"/>
    </row>
    <row r="652">
      <c r="B652" s="62"/>
    </row>
    <row r="653">
      <c r="B653" s="62"/>
    </row>
    <row r="654">
      <c r="B654" s="62"/>
    </row>
    <row r="655">
      <c r="B655" s="62"/>
    </row>
    <row r="656">
      <c r="B656" s="62"/>
    </row>
    <row r="657">
      <c r="B657" s="62"/>
    </row>
    <row r="658">
      <c r="B658" s="62"/>
    </row>
    <row r="659">
      <c r="B659" s="62"/>
    </row>
    <row r="660">
      <c r="B660" s="62"/>
    </row>
    <row r="661">
      <c r="B661" s="62"/>
    </row>
    <row r="662">
      <c r="B662" s="62"/>
    </row>
    <row r="663">
      <c r="B663" s="62"/>
    </row>
    <row r="664">
      <c r="B664" s="62"/>
    </row>
    <row r="665">
      <c r="B665" s="62"/>
    </row>
    <row r="666">
      <c r="B666" s="62"/>
    </row>
    <row r="667">
      <c r="B667" s="62"/>
    </row>
    <row r="668">
      <c r="B668" s="62"/>
    </row>
    <row r="669">
      <c r="B669" s="62"/>
    </row>
    <row r="670">
      <c r="B670" s="62"/>
    </row>
    <row r="671">
      <c r="B671" s="62"/>
    </row>
    <row r="672">
      <c r="B672" s="62"/>
    </row>
    <row r="673">
      <c r="B673" s="62"/>
    </row>
    <row r="674">
      <c r="B674" s="62"/>
    </row>
    <row r="675">
      <c r="B675" s="62"/>
    </row>
    <row r="676">
      <c r="B676" s="62"/>
    </row>
    <row r="677">
      <c r="B677" s="62"/>
    </row>
    <row r="678">
      <c r="B678" s="62"/>
    </row>
    <row r="679">
      <c r="B679" s="62"/>
    </row>
    <row r="680">
      <c r="B680" s="62"/>
    </row>
    <row r="681">
      <c r="B681" s="62"/>
    </row>
    <row r="682">
      <c r="B682" s="62"/>
    </row>
    <row r="683">
      <c r="B683" s="62"/>
    </row>
    <row r="684">
      <c r="B684" s="62"/>
    </row>
    <row r="685">
      <c r="B685" s="62"/>
    </row>
    <row r="686">
      <c r="B686" s="62"/>
    </row>
    <row r="687">
      <c r="B687" s="62"/>
    </row>
    <row r="688">
      <c r="B688" s="62"/>
    </row>
    <row r="689">
      <c r="B689" s="62"/>
    </row>
    <row r="690">
      <c r="B690" s="62"/>
    </row>
    <row r="691">
      <c r="B691" s="62"/>
    </row>
    <row r="692">
      <c r="B692" s="62"/>
    </row>
    <row r="693">
      <c r="B693" s="62"/>
    </row>
    <row r="694">
      <c r="B694" s="62"/>
    </row>
    <row r="695">
      <c r="B695" s="62"/>
    </row>
    <row r="696">
      <c r="B696" s="62"/>
    </row>
    <row r="697">
      <c r="B697" s="62"/>
    </row>
    <row r="698">
      <c r="B698" s="62"/>
    </row>
    <row r="699">
      <c r="B699" s="62"/>
    </row>
    <row r="700">
      <c r="B700" s="62"/>
    </row>
    <row r="701">
      <c r="B701" s="62"/>
    </row>
    <row r="702">
      <c r="B702" s="62"/>
    </row>
    <row r="703">
      <c r="B703" s="62"/>
    </row>
    <row r="704">
      <c r="B704" s="62"/>
    </row>
    <row r="705">
      <c r="B705" s="62"/>
    </row>
    <row r="706">
      <c r="B706" s="62"/>
    </row>
    <row r="707">
      <c r="B707" s="62"/>
    </row>
    <row r="708">
      <c r="B708" s="62"/>
    </row>
    <row r="709">
      <c r="B709" s="62"/>
    </row>
    <row r="710">
      <c r="B710" s="62"/>
    </row>
    <row r="711">
      <c r="B711" s="62"/>
    </row>
    <row r="712">
      <c r="B712" s="62"/>
    </row>
    <row r="713">
      <c r="B713" s="62"/>
    </row>
    <row r="714">
      <c r="B714" s="62"/>
    </row>
    <row r="715">
      <c r="B715" s="62"/>
    </row>
    <row r="716">
      <c r="B716" s="62"/>
    </row>
    <row r="717">
      <c r="B717" s="62"/>
    </row>
    <row r="718">
      <c r="B718" s="62"/>
    </row>
    <row r="719">
      <c r="B719" s="62"/>
    </row>
    <row r="720">
      <c r="B720" s="62"/>
    </row>
    <row r="721">
      <c r="B721" s="62"/>
    </row>
    <row r="722">
      <c r="B722" s="62"/>
    </row>
    <row r="723">
      <c r="B723" s="62"/>
    </row>
    <row r="724">
      <c r="B724" s="62"/>
    </row>
    <row r="725">
      <c r="B725" s="62"/>
    </row>
    <row r="726">
      <c r="B726" s="62"/>
    </row>
    <row r="727">
      <c r="B727" s="62"/>
    </row>
    <row r="728">
      <c r="B728" s="62"/>
    </row>
    <row r="729">
      <c r="B729" s="62"/>
    </row>
    <row r="730">
      <c r="B730" s="62"/>
    </row>
    <row r="731">
      <c r="B731" s="62"/>
    </row>
    <row r="732">
      <c r="B732" s="62"/>
    </row>
    <row r="733">
      <c r="B733" s="62"/>
    </row>
    <row r="734">
      <c r="B734" s="62"/>
    </row>
    <row r="735">
      <c r="B735" s="62"/>
    </row>
    <row r="736">
      <c r="B736" s="62"/>
    </row>
    <row r="737">
      <c r="B737" s="62"/>
    </row>
    <row r="738">
      <c r="B738" s="62"/>
    </row>
    <row r="739">
      <c r="B739" s="62"/>
    </row>
    <row r="740">
      <c r="B740" s="62"/>
    </row>
    <row r="741">
      <c r="B741" s="62"/>
    </row>
    <row r="742">
      <c r="B742" s="62"/>
    </row>
    <row r="743">
      <c r="B743" s="62"/>
    </row>
    <row r="744">
      <c r="B744" s="62"/>
    </row>
    <row r="745">
      <c r="B745" s="62"/>
    </row>
    <row r="746">
      <c r="B746" s="62"/>
    </row>
    <row r="747">
      <c r="B747" s="62"/>
    </row>
    <row r="748">
      <c r="B748" s="62"/>
    </row>
    <row r="749">
      <c r="B749" s="62"/>
    </row>
    <row r="750">
      <c r="B750" s="62"/>
    </row>
    <row r="751">
      <c r="B751" s="62"/>
    </row>
    <row r="752">
      <c r="B752" s="62"/>
    </row>
    <row r="753">
      <c r="B753" s="62"/>
    </row>
    <row r="754">
      <c r="B754" s="62"/>
    </row>
    <row r="755">
      <c r="B755" s="62"/>
    </row>
    <row r="756">
      <c r="B756" s="62"/>
    </row>
    <row r="757">
      <c r="B757" s="62"/>
    </row>
    <row r="758">
      <c r="B758" s="62"/>
    </row>
    <row r="759">
      <c r="B759" s="62"/>
    </row>
    <row r="760">
      <c r="B760" s="62"/>
    </row>
    <row r="761">
      <c r="B761" s="62"/>
    </row>
    <row r="762">
      <c r="B762" s="62"/>
    </row>
    <row r="763">
      <c r="B763" s="62"/>
    </row>
    <row r="764">
      <c r="B764" s="62"/>
    </row>
    <row r="765">
      <c r="B765" s="62"/>
    </row>
    <row r="766">
      <c r="B766" s="62"/>
    </row>
    <row r="767">
      <c r="B767" s="62"/>
    </row>
    <row r="768">
      <c r="B768" s="62"/>
    </row>
    <row r="769">
      <c r="B769" s="62"/>
    </row>
    <row r="770">
      <c r="B770" s="62"/>
    </row>
    <row r="771">
      <c r="B771" s="62"/>
    </row>
    <row r="772">
      <c r="B772" s="62"/>
    </row>
    <row r="773">
      <c r="B773" s="62"/>
    </row>
    <row r="774">
      <c r="B774" s="62"/>
    </row>
    <row r="775">
      <c r="B775" s="62"/>
    </row>
    <row r="776">
      <c r="B776" s="62"/>
    </row>
    <row r="777">
      <c r="B777" s="62"/>
    </row>
    <row r="778">
      <c r="B778" s="62"/>
    </row>
    <row r="779">
      <c r="B779" s="62"/>
    </row>
    <row r="780">
      <c r="B780" s="62"/>
    </row>
    <row r="781">
      <c r="B781" s="62"/>
    </row>
    <row r="782">
      <c r="B782" s="62"/>
    </row>
    <row r="783">
      <c r="B783" s="62"/>
    </row>
    <row r="784">
      <c r="B784" s="62"/>
    </row>
    <row r="785">
      <c r="B785" s="62"/>
    </row>
    <row r="786">
      <c r="B786" s="62"/>
    </row>
    <row r="787">
      <c r="B787" s="62"/>
    </row>
    <row r="788">
      <c r="B788" s="62"/>
    </row>
    <row r="789">
      <c r="B789" s="62"/>
    </row>
    <row r="790">
      <c r="B790" s="62"/>
    </row>
    <row r="791">
      <c r="B791" s="62"/>
    </row>
    <row r="792">
      <c r="B792" s="62"/>
    </row>
    <row r="793">
      <c r="B793" s="62"/>
    </row>
    <row r="794">
      <c r="B794" s="62"/>
    </row>
    <row r="795">
      <c r="B795" s="62"/>
    </row>
    <row r="796">
      <c r="B796" s="62"/>
    </row>
    <row r="797">
      <c r="B797" s="62"/>
    </row>
    <row r="798">
      <c r="B798" s="62"/>
    </row>
    <row r="799">
      <c r="B799" s="62"/>
    </row>
    <row r="800">
      <c r="B800" s="62"/>
    </row>
    <row r="801">
      <c r="B801" s="62"/>
    </row>
    <row r="802">
      <c r="B802" s="62"/>
    </row>
    <row r="803">
      <c r="B803" s="62"/>
    </row>
    <row r="804">
      <c r="B804" s="62"/>
    </row>
    <row r="805">
      <c r="B805" s="62"/>
    </row>
    <row r="806">
      <c r="B806" s="62"/>
    </row>
    <row r="807">
      <c r="B807" s="62"/>
    </row>
    <row r="808">
      <c r="B808" s="62"/>
    </row>
    <row r="809">
      <c r="B809" s="62"/>
    </row>
    <row r="810">
      <c r="B810" s="62"/>
    </row>
    <row r="811">
      <c r="B811" s="62"/>
    </row>
    <row r="812">
      <c r="B812" s="62"/>
    </row>
    <row r="813">
      <c r="B813" s="62"/>
    </row>
    <row r="814">
      <c r="B814" s="62"/>
    </row>
    <row r="815">
      <c r="B815" s="62"/>
    </row>
    <row r="816">
      <c r="B816" s="62"/>
    </row>
    <row r="817">
      <c r="B817" s="62"/>
    </row>
    <row r="818">
      <c r="B818" s="62"/>
    </row>
    <row r="819">
      <c r="B819" s="62"/>
    </row>
    <row r="820">
      <c r="B820" s="62"/>
    </row>
    <row r="821">
      <c r="B821" s="62"/>
    </row>
    <row r="822">
      <c r="B822" s="62"/>
    </row>
    <row r="823">
      <c r="B823" s="62"/>
    </row>
    <row r="824">
      <c r="B824" s="62"/>
    </row>
    <row r="825">
      <c r="B825" s="62"/>
    </row>
    <row r="826">
      <c r="B826" s="62"/>
    </row>
    <row r="827">
      <c r="B827" s="62"/>
    </row>
    <row r="828">
      <c r="B828" s="62"/>
    </row>
    <row r="829">
      <c r="B829" s="62"/>
    </row>
    <row r="830">
      <c r="B830" s="62"/>
    </row>
    <row r="831">
      <c r="B831" s="62"/>
    </row>
    <row r="832">
      <c r="B832" s="62"/>
    </row>
    <row r="833">
      <c r="B833" s="62"/>
    </row>
    <row r="834">
      <c r="B834" s="62"/>
    </row>
    <row r="835">
      <c r="B835" s="62"/>
    </row>
    <row r="836">
      <c r="B836" s="62"/>
    </row>
    <row r="837">
      <c r="B837" s="62"/>
    </row>
    <row r="838">
      <c r="B838" s="62"/>
    </row>
    <row r="839">
      <c r="B839" s="62"/>
    </row>
    <row r="840">
      <c r="B840" s="62"/>
    </row>
    <row r="841">
      <c r="B841" s="62"/>
    </row>
    <row r="842">
      <c r="B842" s="62"/>
    </row>
    <row r="843">
      <c r="B843" s="62"/>
    </row>
    <row r="844">
      <c r="B844" s="62"/>
    </row>
    <row r="845">
      <c r="B845" s="62"/>
    </row>
    <row r="846">
      <c r="B846" s="62"/>
    </row>
    <row r="847">
      <c r="B847" s="62"/>
    </row>
    <row r="848">
      <c r="B848" s="62"/>
    </row>
    <row r="849">
      <c r="B849" s="62"/>
    </row>
    <row r="850">
      <c r="B850" s="62"/>
    </row>
    <row r="851">
      <c r="B851" s="62"/>
    </row>
    <row r="852">
      <c r="B852" s="62"/>
    </row>
    <row r="853">
      <c r="B853" s="62"/>
    </row>
    <row r="854">
      <c r="B854" s="62"/>
    </row>
    <row r="855">
      <c r="B855" s="62"/>
    </row>
    <row r="856">
      <c r="B856" s="62"/>
    </row>
    <row r="857">
      <c r="B857" s="62"/>
    </row>
    <row r="858">
      <c r="B858" s="62"/>
    </row>
    <row r="859">
      <c r="B859" s="62"/>
    </row>
    <row r="860">
      <c r="B860" s="62"/>
    </row>
    <row r="861">
      <c r="B861" s="62"/>
    </row>
    <row r="862">
      <c r="B862" s="62"/>
    </row>
    <row r="863">
      <c r="B863" s="62"/>
    </row>
    <row r="864">
      <c r="B864" s="62"/>
    </row>
    <row r="865">
      <c r="B865" s="62"/>
    </row>
    <row r="866">
      <c r="B866" s="62"/>
    </row>
    <row r="867">
      <c r="B867" s="62"/>
    </row>
    <row r="868">
      <c r="B868" s="62"/>
    </row>
    <row r="869">
      <c r="B869" s="62"/>
    </row>
    <row r="870">
      <c r="B870" s="62"/>
    </row>
    <row r="871">
      <c r="B871" s="62"/>
    </row>
    <row r="872">
      <c r="B872" s="62"/>
    </row>
    <row r="873">
      <c r="B873" s="62"/>
    </row>
    <row r="874">
      <c r="B874" s="62"/>
    </row>
    <row r="875">
      <c r="B875" s="62"/>
    </row>
    <row r="876">
      <c r="B876" s="62"/>
    </row>
    <row r="877">
      <c r="B877" s="62"/>
    </row>
    <row r="878">
      <c r="B878" s="62"/>
    </row>
    <row r="879">
      <c r="B879" s="62"/>
    </row>
    <row r="880">
      <c r="B880" s="62"/>
    </row>
    <row r="881">
      <c r="B881" s="62"/>
    </row>
    <row r="882">
      <c r="B882" s="62"/>
    </row>
    <row r="883">
      <c r="B883" s="62"/>
    </row>
    <row r="884">
      <c r="B884" s="62"/>
    </row>
    <row r="885">
      <c r="B885" s="62"/>
    </row>
    <row r="886">
      <c r="B886" s="62"/>
    </row>
    <row r="887">
      <c r="B887" s="62"/>
    </row>
    <row r="888">
      <c r="B888" s="62"/>
    </row>
    <row r="889">
      <c r="B889" s="62"/>
    </row>
    <row r="890">
      <c r="B890" s="62"/>
    </row>
    <row r="891">
      <c r="B891" s="62"/>
    </row>
    <row r="892">
      <c r="B892" s="62"/>
    </row>
    <row r="893">
      <c r="B893" s="62"/>
    </row>
    <row r="894">
      <c r="B894" s="62"/>
    </row>
    <row r="895">
      <c r="B895" s="62"/>
    </row>
    <row r="896">
      <c r="B896" s="62"/>
    </row>
    <row r="897">
      <c r="B897" s="62"/>
    </row>
    <row r="898">
      <c r="B898" s="62"/>
    </row>
    <row r="899">
      <c r="B899" s="62"/>
    </row>
    <row r="900">
      <c r="B900" s="62"/>
    </row>
    <row r="901">
      <c r="B901" s="62"/>
    </row>
    <row r="902">
      <c r="B902" s="62"/>
    </row>
    <row r="903">
      <c r="B903" s="62"/>
    </row>
    <row r="904">
      <c r="B904" s="62"/>
    </row>
    <row r="905">
      <c r="B905" s="62"/>
    </row>
    <row r="906">
      <c r="B906" s="62"/>
    </row>
    <row r="907">
      <c r="B907" s="62"/>
    </row>
    <row r="908">
      <c r="B908" s="62"/>
    </row>
    <row r="909">
      <c r="B909" s="62"/>
    </row>
    <row r="910">
      <c r="B910" s="62"/>
    </row>
    <row r="911">
      <c r="B911" s="62"/>
    </row>
    <row r="912">
      <c r="B912" s="62"/>
    </row>
    <row r="913">
      <c r="B913" s="62"/>
    </row>
    <row r="914">
      <c r="B914" s="62"/>
    </row>
    <row r="915">
      <c r="B915" s="62"/>
    </row>
    <row r="916">
      <c r="B916" s="62"/>
    </row>
    <row r="917">
      <c r="B917" s="62"/>
    </row>
    <row r="918">
      <c r="B918" s="62"/>
    </row>
    <row r="919">
      <c r="B919" s="62"/>
    </row>
    <row r="920">
      <c r="B920" s="62"/>
    </row>
    <row r="921">
      <c r="B921" s="62"/>
    </row>
    <row r="922">
      <c r="B922" s="62"/>
    </row>
    <row r="923">
      <c r="B923" s="62"/>
    </row>
    <row r="924">
      <c r="B924" s="62"/>
    </row>
    <row r="925">
      <c r="B925" s="62"/>
    </row>
    <row r="926">
      <c r="B926" s="62"/>
    </row>
    <row r="927">
      <c r="B927" s="62"/>
    </row>
    <row r="928">
      <c r="B928" s="62"/>
    </row>
    <row r="929">
      <c r="B929" s="62"/>
    </row>
    <row r="930">
      <c r="B930" s="62"/>
    </row>
    <row r="931">
      <c r="B931" s="62"/>
    </row>
    <row r="932">
      <c r="B932" s="62"/>
    </row>
    <row r="933">
      <c r="B933" s="62"/>
    </row>
    <row r="934">
      <c r="B934" s="62"/>
    </row>
    <row r="935">
      <c r="B935" s="62"/>
    </row>
    <row r="936">
      <c r="B936" s="62"/>
    </row>
    <row r="937">
      <c r="B937" s="62"/>
    </row>
    <row r="938">
      <c r="B938" s="62"/>
    </row>
    <row r="939">
      <c r="B939" s="62"/>
    </row>
    <row r="940">
      <c r="B940" s="62"/>
    </row>
    <row r="941">
      <c r="B941" s="62"/>
    </row>
    <row r="942">
      <c r="B942" s="62"/>
    </row>
    <row r="943">
      <c r="B943" s="62"/>
    </row>
    <row r="944">
      <c r="B944" s="62"/>
    </row>
    <row r="945">
      <c r="B945" s="62"/>
    </row>
    <row r="946">
      <c r="B946" s="62"/>
    </row>
    <row r="947">
      <c r="B947" s="62"/>
    </row>
    <row r="948">
      <c r="B948" s="62"/>
    </row>
    <row r="949">
      <c r="B949" s="62"/>
    </row>
    <row r="950">
      <c r="B950" s="62"/>
    </row>
  </sheetData>
  <hyperlinks>
    <hyperlink r:id="rId1" ref="A1"/>
    <hyperlink r:id="rId2" ref="A34"/>
    <hyperlink r:id="rId3" ref="A46"/>
  </hyperlinks>
  <drawing r:id="rId4"/>
  <tableParts count="4">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0" t="str">
        <f>IFERROR(__xludf.DUMMYFUNCTION("LET(
    sources,
        FILTER(
            HSTACK(
                data_co2_emissions_name,
                data_co2_emissions_latitude,
                data_co2_emissions_longitude,
                IF(
                    (data_co2_emissions_label=""P"&amp;"aper, pulp and primary wood products"")+
                    (data_co2_emissions_label=""Waste management""),
                    data_co2_emissions_label,
                    ""Other""
                ),
                data_co2_emissions_biogenic_volume"&amp;"
            ),
            data_all_emissions!I:I&lt;&gt;"""",
            data_all_emissions!J:J&lt;&gt;"""",
            data_all_emissions!R:R&gt;0.01,
            data_co2_emissions_label&lt;&gt;""Fossil Power or Unknown Power"",
            data_co2_emissions_label&lt;&gt;""B"&amp;"iomass Power"",
            data_co2_emissions_label&lt;&gt;""Bioethanol"",
            data_co2_emissions_label&lt;&gt;""Refining""
        ),
    e_kerosene,
        FILTER(
            HSTACK(
                data_e_kerosene_name,
                data_e_kerosene_l"&amp;"atitude,
                data_e_kerosene_longitude,
                data_e_kerosene_label,
                data_e_kerosene_co2
            ),
            data_e_kerosene_co2&lt;&gt;0,
            data_e_kerosene_label&lt;&gt;""Product""
        ),
    e_methanol,
   "&amp;"     FILTER(
            HSTACK(
                data_e_methanol_name,
                data_e_methanol_latitude,
                data_e_methanol_longitude,
                data_e_methanol_label,
                data_e_methanol_co2
            ),
         "&amp;"   data_e_methanol_co2&lt;&gt;0,
            data_e_methanol_label&lt;&gt;""Product""
        ),
    VSTACK(sources, e_kerosene, e_methanol)
)
"),"Facility Name")</f>
        <v>Facility Name</v>
      </c>
      <c r="B1" s="111" t="str">
        <f>IFERROR(__xludf.DUMMYFUNCTION("""COMPUTED_VALUE"""),"Latitude")</f>
        <v>Latitude</v>
      </c>
      <c r="C1" s="111" t="str">
        <f>IFERROR(__xludf.DUMMYFUNCTION("""COMPUTED_VALUE"""),"Longitude")</f>
        <v>Longitude</v>
      </c>
      <c r="D1" s="111" t="str">
        <f>IFERROR(__xludf.DUMMYFUNCTION("""COMPUTED_VALUE"""),"Other")</f>
        <v>Other</v>
      </c>
      <c r="E1" s="111" t="str">
        <f>IFERROR(__xludf.DUMMYFUNCTION("""COMPUTED_VALUE"""),"Biogenic emissions (MtCO2/year)")</f>
        <v>Biogenic emissions (MtCO2/year)</v>
      </c>
      <c r="F1" s="62"/>
      <c r="G1" s="62"/>
      <c r="H1" s="62"/>
      <c r="I1" s="62"/>
      <c r="J1" s="62"/>
      <c r="K1" s="62"/>
      <c r="L1" s="62"/>
      <c r="M1" s="62"/>
      <c r="N1" s="62"/>
      <c r="O1" s="62"/>
      <c r="P1" s="62"/>
      <c r="Q1" s="62"/>
      <c r="R1" s="62"/>
      <c r="S1" s="62"/>
      <c r="T1" s="62"/>
      <c r="U1" s="62"/>
      <c r="V1" s="62"/>
      <c r="W1" s="62"/>
      <c r="X1" s="62"/>
      <c r="Y1" s="62"/>
      <c r="Z1" s="62"/>
    </row>
    <row r="2">
      <c r="A2" s="31"/>
      <c r="B2" s="31" t="str">
        <f>IFERROR(__xludf.DUMMYFUNCTION("""COMPUTED_VALUE"""),"N/A")</f>
        <v>N/A</v>
      </c>
      <c r="C2" s="31" t="str">
        <f>IFERROR(__xludf.DUMMYFUNCTION("""COMPUTED_VALUE"""),"N/A")</f>
        <v>N/A</v>
      </c>
      <c r="D2" s="31" t="str">
        <f>IFERROR(__xludf.DUMMYFUNCTION("""COMPUTED_VALUE"""),"Other")</f>
        <v>Other</v>
      </c>
      <c r="E2" s="31">
        <f>IFERROR(__xludf.DUMMYFUNCTION("""COMPUTED_VALUE"""),0.1229029402)</f>
        <v>0.1229029402</v>
      </c>
    </row>
    <row r="3">
      <c r="A3" s="31"/>
      <c r="B3" s="31" t="str">
        <f>IFERROR(__xludf.DUMMYFUNCTION("""COMPUTED_VALUE"""),"N/A")</f>
        <v>N/A</v>
      </c>
      <c r="C3" s="31" t="str">
        <f>IFERROR(__xludf.DUMMYFUNCTION("""COMPUTED_VALUE"""),"N/A")</f>
        <v>N/A</v>
      </c>
      <c r="D3" s="31" t="str">
        <f>IFERROR(__xludf.DUMMYFUNCTION("""COMPUTED_VALUE"""),"Other")</f>
        <v>Other</v>
      </c>
      <c r="E3" s="31">
        <f>IFERROR(__xludf.DUMMYFUNCTION("""COMPUTED_VALUE"""),0.11522150639999999)</f>
        <v>0.1152215064</v>
      </c>
    </row>
    <row r="4">
      <c r="A4" s="31"/>
      <c r="B4" s="31" t="str">
        <f>IFERROR(__xludf.DUMMYFUNCTION("""COMPUTED_VALUE"""),"N/A")</f>
        <v>N/A</v>
      </c>
      <c r="C4" s="31" t="str">
        <f>IFERROR(__xludf.DUMMYFUNCTION("""COMPUTED_VALUE"""),"N/A")</f>
        <v>N/A</v>
      </c>
      <c r="D4" s="31" t="str">
        <f>IFERROR(__xludf.DUMMYFUNCTION("""COMPUTED_VALUE"""),"Other")</f>
        <v>Other</v>
      </c>
      <c r="E4" s="31">
        <f>IFERROR(__xludf.DUMMYFUNCTION("""COMPUTED_VALUE"""),0.09985863888)</f>
        <v>0.09985863888</v>
      </c>
    </row>
    <row r="5">
      <c r="A5" s="31"/>
      <c r="B5" s="31" t="str">
        <f>IFERROR(__xludf.DUMMYFUNCTION("""COMPUTED_VALUE"""),"N/A")</f>
        <v>N/A</v>
      </c>
      <c r="C5" s="31" t="str">
        <f>IFERROR(__xludf.DUMMYFUNCTION("""COMPUTED_VALUE"""),"N/A")</f>
        <v>N/A</v>
      </c>
      <c r="D5" s="31" t="str">
        <f>IFERROR(__xludf.DUMMYFUNCTION("""COMPUTED_VALUE"""),"Other")</f>
        <v>Other</v>
      </c>
      <c r="E5" s="31">
        <f>IFERROR(__xludf.DUMMYFUNCTION("""COMPUTED_VALUE"""),0.9597224736)</f>
        <v>0.9597224736</v>
      </c>
    </row>
    <row r="6">
      <c r="A6" s="31"/>
      <c r="B6" s="31" t="str">
        <f>IFERROR(__xludf.DUMMYFUNCTION("""COMPUTED_VALUE"""),"N/A")</f>
        <v>N/A</v>
      </c>
      <c r="C6" s="31" t="str">
        <f>IFERROR(__xludf.DUMMYFUNCTION("""COMPUTED_VALUE"""),"N/A")</f>
        <v>N/A</v>
      </c>
      <c r="D6" s="31" t="str">
        <f>IFERROR(__xludf.DUMMYFUNCTION("""COMPUTED_VALUE"""),"Other")</f>
        <v>Other</v>
      </c>
      <c r="E6" s="31">
        <f>IFERROR(__xludf.DUMMYFUNCTION("""COMPUTED_VALUE"""),0.06145147008)</f>
        <v>0.06145147008</v>
      </c>
    </row>
    <row r="7">
      <c r="A7" s="31"/>
      <c r="B7" s="31" t="str">
        <f>IFERROR(__xludf.DUMMYFUNCTION("""COMPUTED_VALUE"""),"N/A")</f>
        <v>N/A</v>
      </c>
      <c r="C7" s="31" t="str">
        <f>IFERROR(__xludf.DUMMYFUNCTION("""COMPUTED_VALUE"""),"N/A")</f>
        <v>N/A</v>
      </c>
      <c r="D7" s="31" t="str">
        <f>IFERROR(__xludf.DUMMYFUNCTION("""COMPUTED_VALUE"""),"Other")</f>
        <v>Other</v>
      </c>
      <c r="E7" s="31">
        <f>IFERROR(__xludf.DUMMYFUNCTION("""COMPUTED_VALUE"""),0.22276157900000002)</f>
        <v>0.222761579</v>
      </c>
    </row>
    <row r="8">
      <c r="A8" s="31"/>
      <c r="B8" s="31" t="str">
        <f>IFERROR(__xludf.DUMMYFUNCTION("""COMPUTED_VALUE"""),"N/A")</f>
        <v>N/A</v>
      </c>
      <c r="C8" s="31" t="str">
        <f>IFERROR(__xludf.DUMMYFUNCTION("""COMPUTED_VALUE"""),"N/A")</f>
        <v>N/A</v>
      </c>
      <c r="D8" s="31" t="str">
        <f>IFERROR(__xludf.DUMMYFUNCTION("""COMPUTED_VALUE"""),"Other")</f>
        <v>Other</v>
      </c>
      <c r="E8" s="31">
        <f>IFERROR(__xludf.DUMMYFUNCTION("""COMPUTED_VALUE"""),1.616997888)</f>
        <v>1.616997888</v>
      </c>
    </row>
    <row r="9">
      <c r="A9" s="31"/>
      <c r="B9" s="31" t="str">
        <f>IFERROR(__xludf.DUMMYFUNCTION("""COMPUTED_VALUE"""),"N/A")</f>
        <v>N/A</v>
      </c>
      <c r="C9" s="31" t="str">
        <f>IFERROR(__xludf.DUMMYFUNCTION("""COMPUTED_VALUE"""),"N/A")</f>
        <v>N/A</v>
      </c>
      <c r="D9" s="31" t="str">
        <f>IFERROR(__xludf.DUMMYFUNCTION("""COMPUTED_VALUE"""),"Other")</f>
        <v>Other</v>
      </c>
      <c r="E9" s="31">
        <f>IFERROR(__xludf.DUMMYFUNCTION("""COMPUTED_VALUE"""),1.749743424)</f>
        <v>1.749743424</v>
      </c>
    </row>
    <row r="10">
      <c r="A10" s="31"/>
      <c r="B10" s="31" t="str">
        <f>IFERROR(__xludf.DUMMYFUNCTION("""COMPUTED_VALUE"""),"N/A")</f>
        <v>N/A</v>
      </c>
      <c r="C10" s="31" t="str">
        <f>IFERROR(__xludf.DUMMYFUNCTION("""COMPUTED_VALUE"""),"N/A")</f>
        <v>N/A</v>
      </c>
      <c r="D10" s="31" t="str">
        <f>IFERROR(__xludf.DUMMYFUNCTION("""COMPUTED_VALUE"""),"Other")</f>
        <v>Other</v>
      </c>
      <c r="E10" s="31">
        <f>IFERROR(__xludf.DUMMYFUNCTION("""COMPUTED_VALUE"""),0.01536286752)</f>
        <v>0.01536286752</v>
      </c>
    </row>
    <row r="11">
      <c r="A11" s="31"/>
      <c r="B11" s="31" t="str">
        <f>IFERROR(__xludf.DUMMYFUNCTION("""COMPUTED_VALUE"""),"N/A")</f>
        <v>N/A</v>
      </c>
      <c r="C11" s="31" t="str">
        <f>IFERROR(__xludf.DUMMYFUNCTION("""COMPUTED_VALUE"""),"N/A")</f>
        <v>N/A</v>
      </c>
      <c r="D11" s="31" t="str">
        <f>IFERROR(__xludf.DUMMYFUNCTION("""COMPUTED_VALUE"""),"Other")</f>
        <v>Other</v>
      </c>
      <c r="E11" s="31">
        <f>IFERROR(__xludf.DUMMYFUNCTION("""COMPUTED_VALUE"""),0.01536286752)</f>
        <v>0.01536286752</v>
      </c>
    </row>
    <row r="12">
      <c r="A12" s="31"/>
      <c r="B12" s="31" t="str">
        <f>IFERROR(__xludf.DUMMYFUNCTION("""COMPUTED_VALUE"""),"N/A")</f>
        <v>N/A</v>
      </c>
      <c r="C12" s="31" t="str">
        <f>IFERROR(__xludf.DUMMYFUNCTION("""COMPUTED_VALUE"""),"N/A")</f>
        <v>N/A</v>
      </c>
      <c r="D12" s="31" t="str">
        <f>IFERROR(__xludf.DUMMYFUNCTION("""COMPUTED_VALUE"""),"Other")</f>
        <v>Other</v>
      </c>
      <c r="E12" s="31">
        <f>IFERROR(__xludf.DUMMYFUNCTION("""COMPUTED_VALUE"""),0.01536286752)</f>
        <v>0.01536286752</v>
      </c>
    </row>
    <row r="13">
      <c r="A13" s="31"/>
      <c r="B13" s="31" t="str">
        <f>IFERROR(__xludf.DUMMYFUNCTION("""COMPUTED_VALUE"""),"N/A")</f>
        <v>N/A</v>
      </c>
      <c r="C13" s="31" t="str">
        <f>IFERROR(__xludf.DUMMYFUNCTION("""COMPUTED_VALUE"""),"N/A")</f>
        <v>N/A</v>
      </c>
      <c r="D13" s="31" t="str">
        <f>IFERROR(__xludf.DUMMYFUNCTION("""COMPUTED_VALUE"""),"Other")</f>
        <v>Other</v>
      </c>
      <c r="E13" s="31">
        <f>IFERROR(__xludf.DUMMYFUNCTION("""COMPUTED_VALUE"""),1.411485134)</f>
        <v>1.411485134</v>
      </c>
    </row>
    <row r="14">
      <c r="A14" s="31"/>
      <c r="B14" s="31" t="str">
        <f>IFERROR(__xludf.DUMMYFUNCTION("""COMPUTED_VALUE"""),"N/A")</f>
        <v>N/A</v>
      </c>
      <c r="C14" s="31" t="str">
        <f>IFERROR(__xludf.DUMMYFUNCTION("""COMPUTED_VALUE"""),"N/A")</f>
        <v>N/A</v>
      </c>
      <c r="D14" s="31" t="str">
        <f>IFERROR(__xludf.DUMMYFUNCTION("""COMPUTED_VALUE"""),"Other")</f>
        <v>Other</v>
      </c>
      <c r="E14" s="31">
        <f>IFERROR(__xludf.DUMMYFUNCTION("""COMPUTED_VALUE"""),0.06145147008)</f>
        <v>0.06145147008</v>
      </c>
    </row>
    <row r="15">
      <c r="A15" s="31"/>
      <c r="B15" s="31" t="str">
        <f>IFERROR(__xludf.DUMMYFUNCTION("""COMPUTED_VALUE"""),"N/A")</f>
        <v>N/A</v>
      </c>
      <c r="C15" s="31" t="str">
        <f>IFERROR(__xludf.DUMMYFUNCTION("""COMPUTED_VALUE"""),"N/A")</f>
        <v>N/A</v>
      </c>
      <c r="D15" s="31" t="str">
        <f>IFERROR(__xludf.DUMMYFUNCTION("""COMPUTED_VALUE"""),"Other")</f>
        <v>Other</v>
      </c>
      <c r="E15" s="31">
        <f>IFERROR(__xludf.DUMMYFUNCTION("""COMPUTED_VALUE"""),0.0384071688)</f>
        <v>0.0384071688</v>
      </c>
    </row>
    <row r="16">
      <c r="A16" s="31"/>
      <c r="B16" s="31" t="str">
        <f>IFERROR(__xludf.DUMMYFUNCTION("""COMPUTED_VALUE"""),"N/A")</f>
        <v>N/A</v>
      </c>
      <c r="C16" s="31" t="str">
        <f>IFERROR(__xludf.DUMMYFUNCTION("""COMPUTED_VALUE"""),"N/A")</f>
        <v>N/A</v>
      </c>
      <c r="D16" s="31" t="str">
        <f>IFERROR(__xludf.DUMMYFUNCTION("""COMPUTED_VALUE"""),"Other")</f>
        <v>Other</v>
      </c>
      <c r="E16" s="31">
        <f>IFERROR(__xludf.DUMMYFUNCTION("""COMPUTED_VALUE"""),0.02304430128)</f>
        <v>0.02304430128</v>
      </c>
    </row>
    <row r="17">
      <c r="A17" s="31"/>
      <c r="B17" s="31" t="str">
        <f>IFERROR(__xludf.DUMMYFUNCTION("""COMPUTED_VALUE"""),"N/A")</f>
        <v>N/A</v>
      </c>
      <c r="C17" s="31" t="str">
        <f>IFERROR(__xludf.DUMMYFUNCTION("""COMPUTED_VALUE"""),"N/A")</f>
        <v>N/A</v>
      </c>
      <c r="D17" s="31" t="str">
        <f>IFERROR(__xludf.DUMMYFUNCTION("""COMPUTED_VALUE"""),"Other")</f>
        <v>Other</v>
      </c>
      <c r="E17" s="31">
        <f>IFERROR(__xludf.DUMMYFUNCTION("""COMPUTED_VALUE"""),0.482879232)</f>
        <v>0.482879232</v>
      </c>
    </row>
    <row r="18">
      <c r="A18" s="31"/>
      <c r="B18" s="31" t="str">
        <f>IFERROR(__xludf.DUMMYFUNCTION("""COMPUTED_VALUE"""),"N/A")</f>
        <v>N/A</v>
      </c>
      <c r="C18" s="31" t="str">
        <f>IFERROR(__xludf.DUMMYFUNCTION("""COMPUTED_VALUE"""),"N/A")</f>
        <v>N/A</v>
      </c>
      <c r="D18" s="31" t="str">
        <f>IFERROR(__xludf.DUMMYFUNCTION("""COMPUTED_VALUE"""),"Other")</f>
        <v>Other</v>
      </c>
      <c r="E18" s="31">
        <f>IFERROR(__xludf.DUMMYFUNCTION("""COMPUTED_VALUE"""),0.14430873600000002)</f>
        <v>0.144308736</v>
      </c>
    </row>
    <row r="19">
      <c r="A19" s="31"/>
      <c r="B19" s="31" t="str">
        <f>IFERROR(__xludf.DUMMYFUNCTION("""COMPUTED_VALUE"""),"N/A")</f>
        <v>N/A</v>
      </c>
      <c r="C19" s="31" t="str">
        <f>IFERROR(__xludf.DUMMYFUNCTION("""COMPUTED_VALUE"""),"N/A")</f>
        <v>N/A</v>
      </c>
      <c r="D19" s="31" t="str">
        <f>IFERROR(__xludf.DUMMYFUNCTION("""COMPUTED_VALUE"""),"Other")</f>
        <v>Other</v>
      </c>
      <c r="E19" s="31">
        <f>IFERROR(__xludf.DUMMYFUNCTION("""COMPUTED_VALUE"""),0.0384071688)</f>
        <v>0.0384071688</v>
      </c>
    </row>
    <row r="20">
      <c r="A20" s="31"/>
      <c r="B20" s="31" t="str">
        <f>IFERROR(__xludf.DUMMYFUNCTION("""COMPUTED_VALUE"""),"N/A")</f>
        <v>N/A</v>
      </c>
      <c r="C20" s="31" t="str">
        <f>IFERROR(__xludf.DUMMYFUNCTION("""COMPUTED_VALUE"""),"N/A")</f>
        <v>N/A</v>
      </c>
      <c r="D20" s="31" t="str">
        <f>IFERROR(__xludf.DUMMYFUNCTION("""COMPUTED_VALUE"""),"Other")</f>
        <v>Other</v>
      </c>
      <c r="E20" s="31">
        <f>IFERROR(__xludf.DUMMYFUNCTION("""COMPUTED_VALUE"""),0.0384071688)</f>
        <v>0.0384071688</v>
      </c>
    </row>
    <row r="21">
      <c r="A21" s="31"/>
      <c r="B21" s="31" t="str">
        <f>IFERROR(__xludf.DUMMYFUNCTION("""COMPUTED_VALUE"""),"N/A")</f>
        <v>N/A</v>
      </c>
      <c r="C21" s="31" t="str">
        <f>IFERROR(__xludf.DUMMYFUNCTION("""COMPUTED_VALUE"""),"N/A")</f>
        <v>N/A</v>
      </c>
      <c r="D21" s="31" t="str">
        <f>IFERROR(__xludf.DUMMYFUNCTION("""COMPUTED_VALUE"""),"Other")</f>
        <v>Other</v>
      </c>
      <c r="E21" s="31">
        <f>IFERROR(__xludf.DUMMYFUNCTION("""COMPUTED_VALUE"""),0.0780516)</f>
        <v>0.0780516</v>
      </c>
    </row>
    <row r="22">
      <c r="A22" s="31"/>
      <c r="B22" s="31" t="str">
        <f>IFERROR(__xludf.DUMMYFUNCTION("""COMPUTED_VALUE"""),"N/A")</f>
        <v>N/A</v>
      </c>
      <c r="C22" s="31" t="str">
        <f>IFERROR(__xludf.DUMMYFUNCTION("""COMPUTED_VALUE"""),"N/A")</f>
        <v>N/A</v>
      </c>
      <c r="D22" s="31" t="str">
        <f>IFERROR(__xludf.DUMMYFUNCTION("""COMPUTED_VALUE"""),"Other")</f>
        <v>Other</v>
      </c>
      <c r="E22" s="31">
        <f>IFERROR(__xludf.DUMMYFUNCTION("""COMPUTED_VALUE"""),0.4596718896)</f>
        <v>0.4596718896</v>
      </c>
    </row>
    <row r="23">
      <c r="A23" s="31"/>
      <c r="B23" s="31" t="str">
        <f>IFERROR(__xludf.DUMMYFUNCTION("""COMPUTED_VALUE"""),"N/A")</f>
        <v>N/A</v>
      </c>
      <c r="C23" s="31" t="str">
        <f>IFERROR(__xludf.DUMMYFUNCTION("""COMPUTED_VALUE"""),"N/A")</f>
        <v>N/A</v>
      </c>
      <c r="D23" s="31" t="str">
        <f>IFERROR(__xludf.DUMMYFUNCTION("""COMPUTED_VALUE"""),"Other")</f>
        <v>Other</v>
      </c>
      <c r="E23" s="31">
        <f>IFERROR(__xludf.DUMMYFUNCTION("""COMPUTED_VALUE"""),0.0808498944)</f>
        <v>0.0808498944</v>
      </c>
    </row>
    <row r="24">
      <c r="A24" s="31"/>
      <c r="B24" s="31" t="str">
        <f>IFERROR(__xludf.DUMMYFUNCTION("""COMPUTED_VALUE"""),"N/A")</f>
        <v>N/A</v>
      </c>
      <c r="C24" s="31" t="str">
        <f>IFERROR(__xludf.DUMMYFUNCTION("""COMPUTED_VALUE"""),"N/A")</f>
        <v>N/A</v>
      </c>
      <c r="D24" s="31" t="str">
        <f>IFERROR(__xludf.DUMMYFUNCTION("""COMPUTED_VALUE"""),"Other")</f>
        <v>Other</v>
      </c>
      <c r="E24" s="31">
        <f>IFERROR(__xludf.DUMMYFUNCTION("""COMPUTED_VALUE"""),1.389781008)</f>
        <v>1.389781008</v>
      </c>
    </row>
    <row r="25">
      <c r="A25" s="31" t="str">
        <f>IFERROR(__xludf.DUMMYFUNCTION("""COMPUTED_VALUE"""),"SAVED")</f>
        <v>SAVED</v>
      </c>
      <c r="B25" s="31">
        <f>IFERROR(__xludf.DUMMYFUNCTION("""COMPUTED_VALUE"""),47.51752)</f>
        <v>47.51752</v>
      </c>
      <c r="C25" s="31">
        <f>IFERROR(__xludf.DUMMYFUNCTION("""COMPUTED_VALUE"""),0.05072)</f>
        <v>0.05072</v>
      </c>
      <c r="D25" s="31" t="str">
        <f>IFERROR(__xludf.DUMMYFUNCTION("""COMPUTED_VALUE"""),"Waste management")</f>
        <v>Waste management</v>
      </c>
      <c r="E25" s="31">
        <f>IFERROR(__xludf.DUMMYFUNCTION("""COMPUTED_VALUE"""),3.328049894)</f>
        <v>3.328049894</v>
      </c>
    </row>
    <row r="26">
      <c r="A26" s="31" t="str">
        <f>IFERROR(__xludf.DUMMYFUNCTION("""COMPUTED_VALUE"""),"Metsä Fibre Oy, Äänekosken biotuotetehdas")</f>
        <v>Metsä Fibre Oy, Äänekosken biotuotetehdas</v>
      </c>
      <c r="B26" s="31">
        <f>IFERROR(__xludf.DUMMYFUNCTION("""COMPUTED_VALUE"""),62.59286)</f>
        <v>62.59286</v>
      </c>
      <c r="C26" s="31">
        <f>IFERROR(__xludf.DUMMYFUNCTION("""COMPUTED_VALUE"""),25.74986)</f>
        <v>25.74986</v>
      </c>
      <c r="D26" s="31" t="str">
        <f>IFERROR(__xludf.DUMMYFUNCTION("""COMPUTED_VALUE"""),"Paper, pulp and primary wood products")</f>
        <v>Paper, pulp and primary wood products</v>
      </c>
      <c r="E26" s="31">
        <f>IFERROR(__xludf.DUMMYFUNCTION("""COMPUTED_VALUE"""),3.1)</f>
        <v>3.1</v>
      </c>
    </row>
    <row r="27">
      <c r="A27" s="31" t="str">
        <f>IFERROR(__xludf.DUMMYFUNCTION("""COMPUTED_VALUE"""),"Stora Enso Oyj, Imatran tehtaat")</f>
        <v>Stora Enso Oyj, Imatran tehtaat</v>
      </c>
      <c r="B27" s="31">
        <f>IFERROR(__xludf.DUMMYFUNCTION("""COMPUTED_VALUE"""),61.24909)</f>
        <v>61.24909</v>
      </c>
      <c r="C27" s="31">
        <f>IFERROR(__xludf.DUMMYFUNCTION("""COMPUTED_VALUE"""),28.85848)</f>
        <v>28.85848</v>
      </c>
      <c r="D27" s="31" t="str">
        <f>IFERROR(__xludf.DUMMYFUNCTION("""COMPUTED_VALUE"""),"Paper, pulp and primary wood products")</f>
        <v>Paper, pulp and primary wood products</v>
      </c>
      <c r="E27" s="31">
        <f>IFERROR(__xludf.DUMMYFUNCTION("""COMPUTED_VALUE"""),2.178)</f>
        <v>2.178</v>
      </c>
    </row>
    <row r="28">
      <c r="A28" s="31" t="str">
        <f>IFERROR(__xludf.DUMMYFUNCTION("""COMPUTED_VALUE"""),"SCA Östrands massafabrik")</f>
        <v>SCA Östrands massafabrik</v>
      </c>
      <c r="B28" s="31">
        <f>IFERROR(__xludf.DUMMYFUNCTION("""COMPUTED_VALUE"""),62.47519)</f>
        <v>62.47519</v>
      </c>
      <c r="C28" s="31">
        <f>IFERROR(__xludf.DUMMYFUNCTION("""COMPUTED_VALUE"""),17.33031)</f>
        <v>17.33031</v>
      </c>
      <c r="D28" s="31" t="str">
        <f>IFERROR(__xludf.DUMMYFUNCTION("""COMPUTED_VALUE"""),"Paper, pulp and primary wood products")</f>
        <v>Paper, pulp and primary wood products</v>
      </c>
      <c r="E28" s="31">
        <f>IFERROR(__xludf.DUMMYFUNCTION("""COMPUTED_VALUE"""),1.911)</f>
        <v>1.911</v>
      </c>
    </row>
    <row r="29">
      <c r="A29" s="31" t="str">
        <f>IFERROR(__xludf.DUMMYFUNCTION("""COMPUTED_VALUE"""),"Södra Cell Mönsterås")</f>
        <v>Södra Cell Mönsterås</v>
      </c>
      <c r="B29" s="31">
        <f>IFERROR(__xludf.DUMMYFUNCTION("""COMPUTED_VALUE"""),57.09152)</f>
        <v>57.09152</v>
      </c>
      <c r="C29" s="31">
        <f>IFERROR(__xludf.DUMMYFUNCTION("""COMPUTED_VALUE"""),16.55049)</f>
        <v>16.55049</v>
      </c>
      <c r="D29" s="31" t="str">
        <f>IFERROR(__xludf.DUMMYFUNCTION("""COMPUTED_VALUE"""),"Paper, pulp and primary wood products")</f>
        <v>Paper, pulp and primary wood products</v>
      </c>
      <c r="E29" s="31">
        <f>IFERROR(__xludf.DUMMYFUNCTION("""COMPUTED_VALUE"""),1.83195)</f>
        <v>1.83195</v>
      </c>
    </row>
    <row r="30">
      <c r="A30" s="31" t="str">
        <f>IFERROR(__xludf.DUMMYFUNCTION("""COMPUTED_VALUE"""),"Södra Cell Värö")</f>
        <v>Södra Cell Värö</v>
      </c>
      <c r="B30" s="31">
        <f>IFERROR(__xludf.DUMMYFUNCTION("""COMPUTED_VALUE"""),57.22166)</f>
        <v>57.22166</v>
      </c>
      <c r="C30" s="31">
        <f>IFERROR(__xludf.DUMMYFUNCTION("""COMPUTED_VALUE"""),12.17193)</f>
        <v>12.17193</v>
      </c>
      <c r="D30" s="31" t="str">
        <f>IFERROR(__xludf.DUMMYFUNCTION("""COMPUTED_VALUE"""),"Paper, pulp and primary wood products")</f>
        <v>Paper, pulp and primary wood products</v>
      </c>
      <c r="E30" s="31">
        <f>IFERROR(__xludf.DUMMYFUNCTION("""COMPUTED_VALUE"""),1.8098)</f>
        <v>1.8098</v>
      </c>
    </row>
    <row r="31">
      <c r="A31" s="31" t="str">
        <f>IFERROR(__xludf.DUMMYFUNCTION("""COMPUTED_VALUE"""),"Mondi Štětí a.s. - Celulozka")</f>
        <v>Mondi Štětí a.s. - Celulozka</v>
      </c>
      <c r="B31" s="31">
        <f>IFERROR(__xludf.DUMMYFUNCTION("""COMPUTED_VALUE"""),50.46118536)</f>
        <v>50.46118536</v>
      </c>
      <c r="C31" s="31">
        <f>IFERROR(__xludf.DUMMYFUNCTION("""COMPUTED_VALUE"""),14.37481449)</f>
        <v>14.37481449</v>
      </c>
      <c r="D31" s="31" t="str">
        <f>IFERROR(__xludf.DUMMYFUNCTION("""COMPUTED_VALUE"""),"Paper, pulp and primary wood products")</f>
        <v>Paper, pulp and primary wood products</v>
      </c>
      <c r="E31" s="31">
        <f>IFERROR(__xludf.DUMMYFUNCTION("""COMPUTED_VALUE"""),1.48736573)</f>
        <v>1.48736573</v>
      </c>
    </row>
    <row r="32">
      <c r="A32" s="31" t="str">
        <f>IFERROR(__xludf.DUMMYFUNCTION("""COMPUTED_VALUE"""),"Metsä Fibre Oy Kemi, Puunjalostusteollisuus")</f>
        <v>Metsä Fibre Oy Kemi, Puunjalostusteollisuus</v>
      </c>
      <c r="B32" s="31">
        <f>IFERROR(__xludf.DUMMYFUNCTION("""COMPUTED_VALUE"""),65.75583)</f>
        <v>65.75583</v>
      </c>
      <c r="C32" s="31">
        <f>IFERROR(__xludf.DUMMYFUNCTION("""COMPUTED_VALUE"""),24.51977)</f>
        <v>24.51977</v>
      </c>
      <c r="D32" s="31" t="str">
        <f>IFERROR(__xludf.DUMMYFUNCTION("""COMPUTED_VALUE"""),"Paper, pulp and primary wood products")</f>
        <v>Paper, pulp and primary wood products</v>
      </c>
      <c r="E32" s="31">
        <f>IFERROR(__xludf.DUMMYFUNCTION("""COMPUTED_VALUE"""),1.4518)</f>
        <v>1.4518</v>
      </c>
    </row>
    <row r="33">
      <c r="A33" s="31" t="str">
        <f>IFERROR(__xludf.DUMMYFUNCTION("""COMPUTED_VALUE"""),"Gruvöns bruk")</f>
        <v>Gruvöns bruk</v>
      </c>
      <c r="B33" s="31">
        <f>IFERROR(__xludf.DUMMYFUNCTION("""COMPUTED_VALUE"""),59.33827)</f>
        <v>59.33827</v>
      </c>
      <c r="C33" s="31">
        <f>IFERROR(__xludf.DUMMYFUNCTION("""COMPUTED_VALUE"""),13.12153)</f>
        <v>13.12153</v>
      </c>
      <c r="D33" s="31" t="str">
        <f>IFERROR(__xludf.DUMMYFUNCTION("""COMPUTED_VALUE"""),"Paper, pulp and primary wood products")</f>
        <v>Paper, pulp and primary wood products</v>
      </c>
      <c r="E33" s="31">
        <f>IFERROR(__xludf.DUMMYFUNCTION("""COMPUTED_VALUE"""),1.4382)</f>
        <v>1.4382</v>
      </c>
    </row>
    <row r="34">
      <c r="A34" s="31" t="str">
        <f>IFERROR(__xludf.DUMMYFUNCTION("""COMPUTED_VALUE"""),"Metsä Board Sverige AB, Husums fabr")</f>
        <v>Metsä Board Sverige AB, Husums fabr</v>
      </c>
      <c r="B34" s="31">
        <f>IFERROR(__xludf.DUMMYFUNCTION("""COMPUTED_VALUE"""),63.3235)</f>
        <v>63.3235</v>
      </c>
      <c r="C34" s="31">
        <f>IFERROR(__xludf.DUMMYFUNCTION("""COMPUTED_VALUE"""),19.16166)</f>
        <v>19.16166</v>
      </c>
      <c r="D34" s="31" t="str">
        <f>IFERROR(__xludf.DUMMYFUNCTION("""COMPUTED_VALUE"""),"Paper, pulp and primary wood products")</f>
        <v>Paper, pulp and primary wood products</v>
      </c>
      <c r="E34" s="31">
        <f>IFERROR(__xludf.DUMMYFUNCTION("""COMPUTED_VALUE"""),1.4184)</f>
        <v>1.4184</v>
      </c>
    </row>
    <row r="35">
      <c r="A35" s="31" t="str">
        <f>IFERROR(__xludf.DUMMYFUNCTION("""COMPUTED_VALUE"""),"NAVIGATOR Setúbal (CI)")</f>
        <v>NAVIGATOR Setúbal (CI)</v>
      </c>
      <c r="B35" s="31">
        <f>IFERROR(__xludf.DUMMYFUNCTION("""COMPUTED_VALUE"""),38.493319)</f>
        <v>38.493319</v>
      </c>
      <c r="C35" s="31">
        <f>IFERROR(__xludf.DUMMYFUNCTION("""COMPUTED_VALUE"""),-8.80816)</f>
        <v>-8.80816</v>
      </c>
      <c r="D35" s="31" t="str">
        <f>IFERROR(__xludf.DUMMYFUNCTION("""COMPUTED_VALUE"""),"Paper, pulp and primary wood products")</f>
        <v>Paper, pulp and primary wood products</v>
      </c>
      <c r="E35" s="31">
        <f>IFERROR(__xludf.DUMMYFUNCTION("""COMPUTED_VALUE"""),1.377084795)</f>
        <v>1.377084795</v>
      </c>
    </row>
    <row r="36">
      <c r="A36" s="31" t="str">
        <f>IFERROR(__xludf.DUMMYFUNCTION("""COMPUTED_VALUE"""),"Stora Enso Oyj, Uimaharjun tehdas, Enocellin tehdas ")</f>
        <v>Stora Enso Oyj, Uimaharjun tehdas, Enocellin tehdas </v>
      </c>
      <c r="B36" s="31">
        <f>IFERROR(__xludf.DUMMYFUNCTION("""COMPUTED_VALUE"""),62.92722)</f>
        <v>62.92722</v>
      </c>
      <c r="C36" s="31">
        <f>IFERROR(__xludf.DUMMYFUNCTION("""COMPUTED_VALUE"""),30.22521)</f>
        <v>30.22521</v>
      </c>
      <c r="D36" s="31" t="str">
        <f>IFERROR(__xludf.DUMMYFUNCTION("""COMPUTED_VALUE"""),"Paper, pulp and primary wood products")</f>
        <v>Paper, pulp and primary wood products</v>
      </c>
      <c r="E36" s="31">
        <f>IFERROR(__xludf.DUMMYFUNCTION("""COMPUTED_VALUE"""),1.3118)</f>
        <v>1.3118</v>
      </c>
    </row>
    <row r="37">
      <c r="A37" s="31" t="str">
        <f>IFERROR(__xludf.DUMMYFUNCTION("""COMPUTED_VALUE"""),"Metsä Fibre Oy, Joutsenon tehdas")</f>
        <v>Metsä Fibre Oy, Joutsenon tehdas</v>
      </c>
      <c r="B37" s="31">
        <f>IFERROR(__xludf.DUMMYFUNCTION("""COMPUTED_VALUE"""),61.13091)</f>
        <v>61.13091</v>
      </c>
      <c r="C37" s="31">
        <f>IFERROR(__xludf.DUMMYFUNCTION("""COMPUTED_VALUE"""),28.45687)</f>
        <v>28.45687</v>
      </c>
      <c r="D37" s="31" t="str">
        <f>IFERROR(__xludf.DUMMYFUNCTION("""COMPUTED_VALUE"""),"Paper, pulp and primary wood products")</f>
        <v>Paper, pulp and primary wood products</v>
      </c>
      <c r="E37" s="31">
        <f>IFERROR(__xludf.DUMMYFUNCTION("""COMPUTED_VALUE"""),1.3115)</f>
        <v>1.3115</v>
      </c>
    </row>
    <row r="38">
      <c r="A38" s="31" t="str">
        <f>IFERROR(__xludf.DUMMYFUNCTION("""COMPUTED_VALUE"""),"Metsä Fibre Oy, Rauman tehdas")</f>
        <v>Metsä Fibre Oy, Rauman tehdas</v>
      </c>
      <c r="B38" s="31">
        <f>IFERROR(__xludf.DUMMYFUNCTION("""COMPUTED_VALUE"""),61.1107)</f>
        <v>61.1107</v>
      </c>
      <c r="C38" s="31">
        <f>IFERROR(__xludf.DUMMYFUNCTION("""COMPUTED_VALUE"""),21.46621)</f>
        <v>21.46621</v>
      </c>
      <c r="D38" s="31" t="str">
        <f>IFERROR(__xludf.DUMMYFUNCTION("""COMPUTED_VALUE"""),"Paper, pulp and primary wood products")</f>
        <v>Paper, pulp and primary wood products</v>
      </c>
      <c r="E38" s="31">
        <f>IFERROR(__xludf.DUMMYFUNCTION("""COMPUTED_VALUE"""),1.3045)</f>
        <v>1.3045</v>
      </c>
    </row>
    <row r="39">
      <c r="A39" s="31" t="str">
        <f>IFERROR(__xludf.DUMMYFUNCTION("""COMPUTED_VALUE"""),"CEASA ENCE- FÁBRICA DE NAVIA")</f>
        <v>CEASA ENCE- FÁBRICA DE NAVIA</v>
      </c>
      <c r="B39" s="31">
        <f>IFERROR(__xludf.DUMMYFUNCTION("""COMPUTED_VALUE"""),43.54111)</f>
        <v>43.54111</v>
      </c>
      <c r="C39" s="31">
        <f>IFERROR(__xludf.DUMMYFUNCTION("""COMPUTED_VALUE"""),-6.72114)</f>
        <v>-6.72114</v>
      </c>
      <c r="D39" s="31" t="str">
        <f>IFERROR(__xludf.DUMMYFUNCTION("""COMPUTED_VALUE"""),"Paper, pulp and primary wood products")</f>
        <v>Paper, pulp and primary wood products</v>
      </c>
      <c r="E39" s="31">
        <f>IFERROR(__xludf.DUMMYFUNCTION("""COMPUTED_VALUE"""),1.283405558)</f>
        <v>1.283405558</v>
      </c>
    </row>
    <row r="40">
      <c r="A40" s="31" t="str">
        <f>IFERROR(__xludf.DUMMYFUNCTION("""COMPUTED_VALUE"""),"Skutskärs Bruk")</f>
        <v>Skutskärs Bruk</v>
      </c>
      <c r="B40" s="31">
        <f>IFERROR(__xludf.DUMMYFUNCTION("""COMPUTED_VALUE"""),60.64365)</f>
        <v>60.64365</v>
      </c>
      <c r="C40" s="31">
        <f>IFERROR(__xludf.DUMMYFUNCTION("""COMPUTED_VALUE"""),17.38983)</f>
        <v>17.38983</v>
      </c>
      <c r="D40" s="31" t="str">
        <f>IFERROR(__xludf.DUMMYFUNCTION("""COMPUTED_VALUE"""),"Paper, pulp and primary wood products")</f>
        <v>Paper, pulp and primary wood products</v>
      </c>
      <c r="E40" s="31">
        <f>IFERROR(__xludf.DUMMYFUNCTION("""COMPUTED_VALUE"""),1.279858)</f>
        <v>1.279858</v>
      </c>
    </row>
    <row r="41">
      <c r="A41" s="31" t="str">
        <f>IFERROR(__xludf.DUMMYFUNCTION("""COMPUTED_VALUE"""),"Korsnäsverket")</f>
        <v>Korsnäsverket</v>
      </c>
      <c r="B41" s="31">
        <f>IFERROR(__xludf.DUMMYFUNCTION("""COMPUTED_VALUE"""),60.6811)</f>
        <v>60.6811</v>
      </c>
      <c r="C41" s="31">
        <f>IFERROR(__xludf.DUMMYFUNCTION("""COMPUTED_VALUE"""),17.26746)</f>
        <v>17.26746</v>
      </c>
      <c r="D41" s="31" t="str">
        <f>IFERROR(__xludf.DUMMYFUNCTION("""COMPUTED_VALUE"""),"Paper, pulp and primary wood products")</f>
        <v>Paper, pulp and primary wood products</v>
      </c>
      <c r="E41" s="31">
        <f>IFERROR(__xludf.DUMMYFUNCTION("""COMPUTED_VALUE"""),1.1838)</f>
        <v>1.1838</v>
      </c>
    </row>
    <row r="42">
      <c r="A42" s="31" t="str">
        <f>IFERROR(__xludf.DUMMYFUNCTION("""COMPUTED_VALUE"""),"Smurfit Kappa Kraftliner Piteå")</f>
        <v>Smurfit Kappa Kraftliner Piteå</v>
      </c>
      <c r="B42" s="31">
        <f>IFERROR(__xludf.DUMMYFUNCTION("""COMPUTED_VALUE"""),65.31475)</f>
        <v>65.31475</v>
      </c>
      <c r="C42" s="31">
        <f>IFERROR(__xludf.DUMMYFUNCTION("""COMPUTED_VALUE"""),21.44037)</f>
        <v>21.44037</v>
      </c>
      <c r="D42" s="31" t="str">
        <f>IFERROR(__xludf.DUMMYFUNCTION("""COMPUTED_VALUE"""),"Paper, pulp and primary wood products")</f>
        <v>Paper, pulp and primary wood products</v>
      </c>
      <c r="E42" s="31">
        <f>IFERROR(__xludf.DUMMYFUNCTION("""COMPUTED_VALUE"""),1.1797)</f>
        <v>1.1797</v>
      </c>
    </row>
    <row r="43">
      <c r="A43" s="31" t="str">
        <f>IFERROR(__xludf.DUMMYFUNCTION("""COMPUTED_VALUE"""),"STORA ENSO OULU OY, Oulun tehdas, Oulu")</f>
        <v>STORA ENSO OULU OY, Oulun tehdas, Oulu</v>
      </c>
      <c r="B43" s="31">
        <f>IFERROR(__xludf.DUMMYFUNCTION("""COMPUTED_VALUE"""),65.00547)</f>
        <v>65.00547</v>
      </c>
      <c r="C43" s="31">
        <f>IFERROR(__xludf.DUMMYFUNCTION("""COMPUTED_VALUE"""),25.43152)</f>
        <v>25.43152</v>
      </c>
      <c r="D43" s="31" t="str">
        <f>IFERROR(__xludf.DUMMYFUNCTION("""COMPUTED_VALUE"""),"Paper, pulp and primary wood products")</f>
        <v>Paper, pulp and primary wood products</v>
      </c>
      <c r="E43" s="31">
        <f>IFERROR(__xludf.DUMMYFUNCTION("""COMPUTED_VALUE"""),1.173)</f>
        <v>1.173</v>
      </c>
    </row>
    <row r="44">
      <c r="A44" s="31" t="str">
        <f>IFERROR(__xludf.DUMMYFUNCTION("""COMPUTED_VALUE"""),"Södra Cell Mörrum")</f>
        <v>Södra Cell Mörrum</v>
      </c>
      <c r="B44" s="31">
        <f>IFERROR(__xludf.DUMMYFUNCTION("""COMPUTED_VALUE"""),56.16098)</f>
        <v>56.16098</v>
      </c>
      <c r="C44" s="31">
        <f>IFERROR(__xludf.DUMMYFUNCTION("""COMPUTED_VALUE"""),14.76467)</f>
        <v>14.76467</v>
      </c>
      <c r="D44" s="31" t="str">
        <f>IFERROR(__xludf.DUMMYFUNCTION("""COMPUTED_VALUE"""),"Paper, pulp and primary wood products")</f>
        <v>Paper, pulp and primary wood products</v>
      </c>
      <c r="E44" s="31">
        <f>IFERROR(__xludf.DUMMYFUNCTION("""COMPUTED_VALUE"""),1.1274)</f>
        <v>1.1274</v>
      </c>
    </row>
    <row r="45">
      <c r="A45" s="31" t="str">
        <f>IFERROR(__xludf.DUMMYFUNCTION("""COMPUTED_VALUE"""),"Zellstoff Pöls Aktiengesellschaft")</f>
        <v>Zellstoff Pöls Aktiengesellschaft</v>
      </c>
      <c r="B45" s="31">
        <f>IFERROR(__xludf.DUMMYFUNCTION("""COMPUTED_VALUE"""),47.2175)</f>
        <v>47.2175</v>
      </c>
      <c r="C45" s="31">
        <f>IFERROR(__xludf.DUMMYFUNCTION("""COMPUTED_VALUE"""),14.590389)</f>
        <v>14.590389</v>
      </c>
      <c r="D45" s="31" t="str">
        <f>IFERROR(__xludf.DUMMYFUNCTION("""COMPUTED_VALUE"""),"Paper, pulp and primary wood products")</f>
        <v>Paper, pulp and primary wood products</v>
      </c>
      <c r="E45" s="31">
        <f>IFERROR(__xludf.DUMMYFUNCTION("""COMPUTED_VALUE"""),1.067943311)</f>
        <v>1.067943311</v>
      </c>
    </row>
    <row r="46">
      <c r="A46" s="31" t="str">
        <f>IFERROR(__xludf.DUMMYFUNCTION("""COMPUTED_VALUE"""),"UPM-Kymmene Oyj, Kymi")</f>
        <v>UPM-Kymmene Oyj, Kymi</v>
      </c>
      <c r="B46" s="31">
        <f>IFERROR(__xludf.DUMMYFUNCTION("""COMPUTED_VALUE"""),60.91123)</f>
        <v>60.91123</v>
      </c>
      <c r="C46" s="31">
        <f>IFERROR(__xludf.DUMMYFUNCTION("""COMPUTED_VALUE"""),26.66421)</f>
        <v>26.66421</v>
      </c>
      <c r="D46" s="31" t="str">
        <f>IFERROR(__xludf.DUMMYFUNCTION("""COMPUTED_VALUE"""),"Paper, pulp and primary wood products")</f>
        <v>Paper, pulp and primary wood products</v>
      </c>
      <c r="E46" s="31">
        <f>IFERROR(__xludf.DUMMYFUNCTION("""COMPUTED_VALUE"""),1.052)</f>
        <v>1.052</v>
      </c>
    </row>
    <row r="47">
      <c r="A47" s="31" t="str">
        <f>IFERROR(__xludf.DUMMYFUNCTION("""COMPUTED_VALUE"""),"BURGO ARDENNES")</f>
        <v>BURGO ARDENNES</v>
      </c>
      <c r="B47" s="31">
        <f>IFERROR(__xludf.DUMMYFUNCTION("""COMPUTED_VALUE"""),49.549896)</f>
        <v>49.549896</v>
      </c>
      <c r="C47" s="31">
        <f>IFERROR(__xludf.DUMMYFUNCTION("""COMPUTED_VALUE"""),5.5042443)</f>
        <v>5.5042443</v>
      </c>
      <c r="D47" s="31" t="str">
        <f>IFERROR(__xludf.DUMMYFUNCTION("""COMPUTED_VALUE"""),"Paper, pulp and primary wood products")</f>
        <v>Paper, pulp and primary wood products</v>
      </c>
      <c r="E47" s="31">
        <f>IFERROR(__xludf.DUMMYFUNCTION("""COMPUTED_VALUE"""),1.002367844)</f>
        <v>1.002367844</v>
      </c>
    </row>
    <row r="48">
      <c r="A48" s="31" t="str">
        <f>IFERROR(__xludf.DUMMYFUNCTION("""COMPUTED_VALUE"""),"Skoghalls Bruk")</f>
        <v>Skoghalls Bruk</v>
      </c>
      <c r="B48" s="31">
        <f>IFERROR(__xludf.DUMMYFUNCTION("""COMPUTED_VALUE"""),59.31854)</f>
        <v>59.31854</v>
      </c>
      <c r="C48" s="31">
        <f>IFERROR(__xludf.DUMMYFUNCTION("""COMPUTED_VALUE"""),13.43828)</f>
        <v>13.43828</v>
      </c>
      <c r="D48" s="31" t="str">
        <f>IFERROR(__xludf.DUMMYFUNCTION("""COMPUTED_VALUE"""),"Paper, pulp and primary wood products")</f>
        <v>Paper, pulp and primary wood products</v>
      </c>
      <c r="E48" s="31">
        <f>IFERROR(__xludf.DUMMYFUNCTION("""COMPUTED_VALUE"""),0.9963)</f>
        <v>0.9963</v>
      </c>
    </row>
    <row r="49">
      <c r="A49" s="31" t="str">
        <f>IFERROR(__xludf.DUMMYFUNCTION("""COMPUTED_VALUE"""),"Celulose Beira Industrial (Celbi), S.A. (CI)")</f>
        <v>Celulose Beira Industrial (Celbi), S.A. (CI)</v>
      </c>
      <c r="B49" s="31">
        <f>IFERROR(__xludf.DUMMYFUNCTION("""COMPUTED_VALUE"""),40.053571)</f>
        <v>40.053571</v>
      </c>
      <c r="C49" s="31">
        <f>IFERROR(__xludf.DUMMYFUNCTION("""COMPUTED_VALUE"""),-8.873595)</f>
        <v>-8.873595</v>
      </c>
      <c r="D49" s="31" t="str">
        <f>IFERROR(__xludf.DUMMYFUNCTION("""COMPUTED_VALUE"""),"Paper, pulp and primary wood products")</f>
        <v>Paper, pulp and primary wood products</v>
      </c>
      <c r="E49" s="31">
        <f>IFERROR(__xludf.DUMMYFUNCTION("""COMPUTED_VALUE"""),0.99299992)</f>
        <v>0.99299992</v>
      </c>
    </row>
    <row r="50">
      <c r="A50" s="31" t="str">
        <f>IFERROR(__xludf.DUMMYFUNCTION("""COMPUTED_VALUE"""),"UPM-Kymmene Oyj, Kaukaan tehtaat")</f>
        <v>UPM-Kymmene Oyj, Kaukaan tehtaat</v>
      </c>
      <c r="B50" s="31">
        <f>IFERROR(__xludf.DUMMYFUNCTION("""COMPUTED_VALUE"""),61.06625)</f>
        <v>61.06625</v>
      </c>
      <c r="C50" s="31">
        <f>IFERROR(__xludf.DUMMYFUNCTION("""COMPUTED_VALUE"""),28.24899)</f>
        <v>28.24899</v>
      </c>
      <c r="D50" s="31" t="str">
        <f>IFERROR(__xludf.DUMMYFUNCTION("""COMPUTED_VALUE"""),"Paper, pulp and primary wood products")</f>
        <v>Paper, pulp and primary wood products</v>
      </c>
      <c r="E50" s="31">
        <f>IFERROR(__xludf.DUMMYFUNCTION("""COMPUTED_VALUE"""),0.9832)</f>
        <v>0.9832</v>
      </c>
    </row>
    <row r="51">
      <c r="A51" s="31" t="str">
        <f>IFERROR(__xludf.DUMMYFUNCTION("""COMPUTED_VALUE"""),"Iggesunds Bruk")</f>
        <v>Iggesunds Bruk</v>
      </c>
      <c r="B51" s="31">
        <f>IFERROR(__xludf.DUMMYFUNCTION("""COMPUTED_VALUE"""),61.63863)</f>
        <v>61.63863</v>
      </c>
      <c r="C51" s="31">
        <f>IFERROR(__xludf.DUMMYFUNCTION("""COMPUTED_VALUE"""),17.09807)</f>
        <v>17.09807</v>
      </c>
      <c r="D51" s="31" t="str">
        <f>IFERROR(__xludf.DUMMYFUNCTION("""COMPUTED_VALUE"""),"Paper, pulp and primary wood products")</f>
        <v>Paper, pulp and primary wood products</v>
      </c>
      <c r="E51" s="31">
        <f>IFERROR(__xludf.DUMMYFUNCTION("""COMPUTED_VALUE"""),0.974)</f>
        <v>0.974</v>
      </c>
    </row>
    <row r="52">
      <c r="A52" s="31" t="str">
        <f>IFERROR(__xludf.DUMMYFUNCTION("""COMPUTED_VALUE"""),"Billerud Sweden AB Skärblacka Bruk")</f>
        <v>Billerud Sweden AB Skärblacka Bruk</v>
      </c>
      <c r="B52" s="31">
        <f>IFERROR(__xludf.DUMMYFUNCTION("""COMPUTED_VALUE"""),58.57869)</f>
        <v>58.57869</v>
      </c>
      <c r="C52" s="31">
        <f>IFERROR(__xludf.DUMMYFUNCTION("""COMPUTED_VALUE"""),15.90144)</f>
        <v>15.90144</v>
      </c>
      <c r="D52" s="31" t="str">
        <f>IFERROR(__xludf.DUMMYFUNCTION("""COMPUTED_VALUE"""),"Paper, pulp and primary wood products")</f>
        <v>Paper, pulp and primary wood products</v>
      </c>
      <c r="E52" s="31">
        <f>IFERROR(__xludf.DUMMYFUNCTION("""COMPUTED_VALUE"""),0.8)</f>
        <v>0.8</v>
      </c>
    </row>
    <row r="53">
      <c r="A53" s="31" t="str">
        <f>IFERROR(__xludf.DUMMYFUNCTION("""COMPUTED_VALUE"""),"Billerud Karlsborgs bruk")</f>
        <v>Billerud Karlsborgs bruk</v>
      </c>
      <c r="B53" s="31">
        <f>IFERROR(__xludf.DUMMYFUNCTION("""COMPUTED_VALUE"""),65.79194)</f>
        <v>65.79194</v>
      </c>
      <c r="C53" s="31">
        <f>IFERROR(__xludf.DUMMYFUNCTION("""COMPUTED_VALUE"""),23.28767)</f>
        <v>23.28767</v>
      </c>
      <c r="D53" s="31" t="str">
        <f>IFERROR(__xludf.DUMMYFUNCTION("""COMPUTED_VALUE"""),"Paper, pulp and primary wood products")</f>
        <v>Paper, pulp and primary wood products</v>
      </c>
      <c r="E53" s="31">
        <f>IFERROR(__xludf.DUMMYFUNCTION("""COMPUTED_VALUE"""),0.7866)</f>
        <v>0.7866</v>
      </c>
    </row>
    <row r="54">
      <c r="A54" s="31" t="str">
        <f>IFERROR(__xludf.DUMMYFUNCTION("""COMPUTED_VALUE"""),"SMURFIT KAPPA CELLULOSE DU PIN")</f>
        <v>SMURFIT KAPPA CELLULOSE DU PIN</v>
      </c>
      <c r="B54" s="31">
        <f>IFERROR(__xludf.DUMMYFUNCTION("""COMPUTED_VALUE"""),44.6288)</f>
        <v>44.6288</v>
      </c>
      <c r="C54" s="31">
        <f>IFERROR(__xludf.DUMMYFUNCTION("""COMPUTED_VALUE"""),-0.97612)</f>
        <v>-0.97612</v>
      </c>
      <c r="D54" s="31" t="str">
        <f>IFERROR(__xludf.DUMMYFUNCTION("""COMPUTED_VALUE"""),"Paper, pulp and primary wood products")</f>
        <v>Paper, pulp and primary wood products</v>
      </c>
      <c r="E54" s="31">
        <f>IFERROR(__xludf.DUMMYFUNCTION("""COMPUTED_VALUE"""),0.779411258)</f>
        <v>0.779411258</v>
      </c>
    </row>
    <row r="55">
      <c r="A55" s="31" t="str">
        <f>IFERROR(__xludf.DUMMYFUNCTION("""COMPUTED_VALUE"""),"Navigator Pulp Cacia, S.A. (CI)")</f>
        <v>Navigator Pulp Cacia, S.A. (CI)</v>
      </c>
      <c r="B55" s="31">
        <f>IFERROR(__xludf.DUMMYFUNCTION("""COMPUTED_VALUE"""),40.6846)</f>
        <v>40.6846</v>
      </c>
      <c r="C55" s="31">
        <f>IFERROR(__xludf.DUMMYFUNCTION("""COMPUTED_VALUE"""),-8.587658)</f>
        <v>-8.587658</v>
      </c>
      <c r="D55" s="31" t="str">
        <f>IFERROR(__xludf.DUMMYFUNCTION("""COMPUTED_VALUE"""),"Paper, pulp and primary wood products")</f>
        <v>Paper, pulp and primary wood products</v>
      </c>
      <c r="E55" s="31">
        <f>IFERROR(__xludf.DUMMYFUNCTION("""COMPUTED_VALUE"""),0.743813148)</f>
        <v>0.743813148</v>
      </c>
    </row>
    <row r="56">
      <c r="A56" s="31" t="str">
        <f>IFERROR(__xludf.DUMMYFUNCTION("""COMPUTED_VALUE"""),"Stora Enso Oyj, Sunilan tehdas")</f>
        <v>Stora Enso Oyj, Sunilan tehdas</v>
      </c>
      <c r="B56" s="31">
        <f>IFERROR(__xludf.DUMMYFUNCTION("""COMPUTED_VALUE"""),60.49098)</f>
        <v>60.49098</v>
      </c>
      <c r="C56" s="31">
        <f>IFERROR(__xludf.DUMMYFUNCTION("""COMPUTED_VALUE"""),26.95161)</f>
        <v>26.95161</v>
      </c>
      <c r="D56" s="31" t="str">
        <f>IFERROR(__xludf.DUMMYFUNCTION("""COMPUTED_VALUE"""),"Paper, pulp and primary wood products")</f>
        <v>Paper, pulp and primary wood products</v>
      </c>
      <c r="E56" s="31">
        <f>IFERROR(__xludf.DUMMYFUNCTION("""COMPUTED_VALUE"""),0.7038)</f>
        <v>0.7038</v>
      </c>
    </row>
    <row r="57">
      <c r="A57" s="31" t="str">
        <f>IFERROR(__xludf.DUMMYFUNCTION("""COMPUTED_VALUE"""),"Billerud Skog &amp; Industri AB, Frövi")</f>
        <v>Billerud Skog &amp; Industri AB, Frövi</v>
      </c>
      <c r="B57" s="31">
        <f>IFERROR(__xludf.DUMMYFUNCTION("""COMPUTED_VALUE"""),59.47975)</f>
        <v>59.47975</v>
      </c>
      <c r="C57" s="31">
        <f>IFERROR(__xludf.DUMMYFUNCTION("""COMPUTED_VALUE"""),15.32691)</f>
        <v>15.32691</v>
      </c>
      <c r="D57" s="31" t="str">
        <f>IFERROR(__xludf.DUMMYFUNCTION("""COMPUTED_VALUE"""),"Paper, pulp and primary wood products")</f>
        <v>Paper, pulp and primary wood products</v>
      </c>
      <c r="E57" s="31">
        <f>IFERROR(__xludf.DUMMYFUNCTION("""COMPUTED_VALUE"""),0.6998)</f>
        <v>0.6998</v>
      </c>
    </row>
    <row r="58">
      <c r="A58" s="31" t="str">
        <f>IFERROR(__xludf.DUMMYFUNCTION("""COMPUTED_VALUE"""),"SCA Munksunds pappersbruk")</f>
        <v>SCA Munksunds pappersbruk</v>
      </c>
      <c r="B58" s="31">
        <f>IFERROR(__xludf.DUMMYFUNCTION("""COMPUTED_VALUE"""),65.27232)</f>
        <v>65.27232</v>
      </c>
      <c r="C58" s="31">
        <f>IFERROR(__xludf.DUMMYFUNCTION("""COMPUTED_VALUE"""),21.50386)</f>
        <v>21.50386</v>
      </c>
      <c r="D58" s="31" t="str">
        <f>IFERROR(__xludf.DUMMYFUNCTION("""COMPUTED_VALUE"""),"Paper, pulp and primary wood products")</f>
        <v>Paper, pulp and primary wood products</v>
      </c>
      <c r="E58" s="31">
        <f>IFERROR(__xludf.DUMMYFUNCTION("""COMPUTED_VALUE"""),0.643)</f>
        <v>0.643</v>
      </c>
    </row>
    <row r="59">
      <c r="A59" s="31" t="str">
        <f>IFERROR(__xludf.DUMMYFUNCTION("""COMPUTED_VALUE"""),"Stora Enso Oyj, Varkauden tehtaat")</f>
        <v>Stora Enso Oyj, Varkauden tehtaat</v>
      </c>
      <c r="B59" s="31">
        <f>IFERROR(__xludf.DUMMYFUNCTION("""COMPUTED_VALUE"""),62.3164)</f>
        <v>62.3164</v>
      </c>
      <c r="C59" s="31">
        <f>IFERROR(__xludf.DUMMYFUNCTION("""COMPUTED_VALUE"""),27.89859)</f>
        <v>27.89859</v>
      </c>
      <c r="D59" s="31" t="str">
        <f>IFERROR(__xludf.DUMMYFUNCTION("""COMPUTED_VALUE"""),"Paper, pulp and primary wood products")</f>
        <v>Paper, pulp and primary wood products</v>
      </c>
      <c r="E59" s="31">
        <f>IFERROR(__xludf.DUMMYFUNCTION("""COMPUTED_VALUE"""),0.6255)</f>
        <v>0.6255</v>
      </c>
    </row>
    <row r="60">
      <c r="A60" s="31" t="str">
        <f>IFERROR(__xludf.DUMMYFUNCTION("""COMPUTED_VALUE"""),"Mondi Dynäs AB")</f>
        <v>Mondi Dynäs AB</v>
      </c>
      <c r="B60" s="31">
        <f>IFERROR(__xludf.DUMMYFUNCTION("""COMPUTED_VALUE"""),62.97543)</f>
        <v>62.97543</v>
      </c>
      <c r="C60" s="31">
        <f>IFERROR(__xludf.DUMMYFUNCTION("""COMPUTED_VALUE"""),17.7151)</f>
        <v>17.7151</v>
      </c>
      <c r="D60" s="31" t="str">
        <f>IFERROR(__xludf.DUMMYFUNCTION("""COMPUTED_VALUE"""),"Paper, pulp and primary wood products")</f>
        <v>Paper, pulp and primary wood products</v>
      </c>
      <c r="E60" s="31">
        <f>IFERROR(__xludf.DUMMYFUNCTION("""COMPUTED_VALUE"""),0.6171)</f>
        <v>0.6171</v>
      </c>
    </row>
    <row r="61">
      <c r="A61" s="31" t="str">
        <f>IFERROR(__xludf.DUMMYFUNCTION("""COMPUTED_VALUE"""),"FIBRE EXCELLENCE SAINT-GAUDENS")</f>
        <v>FIBRE EXCELLENCE SAINT-GAUDENS</v>
      </c>
      <c r="B61" s="31">
        <f>IFERROR(__xludf.DUMMYFUNCTION("""COMPUTED_VALUE"""),43.09715)</f>
        <v>43.09715</v>
      </c>
      <c r="C61" s="31">
        <f>IFERROR(__xludf.DUMMYFUNCTION("""COMPUTED_VALUE"""),0.71934)</f>
        <v>0.71934</v>
      </c>
      <c r="D61" s="31" t="str">
        <f>IFERROR(__xludf.DUMMYFUNCTION("""COMPUTED_VALUE"""),"Paper, pulp and primary wood products")</f>
        <v>Paper, pulp and primary wood products</v>
      </c>
      <c r="E61" s="31">
        <f>IFERROR(__xludf.DUMMYFUNCTION("""COMPUTED_VALUE"""),0.612662215)</f>
        <v>0.612662215</v>
      </c>
    </row>
    <row r="62">
      <c r="A62" s="31" t="str">
        <f>IFERROR(__xludf.DUMMYFUNCTION("""COMPUTED_VALUE"""),"Vallviks Bruk")</f>
        <v>Vallviks Bruk</v>
      </c>
      <c r="B62" s="31">
        <f>IFERROR(__xludf.DUMMYFUNCTION("""COMPUTED_VALUE"""),61.18825)</f>
        <v>61.18825</v>
      </c>
      <c r="C62" s="31">
        <f>IFERROR(__xludf.DUMMYFUNCTION("""COMPUTED_VALUE"""),17.18282)</f>
        <v>17.18282</v>
      </c>
      <c r="D62" s="31" t="str">
        <f>IFERROR(__xludf.DUMMYFUNCTION("""COMPUTED_VALUE"""),"Paper, pulp and primary wood products")</f>
        <v>Paper, pulp and primary wood products</v>
      </c>
      <c r="E62" s="31">
        <f>IFERROR(__xludf.DUMMYFUNCTION("""COMPUTED_VALUE"""),0.55717)</f>
        <v>0.55717</v>
      </c>
    </row>
    <row r="63">
      <c r="A63" s="31" t="str">
        <f>IFERROR(__xludf.DUMMYFUNCTION("""COMPUTED_VALUE"""),"Navigator Figueira (CI)")</f>
        <v>Navigator Figueira (CI)</v>
      </c>
      <c r="B63" s="31">
        <f>IFERROR(__xludf.DUMMYFUNCTION("""COMPUTED_VALUE"""),40.058793)</f>
        <v>40.058793</v>
      </c>
      <c r="C63" s="31">
        <f>IFERROR(__xludf.DUMMYFUNCTION("""COMPUTED_VALUE"""),-8.856643)</f>
        <v>-8.856643</v>
      </c>
      <c r="D63" s="31" t="str">
        <f>IFERROR(__xludf.DUMMYFUNCTION("""COMPUTED_VALUE"""),"Paper, pulp and primary wood products")</f>
        <v>Paper, pulp and primary wood products</v>
      </c>
      <c r="E63" s="31">
        <f>IFERROR(__xludf.DUMMYFUNCTION("""COMPUTED_VALUE"""),0.553850944)</f>
        <v>0.553850944</v>
      </c>
    </row>
    <row r="64">
      <c r="A64" s="31" t="str">
        <f>IFERROR(__xludf.DUMMYFUNCTION("""COMPUTED_VALUE"""),"Europaec (CI)")</f>
        <v>Europaec (CI)</v>
      </c>
      <c r="B64" s="31">
        <f>IFERROR(__xludf.DUMMYFUNCTION("""COMPUTED_VALUE"""),41.703661)</f>
        <v>41.703661</v>
      </c>
      <c r="C64" s="31">
        <f>IFERROR(__xludf.DUMMYFUNCTION("""COMPUTED_VALUE"""),-8.712395)</f>
        <v>-8.712395</v>
      </c>
      <c r="D64" s="31" t="str">
        <f>IFERROR(__xludf.DUMMYFUNCTION("""COMPUTED_VALUE"""),"Paper, pulp and primary wood products")</f>
        <v>Paper, pulp and primary wood products</v>
      </c>
      <c r="E64" s="31">
        <f>IFERROR(__xludf.DUMMYFUNCTION("""COMPUTED_VALUE"""),0.547086749)</f>
        <v>0.547086749</v>
      </c>
    </row>
    <row r="65">
      <c r="A65" s="31" t="str">
        <f>IFERROR(__xludf.DUMMYFUNCTION("""COMPUTED_VALUE"""),"Bäckhammars Bruk")</f>
        <v>Bäckhammars Bruk</v>
      </c>
      <c r="B65" s="31">
        <f>IFERROR(__xludf.DUMMYFUNCTION("""COMPUTED_VALUE"""),59.16017)</f>
        <v>59.16017</v>
      </c>
      <c r="C65" s="31">
        <f>IFERROR(__xludf.DUMMYFUNCTION("""COMPUTED_VALUE"""),14.18116)</f>
        <v>14.18116</v>
      </c>
      <c r="D65" s="31" t="str">
        <f>IFERROR(__xludf.DUMMYFUNCTION("""COMPUTED_VALUE"""),"Paper, pulp and primary wood products")</f>
        <v>Paper, pulp and primary wood products</v>
      </c>
      <c r="E65" s="31">
        <f>IFERROR(__xludf.DUMMYFUNCTION("""COMPUTED_VALUE"""),0.52978)</f>
        <v>0.52978</v>
      </c>
    </row>
    <row r="66">
      <c r="A66" s="31" t="str">
        <f>IFERROR(__xludf.DUMMYFUNCTION("""COMPUTED_VALUE"""),"SCA Obbola AB")</f>
        <v>SCA Obbola AB</v>
      </c>
      <c r="B66" s="31">
        <f>IFERROR(__xludf.DUMMYFUNCTION("""COMPUTED_VALUE"""),63.70116)</f>
        <v>63.70116</v>
      </c>
      <c r="C66" s="31">
        <f>IFERROR(__xludf.DUMMYFUNCTION("""COMPUTED_VALUE"""),20.32111)</f>
        <v>20.32111</v>
      </c>
      <c r="D66" s="31" t="str">
        <f>IFERROR(__xludf.DUMMYFUNCTION("""COMPUTED_VALUE"""),"Paper, pulp and primary wood products")</f>
        <v>Paper, pulp and primary wood products</v>
      </c>
      <c r="E66" s="31">
        <f>IFERROR(__xludf.DUMMYFUNCTION("""COMPUTED_VALUE"""),0.5013)</f>
        <v>0.5013</v>
      </c>
    </row>
    <row r="67">
      <c r="A67" s="31" t="str">
        <f>IFERROR(__xludf.DUMMYFUNCTION("""COMPUTED_VALUE"""),"Runcorn Energy From Waste Facility")</f>
        <v>Runcorn Energy From Waste Facility</v>
      </c>
      <c r="B67" s="31">
        <f>IFERROR(__xludf.DUMMYFUNCTION("""COMPUTED_VALUE"""),53.329105)</f>
        <v>53.329105</v>
      </c>
      <c r="C67" s="31">
        <f>IFERROR(__xludf.DUMMYFUNCTION("""COMPUTED_VALUE"""),-2.754611)</f>
        <v>-2.754611</v>
      </c>
      <c r="D67" s="31" t="str">
        <f>IFERROR(__xludf.DUMMYFUNCTION("""COMPUTED_VALUE"""),"Waste management")</f>
        <v>Waste management</v>
      </c>
      <c r="E67" s="31">
        <f>IFERROR(__xludf.DUMMYFUNCTION("""COMPUTED_VALUE"""),0.477)</f>
        <v>0.477</v>
      </c>
    </row>
    <row r="68">
      <c r="A68" s="31" t="str">
        <f>IFERROR(__xludf.DUMMYFUNCTION("""COMPUTED_VALUE"""),"HÖGDALENVERKET")</f>
        <v>HÖGDALENVERKET</v>
      </c>
      <c r="B68" s="31">
        <f>IFERROR(__xludf.DUMMYFUNCTION("""COMPUTED_VALUE"""),59.25761)</f>
        <v>59.25761</v>
      </c>
      <c r="C68" s="31">
        <f>IFERROR(__xludf.DUMMYFUNCTION("""COMPUTED_VALUE"""),18.06066)</f>
        <v>18.06066</v>
      </c>
      <c r="D68" s="31" t="str">
        <f>IFERROR(__xludf.DUMMYFUNCTION("""COMPUTED_VALUE"""),"Waste management")</f>
        <v>Waste management</v>
      </c>
      <c r="E68" s="31">
        <f>IFERROR(__xludf.DUMMYFUNCTION("""COMPUTED_VALUE"""),0.47)</f>
        <v>0.47</v>
      </c>
    </row>
    <row r="69">
      <c r="A69" s="31" t="str">
        <f>IFERROR(__xludf.DUMMYFUNCTION("""COMPUTED_VALUE"""),"RAYONIER A.M. TARTAS")</f>
        <v>RAYONIER A.M. TARTAS</v>
      </c>
      <c r="B69" s="31">
        <f>IFERROR(__xludf.DUMMYFUNCTION("""COMPUTED_VALUE"""),43.8314)</f>
        <v>43.8314</v>
      </c>
      <c r="C69" s="31">
        <f>IFERROR(__xludf.DUMMYFUNCTION("""COMPUTED_VALUE"""),-0.82634)</f>
        <v>-0.82634</v>
      </c>
      <c r="D69" s="31" t="str">
        <f>IFERROR(__xludf.DUMMYFUNCTION("""COMPUTED_VALUE"""),"Paper, pulp and primary wood products")</f>
        <v>Paper, pulp and primary wood products</v>
      </c>
      <c r="E69" s="31">
        <f>IFERROR(__xludf.DUMMYFUNCTION("""COMPUTED_VALUE"""),0.458091473)</f>
        <v>0.458091473</v>
      </c>
    </row>
    <row r="70">
      <c r="A70" s="31" t="str">
        <f>IFERROR(__xludf.DUMMYFUNCTION("""COMPUTED_VALUE"""),"Domsjö Fabriker AB")</f>
        <v>Domsjö Fabriker AB</v>
      </c>
      <c r="B70" s="31">
        <f>IFERROR(__xludf.DUMMYFUNCTION("""COMPUTED_VALUE"""),63.26929)</f>
        <v>63.26929</v>
      </c>
      <c r="C70" s="31">
        <f>IFERROR(__xludf.DUMMYFUNCTION("""COMPUTED_VALUE"""),18.69583)</f>
        <v>18.69583</v>
      </c>
      <c r="D70" s="31" t="str">
        <f>IFERROR(__xludf.DUMMYFUNCTION("""COMPUTED_VALUE"""),"Paper, pulp and primary wood products")</f>
        <v>Paper, pulp and primary wood products</v>
      </c>
      <c r="E70" s="31">
        <f>IFERROR(__xludf.DUMMYFUNCTION("""COMPUTED_VALUE"""),0.43047)</f>
        <v>0.43047</v>
      </c>
    </row>
    <row r="71">
      <c r="A71" s="31" t="str">
        <f>IFERROR(__xludf.DUMMYFUNCTION("""COMPUTED_VALUE"""),"FIBRE EXCELLENCE PROVENCE")</f>
        <v>FIBRE EXCELLENCE PROVENCE</v>
      </c>
      <c r="B71" s="31">
        <f>IFERROR(__xludf.DUMMYFUNCTION("""COMPUTED_VALUE"""),43.7932)</f>
        <v>43.7932</v>
      </c>
      <c r="C71" s="31">
        <f>IFERROR(__xludf.DUMMYFUNCTION("""COMPUTED_VALUE"""),4.66201)</f>
        <v>4.66201</v>
      </c>
      <c r="D71" s="31" t="str">
        <f>IFERROR(__xludf.DUMMYFUNCTION("""COMPUTED_VALUE"""),"Paper, pulp and primary wood products")</f>
        <v>Paper, pulp and primary wood products</v>
      </c>
      <c r="E71" s="31">
        <f>IFERROR(__xludf.DUMMYFUNCTION("""COMPUTED_VALUE"""),0.428114117)</f>
        <v>0.428114117</v>
      </c>
    </row>
    <row r="72">
      <c r="A72" s="31" t="str">
        <f>IFERROR(__xludf.DUMMYFUNCTION("""COMPUTED_VALUE"""),"Ahlstrom Aspa Bruk AB")</f>
        <v>Ahlstrom Aspa Bruk AB</v>
      </c>
      <c r="B72" s="31">
        <f>IFERROR(__xludf.DUMMYFUNCTION("""COMPUTED_VALUE"""),58.75529)</f>
        <v>58.75529</v>
      </c>
      <c r="C72" s="31">
        <f>IFERROR(__xludf.DUMMYFUNCTION("""COMPUTED_VALUE"""),14.80669)</f>
        <v>14.80669</v>
      </c>
      <c r="D72" s="31" t="str">
        <f>IFERROR(__xludf.DUMMYFUNCTION("""COMPUTED_VALUE"""),"Paper, pulp and primary wood products")</f>
        <v>Paper, pulp and primary wood products</v>
      </c>
      <c r="E72" s="31">
        <f>IFERROR(__xludf.DUMMYFUNCTION("""COMPUTED_VALUE"""),0.394)</f>
        <v>0.394</v>
      </c>
    </row>
    <row r="73">
      <c r="A73" s="31" t="str">
        <f>IFERROR(__xludf.DUMMYFUNCTION("""COMPUTED_VALUE"""),"Mondi Frantschach GmbH")</f>
        <v>Mondi Frantschach GmbH</v>
      </c>
      <c r="B73" s="31">
        <f>IFERROR(__xludf.DUMMYFUNCTION("""COMPUTED_VALUE"""),46.862222)</f>
        <v>46.862222</v>
      </c>
      <c r="C73" s="31">
        <f>IFERROR(__xludf.DUMMYFUNCTION("""COMPUTED_VALUE"""),14.86525)</f>
        <v>14.86525</v>
      </c>
      <c r="D73" s="31" t="str">
        <f>IFERROR(__xludf.DUMMYFUNCTION("""COMPUTED_VALUE"""),"Paper, pulp and primary wood products")</f>
        <v>Paper, pulp and primary wood products</v>
      </c>
      <c r="E73" s="31">
        <f>IFERROR(__xludf.DUMMYFUNCTION("""COMPUTED_VALUE"""),0.387262965)</f>
        <v>0.387262965</v>
      </c>
    </row>
    <row r="74">
      <c r="A74" s="31" t="str">
        <f>IFERROR(__xludf.DUMMYFUNCTION("""COMPUTED_VALUE"""),"AustroCel Hallein GmbH")</f>
        <v>AustroCel Hallein GmbH</v>
      </c>
      <c r="B74" s="31">
        <f>IFERROR(__xludf.DUMMYFUNCTION("""COMPUTED_VALUE"""),47.67575)</f>
        <v>47.67575</v>
      </c>
      <c r="C74" s="31">
        <f>IFERROR(__xludf.DUMMYFUNCTION("""COMPUTED_VALUE"""),13.108722)</f>
        <v>13.108722</v>
      </c>
      <c r="D74" s="31" t="str">
        <f>IFERROR(__xludf.DUMMYFUNCTION("""COMPUTED_VALUE"""),"Paper, pulp and primary wood products")</f>
        <v>Paper, pulp and primary wood products</v>
      </c>
      <c r="E74" s="31">
        <f>IFERROR(__xludf.DUMMYFUNCTION("""COMPUTED_VALUE"""),0.356917896)</f>
        <v>0.356917896</v>
      </c>
    </row>
    <row r="75">
      <c r="A75" s="31" t="str">
        <f>IFERROR(__xludf.DUMMYFUNCTION("""COMPUTED_VALUE"""),"SYLVAMO")</f>
        <v>SYLVAMO</v>
      </c>
      <c r="B75" s="31">
        <f>IFERROR(__xludf.DUMMYFUNCTION("""COMPUTED_VALUE"""),45.87558)</f>
        <v>45.87558</v>
      </c>
      <c r="C75" s="31">
        <f>IFERROR(__xludf.DUMMYFUNCTION("""COMPUTED_VALUE"""),0.81611)</f>
        <v>0.81611</v>
      </c>
      <c r="D75" s="31" t="str">
        <f>IFERROR(__xludf.DUMMYFUNCTION("""COMPUTED_VALUE"""),"Paper, pulp and primary wood products")</f>
        <v>Paper, pulp and primary wood products</v>
      </c>
      <c r="E75" s="31">
        <f>IFERROR(__xludf.DUMMYFUNCTION("""COMPUTED_VALUE"""),0.355243457)</f>
        <v>0.355243457</v>
      </c>
    </row>
    <row r="76">
      <c r="A76" s="31" t="str">
        <f>IFERROR(__xludf.DUMMYFUNCTION("""COMPUTED_VALUE"""),"Händelöverket")</f>
        <v>Händelöverket</v>
      </c>
      <c r="B76" s="31">
        <f>IFERROR(__xludf.DUMMYFUNCTION("""COMPUTED_VALUE"""),58.61956)</f>
        <v>58.61956</v>
      </c>
      <c r="C76" s="31">
        <f>IFERROR(__xludf.DUMMYFUNCTION("""COMPUTED_VALUE"""),16.23333)</f>
        <v>16.23333</v>
      </c>
      <c r="D76" s="31" t="str">
        <f>IFERROR(__xludf.DUMMYFUNCTION("""COMPUTED_VALUE"""),"Waste management")</f>
        <v>Waste management</v>
      </c>
      <c r="E76" s="31">
        <f>IFERROR(__xludf.DUMMYFUNCTION("""COMPUTED_VALUE"""),0.355)</f>
        <v>0.355</v>
      </c>
    </row>
    <row r="77">
      <c r="A77" s="31" t="str">
        <f>IFERROR(__xludf.DUMMYFUNCTION("""COMPUTED_VALUE"""),"TRM - TERMOVALORIZZATORE DEL GERBIDO")</f>
        <v>TRM - TERMOVALORIZZATORE DEL GERBIDO</v>
      </c>
      <c r="B77" s="31">
        <f>IFERROR(__xludf.DUMMYFUNCTION("""COMPUTED_VALUE"""),45.0381)</f>
        <v>45.0381</v>
      </c>
      <c r="C77" s="31">
        <f>IFERROR(__xludf.DUMMYFUNCTION("""COMPUTED_VALUE"""),7.5856)</f>
        <v>7.5856</v>
      </c>
      <c r="D77" s="31" t="str">
        <f>IFERROR(__xludf.DUMMYFUNCTION("""COMPUTED_VALUE"""),"Waste management")</f>
        <v>Waste management</v>
      </c>
      <c r="E77" s="31">
        <f>IFERROR(__xludf.DUMMYFUNCTION("""COMPUTED_VALUE"""),0.35259138)</f>
        <v>0.35259138</v>
      </c>
    </row>
    <row r="78">
      <c r="A78" s="31" t="str">
        <f>IFERROR(__xludf.DUMMYFUNCTION("""COMPUTED_VALUE"""),"Gärstadverket")</f>
        <v>Gärstadverket</v>
      </c>
      <c r="B78" s="31">
        <f>IFERROR(__xludf.DUMMYFUNCTION("""COMPUTED_VALUE"""),58.43668)</f>
        <v>58.43668</v>
      </c>
      <c r="C78" s="31">
        <f>IFERROR(__xludf.DUMMYFUNCTION("""COMPUTED_VALUE"""),15.65453)</f>
        <v>15.65453</v>
      </c>
      <c r="D78" s="31" t="str">
        <f>IFERROR(__xludf.DUMMYFUNCTION("""COMPUTED_VALUE"""),"Waste management")</f>
        <v>Waste management</v>
      </c>
      <c r="E78" s="31">
        <f>IFERROR(__xludf.DUMMYFUNCTION("""COMPUTED_VALUE"""),0.321)</f>
        <v>0.321</v>
      </c>
    </row>
    <row r="79">
      <c r="A79" s="31" t="str">
        <f>IFERROR(__xludf.DUMMYFUNCTION("""COMPUTED_VALUE"""),"Sävenäs")</f>
        <v>Sävenäs</v>
      </c>
      <c r="B79" s="31">
        <f>IFERROR(__xludf.DUMMYFUNCTION("""COMPUTED_VALUE"""),57.73201)</f>
        <v>57.73201</v>
      </c>
      <c r="C79" s="31">
        <f>IFERROR(__xludf.DUMMYFUNCTION("""COMPUTED_VALUE"""),12.05243)</f>
        <v>12.05243</v>
      </c>
      <c r="D79" s="31" t="str">
        <f>IFERROR(__xludf.DUMMYFUNCTION("""COMPUTED_VALUE"""),"Waste management")</f>
        <v>Waste management</v>
      </c>
      <c r="E79" s="31">
        <f>IFERROR(__xludf.DUMMYFUNCTION("""COMPUTED_VALUE"""),0.321)</f>
        <v>0.321</v>
      </c>
    </row>
    <row r="80">
      <c r="A80" s="31" t="str">
        <f>IFERROR(__xludf.DUMMYFUNCTION("""COMPUTED_VALUE"""),"IVRY PARIS 13")</f>
        <v>IVRY PARIS 13</v>
      </c>
      <c r="B80" s="31">
        <f>IFERROR(__xludf.DUMMYFUNCTION("""COMPUTED_VALUE"""),48.82345)</f>
        <v>48.82345</v>
      </c>
      <c r="C80" s="31">
        <f>IFERROR(__xludf.DUMMYFUNCTION("""COMPUTED_VALUE"""),2.38593)</f>
        <v>2.38593</v>
      </c>
      <c r="D80" s="31" t="str">
        <f>IFERROR(__xludf.DUMMYFUNCTION("""COMPUTED_VALUE"""),"Waste management")</f>
        <v>Waste management</v>
      </c>
      <c r="E80" s="31">
        <f>IFERROR(__xludf.DUMMYFUNCTION("""COMPUTED_VALUE"""),0.31845)</f>
        <v>0.31845</v>
      </c>
    </row>
    <row r="81">
      <c r="A81" s="31" t="str">
        <f>IFERROR(__xludf.DUMMYFUNCTION("""COMPUTED_VALUE"""),"RWE Generation SE MHKW  Karnap")</f>
        <v>RWE Generation SE MHKW  Karnap</v>
      </c>
      <c r="B81" s="31">
        <f>IFERROR(__xludf.DUMMYFUNCTION("""COMPUTED_VALUE"""),51.5154305113767)</f>
        <v>51.51543051</v>
      </c>
      <c r="C81" s="31">
        <f>IFERROR(__xludf.DUMMYFUNCTION("""COMPUTED_VALUE"""),7.00026324822555)</f>
        <v>7.000263248</v>
      </c>
      <c r="D81" s="31" t="str">
        <f>IFERROR(__xludf.DUMMYFUNCTION("""COMPUTED_VALUE"""),"Waste management")</f>
        <v>Waste management</v>
      </c>
      <c r="E81" s="31">
        <f>IFERROR(__xludf.DUMMYFUNCTION("""COMPUTED_VALUE"""),0.312)</f>
        <v>0.312</v>
      </c>
    </row>
    <row r="82">
      <c r="A82" s="31" t="str">
        <f>IFERROR(__xludf.DUMMYFUNCTION("""COMPUTED_VALUE"""),"Sysavs avfallsförbränningsanläggning")</f>
        <v>Sysavs avfallsförbränningsanläggning</v>
      </c>
      <c r="B82" s="31">
        <f>IFERROR(__xludf.DUMMYFUNCTION("""COMPUTED_VALUE"""),55.63196)</f>
        <v>55.63196</v>
      </c>
      <c r="C82" s="31">
        <f>IFERROR(__xludf.DUMMYFUNCTION("""COMPUTED_VALUE"""),13.04528)</f>
        <v>13.04528</v>
      </c>
      <c r="D82" s="31" t="str">
        <f>IFERROR(__xludf.DUMMYFUNCTION("""COMPUTED_VALUE"""),"Waste management")</f>
        <v>Waste management</v>
      </c>
      <c r="E82" s="31">
        <f>IFERROR(__xludf.DUMMYFUNCTION("""COMPUTED_VALUE"""),0.303)</f>
        <v>0.303</v>
      </c>
    </row>
    <row r="83">
      <c r="A83" s="31" t="str">
        <f>IFERROR(__xludf.DUMMYFUNCTION("""COMPUTED_VALUE"""),"swb Entsorgung GmbH &amp; Co. KG / MHKW Bremen")</f>
        <v>swb Entsorgung GmbH &amp; Co. KG / MHKW Bremen</v>
      </c>
      <c r="B83" s="31">
        <f>IFERROR(__xludf.DUMMYFUNCTION("""COMPUTED_VALUE"""),53.1146126302392)</f>
        <v>53.11461263</v>
      </c>
      <c r="C83" s="31">
        <f>IFERROR(__xludf.DUMMYFUNCTION("""COMPUTED_VALUE"""),8.817039523)</f>
        <v>8.817039523</v>
      </c>
      <c r="D83" s="31" t="str">
        <f>IFERROR(__xludf.DUMMYFUNCTION("""COMPUTED_VALUE"""),"Waste management")</f>
        <v>Waste management</v>
      </c>
      <c r="E83" s="31">
        <f>IFERROR(__xludf.DUMMYFUNCTION("""COMPUTED_VALUE"""),0.3)</f>
        <v>0.3</v>
      </c>
    </row>
    <row r="84">
      <c r="A84" s="31" t="str">
        <f>IFERROR(__xludf.DUMMYFUNCTION("""COMPUTED_VALUE"""),"Müllverwertung Borsigstraße GmbH, (MVB)")</f>
        <v>Müllverwertung Borsigstraße GmbH, (MVB)</v>
      </c>
      <c r="B84" s="31">
        <f>IFERROR(__xludf.DUMMYFUNCTION("""COMPUTED_VALUE"""),53.53143037)</f>
        <v>53.53143037</v>
      </c>
      <c r="C84" s="31">
        <f>IFERROR(__xludf.DUMMYFUNCTION("""COMPUTED_VALUE"""),10.0739970315481)</f>
        <v>10.07399703</v>
      </c>
      <c r="D84" s="31" t="str">
        <f>IFERROR(__xludf.DUMMYFUNCTION("""COMPUTED_VALUE"""),"Waste management")</f>
        <v>Waste management</v>
      </c>
      <c r="E84" s="31">
        <f>IFERROR(__xludf.DUMMYFUNCTION("""COMPUTED_VALUE"""),0.295)</f>
        <v>0.295</v>
      </c>
    </row>
    <row r="85">
      <c r="A85" s="31" t="str">
        <f>IFERROR(__xludf.DUMMYFUNCTION("""COMPUTED_VALUE"""),"SASU VERNEA")</f>
        <v>SASU VERNEA</v>
      </c>
      <c r="B85" s="31">
        <f>IFERROR(__xludf.DUMMYFUNCTION("""COMPUTED_VALUE"""),45.76569)</f>
        <v>45.76569</v>
      </c>
      <c r="C85" s="31">
        <f>IFERROR(__xludf.DUMMYFUNCTION("""COMPUTED_VALUE"""),3.15874)</f>
        <v>3.15874</v>
      </c>
      <c r="D85" s="31" t="str">
        <f>IFERROR(__xludf.DUMMYFUNCTION("""COMPUTED_VALUE"""),"Waste management")</f>
        <v>Waste management</v>
      </c>
      <c r="E85" s="31">
        <f>IFERROR(__xludf.DUMMYFUNCTION("""COMPUTED_VALUE"""),0.28655)</f>
        <v>0.28655</v>
      </c>
    </row>
    <row r="86">
      <c r="A86" s="31" t="str">
        <f>IFERROR(__xludf.DUMMYFUNCTION("""COMPUTED_VALUE"""),"ArcelorMittal Poland S.A. Oddział Dąbrowa Górnicza")</f>
        <v>ArcelorMittal Poland S.A. Oddział Dąbrowa Górnicza</v>
      </c>
      <c r="B86" s="31">
        <f>IFERROR(__xludf.DUMMYFUNCTION("""COMPUTED_VALUE"""),50.3461113)</f>
        <v>50.3461113</v>
      </c>
      <c r="C86" s="31">
        <f>IFERROR(__xludf.DUMMYFUNCTION("""COMPUTED_VALUE"""),19.28444481)</f>
        <v>19.28444481</v>
      </c>
      <c r="D86" s="31" t="str">
        <f>IFERROR(__xludf.DUMMYFUNCTION("""COMPUTED_VALUE"""),"Other")</f>
        <v>Other</v>
      </c>
      <c r="E86" s="31">
        <f>IFERROR(__xludf.DUMMYFUNCTION("""COMPUTED_VALUE"""),0.285389381)</f>
        <v>0.285389381</v>
      </c>
    </row>
    <row r="87">
      <c r="A87" s="31" t="str">
        <f>IFERROR(__xludf.DUMMYFUNCTION("""COMPUTED_VALUE"""),"Stora Enso Maxau GmbH")</f>
        <v>Stora Enso Maxau GmbH</v>
      </c>
      <c r="B87" s="31">
        <f>IFERROR(__xludf.DUMMYFUNCTION("""COMPUTED_VALUE"""),49.0425646011251)</f>
        <v>49.0425646</v>
      </c>
      <c r="C87" s="31">
        <f>IFERROR(__xludf.DUMMYFUNCTION("""COMPUTED_VALUE"""),8.31326879458985)</f>
        <v>8.313268795</v>
      </c>
      <c r="D87" s="31" t="str">
        <f>IFERROR(__xludf.DUMMYFUNCTION("""COMPUTED_VALUE"""),"Paper, pulp and primary wood products")</f>
        <v>Paper, pulp and primary wood products</v>
      </c>
      <c r="E87" s="31">
        <f>IFERROR(__xludf.DUMMYFUNCTION("""COMPUTED_VALUE"""),0.285)</f>
        <v>0.285</v>
      </c>
    </row>
    <row r="88">
      <c r="A88" s="31" t="str">
        <f>IFERROR(__xludf.DUMMYFUNCTION("""COMPUTED_VALUE"""),"Kraftvärmeverket Torsvik, KVVT1 (avfall) och KVVT2 (flis)")</f>
        <v>Kraftvärmeverket Torsvik, KVVT1 (avfall) och KVVT2 (flis)</v>
      </c>
      <c r="B88" s="31">
        <f>IFERROR(__xludf.DUMMYFUNCTION("""COMPUTED_VALUE"""),57.69603)</f>
        <v>57.69603</v>
      </c>
      <c r="C88" s="31">
        <f>IFERROR(__xludf.DUMMYFUNCTION("""COMPUTED_VALUE"""),14.15166)</f>
        <v>14.15166</v>
      </c>
      <c r="D88" s="31" t="str">
        <f>IFERROR(__xludf.DUMMYFUNCTION("""COMPUTED_VALUE"""),"Waste management")</f>
        <v>Waste management</v>
      </c>
      <c r="E88" s="31">
        <f>IFERROR(__xludf.DUMMYFUNCTION("""COMPUTED_VALUE"""),0.2843)</f>
        <v>0.2843</v>
      </c>
    </row>
    <row r="89">
      <c r="A89" s="31" t="str">
        <f>IFERROR(__xludf.DUMMYFUNCTION("""COMPUTED_VALUE"""),"Stora Enso Hylte Bruk AB")</f>
        <v>Stora Enso Hylte Bruk AB</v>
      </c>
      <c r="B89" s="31">
        <f>IFERROR(__xludf.DUMMYFUNCTION("""COMPUTED_VALUE"""),56.99926)</f>
        <v>56.99926</v>
      </c>
      <c r="C89" s="31">
        <f>IFERROR(__xludf.DUMMYFUNCTION("""COMPUTED_VALUE"""),13.23512)</f>
        <v>13.23512</v>
      </c>
      <c r="D89" s="31" t="str">
        <f>IFERROR(__xludf.DUMMYFUNCTION("""COMPUTED_VALUE"""),"Paper, pulp and primary wood products")</f>
        <v>Paper, pulp and primary wood products</v>
      </c>
      <c r="E89" s="31">
        <f>IFERROR(__xludf.DUMMYFUNCTION("""COMPUTED_VALUE"""),0.28257)</f>
        <v>0.28257</v>
      </c>
    </row>
    <row r="90">
      <c r="A90" s="31" t="str">
        <f>IFERROR(__xludf.DUMMYFUNCTION("""COMPUTED_VALUE"""),"BRUXELLES ENERGIE")</f>
        <v>BRUXELLES ENERGIE</v>
      </c>
      <c r="B90" s="31">
        <f>IFERROR(__xludf.DUMMYFUNCTION("""COMPUTED_VALUE"""),50.8831)</f>
        <v>50.8831</v>
      </c>
      <c r="C90" s="31">
        <f>IFERROR(__xludf.DUMMYFUNCTION("""COMPUTED_VALUE"""),4.38037)</f>
        <v>4.38037</v>
      </c>
      <c r="D90" s="31" t="str">
        <f>IFERROR(__xludf.DUMMYFUNCTION("""COMPUTED_VALUE"""),"Waste management")</f>
        <v>Waste management</v>
      </c>
      <c r="E90" s="31">
        <f>IFERROR(__xludf.DUMMYFUNCTION("""COMPUTED_VALUE"""),0.2772)</f>
        <v>0.2772</v>
      </c>
    </row>
    <row r="91">
      <c r="A91" s="31" t="str">
        <f>IFERROR(__xludf.DUMMYFUNCTION("""COMPUTED_VALUE"""),"TIRME,S.A. COMPLEJO DE TRATAMIENTO INTEGRAL DE RESIDUOS URBANOS DE SON REUS")</f>
        <v>TIRME,S.A. COMPLEJO DE TRATAMIENTO INTEGRAL DE RESIDUOS URBANOS DE SON REUS</v>
      </c>
      <c r="B91" s="31">
        <f>IFERROR(__xludf.DUMMYFUNCTION("""COMPUTED_VALUE"""),39.644351)</f>
        <v>39.644351</v>
      </c>
      <c r="C91" s="31">
        <f>IFERROR(__xludf.DUMMYFUNCTION("""COMPUTED_VALUE"""),2.681217)</f>
        <v>2.681217</v>
      </c>
      <c r="D91" s="31" t="str">
        <f>IFERROR(__xludf.DUMMYFUNCTION("""COMPUTED_VALUE"""),"Waste management")</f>
        <v>Waste management</v>
      </c>
      <c r="E91" s="31">
        <f>IFERROR(__xludf.DUMMYFUNCTION("""COMPUTED_VALUE"""),0.2728)</f>
        <v>0.2728</v>
      </c>
    </row>
    <row r="92">
      <c r="A92" s="31" t="str">
        <f>IFERROR(__xludf.DUMMYFUNCTION("""COMPUTED_VALUE"""),"CTRSU - Central de Tratamento de Resíduos Sólidos Urbanos (CI)")</f>
        <v>CTRSU - Central de Tratamento de Resíduos Sólidos Urbanos (CI)</v>
      </c>
      <c r="B92" s="31">
        <f>IFERROR(__xludf.DUMMYFUNCTION("""COMPUTED_VALUE"""),38.827578)</f>
        <v>38.827578</v>
      </c>
      <c r="C92" s="31">
        <f>IFERROR(__xludf.DUMMYFUNCTION("""COMPUTED_VALUE"""),-9.082436)</f>
        <v>-9.082436</v>
      </c>
      <c r="D92" s="31" t="str">
        <f>IFERROR(__xludf.DUMMYFUNCTION("""COMPUTED_VALUE"""),"Waste management")</f>
        <v>Waste management</v>
      </c>
      <c r="E92" s="31">
        <f>IFERROR(__xludf.DUMMYFUNCTION("""COMPUTED_VALUE"""),0.2695)</f>
        <v>0.2695</v>
      </c>
    </row>
    <row r="93">
      <c r="A93" s="31" t="str">
        <f>IFERROR(__xludf.DUMMYFUNCTION("""COMPUTED_VALUE"""),"SAICA PAPER EL BURGO DE EBRO")</f>
        <v>SAICA PAPER EL BURGO DE EBRO</v>
      </c>
      <c r="B93" s="31">
        <f>IFERROR(__xludf.DUMMYFUNCTION("""COMPUTED_VALUE"""),41.546601)</f>
        <v>41.546601</v>
      </c>
      <c r="C93" s="31">
        <f>IFERROR(__xludf.DUMMYFUNCTION("""COMPUTED_VALUE"""),-0.678377)</f>
        <v>-0.678377</v>
      </c>
      <c r="D93" s="31" t="str">
        <f>IFERROR(__xludf.DUMMYFUNCTION("""COMPUTED_VALUE"""),"Paper, pulp and primary wood products")</f>
        <v>Paper, pulp and primary wood products</v>
      </c>
      <c r="E93" s="31">
        <f>IFERROR(__xludf.DUMMYFUNCTION("""COMPUTED_VALUE"""),0.267838855)</f>
        <v>0.267838855</v>
      </c>
    </row>
    <row r="94">
      <c r="A94" s="31" t="str">
        <f>IFERROR(__xludf.DUMMYFUNCTION("""COMPUTED_VALUE"""),"SYCTOM")</f>
        <v>SYCTOM</v>
      </c>
      <c r="B94" s="31">
        <f>IFERROR(__xludf.DUMMYFUNCTION("""COMPUTED_VALUE"""),48.83214)</f>
        <v>48.83214</v>
      </c>
      <c r="C94" s="31">
        <f>IFERROR(__xludf.DUMMYFUNCTION("""COMPUTED_VALUE"""),2.26278)</f>
        <v>2.26278</v>
      </c>
      <c r="D94" s="31" t="str">
        <f>IFERROR(__xludf.DUMMYFUNCTION("""COMPUTED_VALUE"""),"Waste management")</f>
        <v>Waste management</v>
      </c>
      <c r="E94" s="31">
        <f>IFERROR(__xludf.DUMMYFUNCTION("""COMPUTED_VALUE"""),0.2651)</f>
        <v>0.2651</v>
      </c>
    </row>
    <row r="95">
      <c r="A95" s="31" t="str">
        <f>IFERROR(__xludf.DUMMYFUNCTION("""COMPUTED_VALUE"""),"STORA ENSO LANGERBRUGGE")</f>
        <v>STORA ENSO LANGERBRUGGE</v>
      </c>
      <c r="B95" s="31">
        <f>IFERROR(__xludf.DUMMYFUNCTION("""COMPUTED_VALUE"""),51.10665)</f>
        <v>51.10665</v>
      </c>
      <c r="C95" s="31">
        <f>IFERROR(__xludf.DUMMYFUNCTION("""COMPUTED_VALUE"""),3.73374)</f>
        <v>3.73374</v>
      </c>
      <c r="D95" s="31" t="str">
        <f>IFERROR(__xludf.DUMMYFUNCTION("""COMPUTED_VALUE"""),"Paper, pulp and primary wood products")</f>
        <v>Paper, pulp and primary wood products</v>
      </c>
      <c r="E95" s="31">
        <f>IFERROR(__xludf.DUMMYFUNCTION("""COMPUTED_VALUE"""),0.261348414)</f>
        <v>0.261348414</v>
      </c>
    </row>
    <row r="96">
      <c r="A96" s="31" t="str">
        <f>IFERROR(__xludf.DUMMYFUNCTION("""COMPUTED_VALUE"""),"STORA ENSO FORS AB")</f>
        <v>STORA ENSO FORS AB</v>
      </c>
      <c r="B96" s="31">
        <f>IFERROR(__xludf.DUMMYFUNCTION("""COMPUTED_VALUE"""),60.20553)</f>
        <v>60.20553</v>
      </c>
      <c r="C96" s="31">
        <f>IFERROR(__xludf.DUMMYFUNCTION("""COMPUTED_VALUE"""),16.31202)</f>
        <v>16.31202</v>
      </c>
      <c r="D96" s="31" t="str">
        <f>IFERROR(__xludf.DUMMYFUNCTION("""COMPUTED_VALUE"""),"Paper, pulp and primary wood products")</f>
        <v>Paper, pulp and primary wood products</v>
      </c>
      <c r="E96" s="31">
        <f>IFERROR(__xludf.DUMMYFUNCTION("""COMPUTED_VALUE"""),0.259868)</f>
        <v>0.259868</v>
      </c>
    </row>
    <row r="97">
      <c r="A97" s="31" t="str">
        <f>IFERROR(__xludf.DUMMYFUNCTION("""COMPUTED_VALUE"""),"TIRU")</f>
        <v>TIRU</v>
      </c>
      <c r="B97" s="31">
        <f>IFERROR(__xludf.DUMMYFUNCTION("""COMPUTED_VALUE"""),48.91456)</f>
        <v>48.91456</v>
      </c>
      <c r="C97" s="31">
        <f>IFERROR(__xludf.DUMMYFUNCTION("""COMPUTED_VALUE"""),2.32326)</f>
        <v>2.32326</v>
      </c>
      <c r="D97" s="31" t="str">
        <f>IFERROR(__xludf.DUMMYFUNCTION("""COMPUTED_VALUE"""),"Waste management")</f>
        <v>Waste management</v>
      </c>
      <c r="E97" s="31">
        <f>IFERROR(__xludf.DUMMYFUNCTION("""COMPUTED_VALUE"""),0.2563)</f>
        <v>0.2563</v>
      </c>
    </row>
    <row r="98">
      <c r="A98" s="31" t="str">
        <f>IFERROR(__xludf.DUMMYFUNCTION("""COMPUTED_VALUE"""),"IPALLE - Usine d'incinération")</f>
        <v>IPALLE - Usine d'incinération</v>
      </c>
      <c r="B98" s="31">
        <f>IFERROR(__xludf.DUMMYFUNCTION("""COMPUTED_VALUE"""),50.54903)</f>
        <v>50.54903</v>
      </c>
      <c r="C98" s="31">
        <f>IFERROR(__xludf.DUMMYFUNCTION("""COMPUTED_VALUE"""),3.626551)</f>
        <v>3.626551</v>
      </c>
      <c r="D98" s="31" t="str">
        <f>IFERROR(__xludf.DUMMYFUNCTION("""COMPUTED_VALUE"""),"Waste management")</f>
        <v>Waste management</v>
      </c>
      <c r="E98" s="31">
        <f>IFERROR(__xludf.DUMMYFUNCTION("""COMPUTED_VALUE"""),0.231)</f>
        <v>0.231</v>
      </c>
    </row>
    <row r="99">
      <c r="A99" s="31" t="str">
        <f>IFERROR(__xludf.DUMMYFUNCTION("""COMPUTED_VALUE"""),"EVERÉ SAS")</f>
        <v>EVERÉ SAS</v>
      </c>
      <c r="B99" s="31">
        <f>IFERROR(__xludf.DUMMYFUNCTION("""COMPUTED_VALUE"""),43.4201)</f>
        <v>43.4201</v>
      </c>
      <c r="C99" s="31">
        <f>IFERROR(__xludf.DUMMYFUNCTION("""COMPUTED_VALUE"""),4.86021)</f>
        <v>4.86021</v>
      </c>
      <c r="D99" s="31" t="str">
        <f>IFERROR(__xludf.DUMMYFUNCTION("""COMPUTED_VALUE"""),"Waste management")</f>
        <v>Waste management</v>
      </c>
      <c r="E99" s="31">
        <f>IFERROR(__xludf.DUMMYFUNCTION("""COMPUTED_VALUE"""),0.231)</f>
        <v>0.231</v>
      </c>
    </row>
    <row r="100">
      <c r="A100" s="31" t="str">
        <f>IFERROR(__xludf.DUMMYFUNCTION("""COMPUTED_VALUE"""),"MM Kotkamills Oy, Kotkan tehtaat")</f>
        <v>MM Kotkamills Oy, Kotkan tehtaat</v>
      </c>
      <c r="B100" s="31">
        <f>IFERROR(__xludf.DUMMYFUNCTION("""COMPUTED_VALUE"""),60.46577)</f>
        <v>60.46577</v>
      </c>
      <c r="C100" s="31">
        <f>IFERROR(__xludf.DUMMYFUNCTION("""COMPUTED_VALUE"""),26.95694)</f>
        <v>26.95694</v>
      </c>
      <c r="D100" s="31" t="str">
        <f>IFERROR(__xludf.DUMMYFUNCTION("""COMPUTED_VALUE"""),"Paper, pulp and primary wood products")</f>
        <v>Paper, pulp and primary wood products</v>
      </c>
      <c r="E100" s="31">
        <f>IFERROR(__xludf.DUMMYFUNCTION("""COMPUTED_VALUE"""),0.229)</f>
        <v>0.229</v>
      </c>
    </row>
    <row r="101">
      <c r="A101" s="31" t="str">
        <f>IFERROR(__xludf.DUMMYFUNCTION("""COMPUTED_VALUE"""),"Cardiff Energy Recovery Facility")</f>
        <v>Cardiff Energy Recovery Facility</v>
      </c>
      <c r="B101" s="31">
        <f>IFERROR(__xludf.DUMMYFUNCTION("""COMPUTED_VALUE"""),51.47094)</f>
        <v>51.47094</v>
      </c>
      <c r="C101" s="31">
        <f>IFERROR(__xludf.DUMMYFUNCTION("""COMPUTED_VALUE"""),-3.14958)</f>
        <v>-3.14958</v>
      </c>
      <c r="D101" s="31" t="str">
        <f>IFERROR(__xludf.DUMMYFUNCTION("""COMPUTED_VALUE"""),"Waste management")</f>
        <v>Waste management</v>
      </c>
      <c r="E101" s="31">
        <f>IFERROR(__xludf.DUMMYFUNCTION("""COMPUTED_VALUE"""),0.219)</f>
        <v>0.219</v>
      </c>
    </row>
    <row r="102">
      <c r="A102" s="31" t="str">
        <f>IFERROR(__xludf.DUMMYFUNCTION("""COMPUTED_VALUE"""),"AWG Abfallwirtschaftsgesellschaft mbH Wuppertal")</f>
        <v>AWG Abfallwirtschaftsgesellschaft mbH Wuppertal</v>
      </c>
      <c r="B102" s="31">
        <f>IFERROR(__xludf.DUMMYFUNCTION("""COMPUTED_VALUE"""),51.2253054844507)</f>
        <v>51.22530548</v>
      </c>
      <c r="C102" s="31">
        <f>IFERROR(__xludf.DUMMYFUNCTION("""COMPUTED_VALUE"""),7.14281346815411)</f>
        <v>7.142813468</v>
      </c>
      <c r="D102" s="31" t="str">
        <f>IFERROR(__xludf.DUMMYFUNCTION("""COMPUTED_VALUE"""),"Waste management")</f>
        <v>Waste management</v>
      </c>
      <c r="E102" s="31">
        <f>IFERROR(__xludf.DUMMYFUNCTION("""COMPUTED_VALUE"""),0.216)</f>
        <v>0.216</v>
      </c>
    </row>
    <row r="103">
      <c r="A103" s="31" t="str">
        <f>IFERROR(__xludf.DUMMYFUNCTION("""COMPUTED_VALUE"""),"Swiss Krono Kft")</f>
        <v>Swiss Krono Kft</v>
      </c>
      <c r="B103" s="31">
        <f>IFERROR(__xludf.DUMMYFUNCTION("""COMPUTED_VALUE"""),48.130874)</f>
        <v>48.130874</v>
      </c>
      <c r="C103" s="31">
        <f>IFERROR(__xludf.DUMMYFUNCTION("""COMPUTED_VALUE"""),22.29935)</f>
        <v>22.29935</v>
      </c>
      <c r="D103" s="31" t="str">
        <f>IFERROR(__xludf.DUMMYFUNCTION("""COMPUTED_VALUE"""),"Paper, pulp and primary wood products")</f>
        <v>Paper, pulp and primary wood products</v>
      </c>
      <c r="E103" s="31">
        <f>IFERROR(__xludf.DUMMYFUNCTION("""COMPUTED_VALUE"""),0.215482633)</f>
        <v>0.215482633</v>
      </c>
    </row>
    <row r="104">
      <c r="A104" s="31" t="str">
        <f>IFERROR(__xludf.DUMMYFUNCTION("""COMPUTED_VALUE"""),"Unità Locale 3 - Impianto di Termovalorizzazione rifiuti non pericolosi.")</f>
        <v>Unità Locale 3 - Impianto di Termovalorizzazione rifiuti non pericolosi.</v>
      </c>
      <c r="B104" s="31">
        <f>IFERROR(__xludf.DUMMYFUNCTION("""COMPUTED_VALUE"""),41.4375)</f>
        <v>41.4375</v>
      </c>
      <c r="C104" s="31">
        <f>IFERROR(__xludf.DUMMYFUNCTION("""COMPUTED_VALUE"""),13.8971)</f>
        <v>13.8971</v>
      </c>
      <c r="D104" s="31" t="str">
        <f>IFERROR(__xludf.DUMMYFUNCTION("""COMPUTED_VALUE"""),"Waste management")</f>
        <v>Waste management</v>
      </c>
      <c r="E104" s="31">
        <f>IFERROR(__xludf.DUMMYFUNCTION("""COMPUTED_VALUE"""),0.21402525)</f>
        <v>0.21402525</v>
      </c>
    </row>
    <row r="105">
      <c r="A105" s="31" t="str">
        <f>IFERROR(__xludf.DUMMYFUNCTION("""COMPUTED_VALUE"""),"AVA/HKW Nordweststadt")</f>
        <v>AVA/HKW Nordweststadt</v>
      </c>
      <c r="B105" s="31">
        <f>IFERROR(__xludf.DUMMYFUNCTION("""COMPUTED_VALUE"""),50.16154591)</f>
        <v>50.16154591</v>
      </c>
      <c r="C105" s="31">
        <f>IFERROR(__xludf.DUMMYFUNCTION("""COMPUTED_VALUE"""),8.63537372343063)</f>
        <v>8.635373723</v>
      </c>
      <c r="D105" s="31" t="str">
        <f>IFERROR(__xludf.DUMMYFUNCTION("""COMPUTED_VALUE"""),"Waste management")</f>
        <v>Waste management</v>
      </c>
      <c r="E105" s="31">
        <f>IFERROR(__xludf.DUMMYFUNCTION("""COMPUTED_VALUE"""),0.214)</f>
        <v>0.214</v>
      </c>
    </row>
    <row r="106">
      <c r="A106" s="31" t="str">
        <f>IFERROR(__xludf.DUMMYFUNCTION("""COMPUTED_VALUE"""),"Stora Enso Oyj, Heinolan Flutingtehdas")</f>
        <v>Stora Enso Oyj, Heinolan Flutingtehdas</v>
      </c>
      <c r="B106" s="31">
        <f>IFERROR(__xludf.DUMMYFUNCTION("""COMPUTED_VALUE"""),61.17867)</f>
        <v>61.17867</v>
      </c>
      <c r="C106" s="31">
        <f>IFERROR(__xludf.DUMMYFUNCTION("""COMPUTED_VALUE"""),26.08156)</f>
        <v>26.08156</v>
      </c>
      <c r="D106" s="31" t="str">
        <f>IFERROR(__xludf.DUMMYFUNCTION("""COMPUTED_VALUE"""),"Paper, pulp and primary wood products")</f>
        <v>Paper, pulp and primary wood products</v>
      </c>
      <c r="E106" s="31">
        <f>IFERROR(__xludf.DUMMYFUNCTION("""COMPUTED_VALUE"""),0.211)</f>
        <v>0.211</v>
      </c>
    </row>
    <row r="107">
      <c r="A107" s="31" t="str">
        <f>IFERROR(__xludf.DUMMYFUNCTION("""COMPUTED_VALUE"""),"Boländeranläggningarna, Avfallsförbränningsanläggn")</f>
        <v>Boländeranläggningarna, Avfallsförbränningsanläggn</v>
      </c>
      <c r="B107" s="31">
        <f>IFERROR(__xludf.DUMMYFUNCTION("""COMPUTED_VALUE"""),59.85219)</f>
        <v>59.85219</v>
      </c>
      <c r="C107" s="31">
        <f>IFERROR(__xludf.DUMMYFUNCTION("""COMPUTED_VALUE"""),17.67576)</f>
        <v>17.67576</v>
      </c>
      <c r="D107" s="31" t="str">
        <f>IFERROR(__xludf.DUMMYFUNCTION("""COMPUTED_VALUE"""),"Waste management")</f>
        <v>Waste management</v>
      </c>
      <c r="E107" s="31">
        <f>IFERROR(__xludf.DUMMYFUNCTION("""COMPUTED_VALUE"""),0.205)</f>
        <v>0.205</v>
      </c>
    </row>
    <row r="108">
      <c r="A108" s="31" t="str">
        <f>IFERROR(__xludf.DUMMYFUNCTION("""COMPUTED_VALUE"""),"Central de Valorização Energética e Confinamento Técnico (CI)")</f>
        <v>Central de Valorização Energética e Confinamento Técnico (CI)</v>
      </c>
      <c r="B108" s="31">
        <f>IFERROR(__xludf.DUMMYFUNCTION("""COMPUTED_VALUE"""),41.2284)</f>
        <v>41.2284</v>
      </c>
      <c r="C108" s="31">
        <f>IFERROR(__xludf.DUMMYFUNCTION("""COMPUTED_VALUE"""),-8.65048)</f>
        <v>-8.65048</v>
      </c>
      <c r="D108" s="31" t="str">
        <f>IFERROR(__xludf.DUMMYFUNCTION("""COMPUTED_VALUE"""),"Waste management")</f>
        <v>Waste management</v>
      </c>
      <c r="E108" s="31">
        <f>IFERROR(__xludf.DUMMYFUNCTION("""COMPUTED_VALUE"""),0.20405)</f>
        <v>0.20405</v>
      </c>
    </row>
    <row r="109">
      <c r="A109" s="31" t="str">
        <f>IFERROR(__xludf.DUMMYFUNCTION("""COMPUTED_VALUE"""),"INTRADEL - UVELIA - Usine d'incinération")</f>
        <v>INTRADEL - UVELIA - Usine d'incinération</v>
      </c>
      <c r="B109" s="31">
        <f>IFERROR(__xludf.DUMMYFUNCTION("""COMPUTED_VALUE"""),50.679726)</f>
        <v>50.679726</v>
      </c>
      <c r="C109" s="31">
        <f>IFERROR(__xludf.DUMMYFUNCTION("""COMPUTED_VALUE"""),5.6436443)</f>
        <v>5.6436443</v>
      </c>
      <c r="D109" s="31" t="str">
        <f>IFERROR(__xludf.DUMMYFUNCTION("""COMPUTED_VALUE"""),"Waste management")</f>
        <v>Waste management</v>
      </c>
      <c r="E109" s="31">
        <f>IFERROR(__xludf.DUMMYFUNCTION("""COMPUTED_VALUE"""),0.2013)</f>
        <v>0.2013</v>
      </c>
    </row>
    <row r="110">
      <c r="A110" s="31" t="str">
        <f>IFERROR(__xludf.DUMMYFUNCTION("""COMPUTED_VALUE"""),"swb Entsorgung GmbH &amp; Co. KG / MKK Bremen Mittelkalorik-Kraftwerk")</f>
        <v>swb Entsorgung GmbH &amp; Co. KG / MKK Bremen Mittelkalorik-Kraftwerk</v>
      </c>
      <c r="B110" s="31">
        <f>IFERROR(__xludf.DUMMYFUNCTION("""COMPUTED_VALUE"""),53.1247603940725)</f>
        <v>53.12476039</v>
      </c>
      <c r="C110" s="31">
        <f>IFERROR(__xludf.DUMMYFUNCTION("""COMPUTED_VALUE"""),8.7272130453994)</f>
        <v>8.727213045</v>
      </c>
      <c r="D110" s="31" t="str">
        <f>IFERROR(__xludf.DUMMYFUNCTION("""COMPUTED_VALUE"""),"Waste management")</f>
        <v>Waste management</v>
      </c>
      <c r="E110" s="31">
        <f>IFERROR(__xludf.DUMMYFUNCTION("""COMPUTED_VALUE"""),0.201)</f>
        <v>0.201</v>
      </c>
    </row>
    <row r="111">
      <c r="A111" s="31" t="str">
        <f>IFERROR(__xludf.DUMMYFUNCTION("""COMPUTED_VALUE"""),"Horizon Tselluloosi ja Paberi AS, Kehra paberivabrik")</f>
        <v>Horizon Tselluloosi ja Paberi AS, Kehra paberivabrik</v>
      </c>
      <c r="B111" s="31">
        <f>IFERROR(__xludf.DUMMYFUNCTION("""COMPUTED_VALUE"""),59.3405855)</f>
        <v>59.3405855</v>
      </c>
      <c r="C111" s="31">
        <f>IFERROR(__xludf.DUMMYFUNCTION("""COMPUTED_VALUE"""),25.34015823)</f>
        <v>25.34015823</v>
      </c>
      <c r="D111" s="31" t="str">
        <f>IFERROR(__xludf.DUMMYFUNCTION("""COMPUTED_VALUE"""),"Paper, pulp and primary wood products")</f>
        <v>Paper, pulp and primary wood products</v>
      </c>
      <c r="E111" s="31">
        <f>IFERROR(__xludf.DUMMYFUNCTION("""COMPUTED_VALUE"""),0.1993)</f>
        <v>0.1993</v>
      </c>
    </row>
    <row r="112">
      <c r="A112" s="31" t="str">
        <f>IFERROR(__xludf.DUMMYFUNCTION("""COMPUTED_VALUE"""),"Fortum Oslo Varme")</f>
        <v>Fortum Oslo Varme</v>
      </c>
      <c r="B112" s="31">
        <f>IFERROR(__xludf.DUMMYFUNCTION("""COMPUTED_VALUE"""),59.8406258)</f>
        <v>59.8406258</v>
      </c>
      <c r="C112" s="31">
        <f>IFERROR(__xludf.DUMMYFUNCTION("""COMPUTED_VALUE"""),10.835762)</f>
        <v>10.835762</v>
      </c>
      <c r="D112" s="31" t="str">
        <f>IFERROR(__xludf.DUMMYFUNCTION("""COMPUTED_VALUE"""),"Waste management")</f>
        <v>Waste management</v>
      </c>
      <c r="E112" s="31">
        <f>IFERROR(__xludf.DUMMYFUNCTION("""COMPUTED_VALUE"""),0.199)</f>
        <v>0.199</v>
      </c>
    </row>
    <row r="113">
      <c r="A113" s="31" t="str">
        <f>IFERROR(__xludf.DUMMYFUNCTION("""COMPUTED_VALUE"""),"COVALYS EX-VALNOR (CVE ANTARES)")</f>
        <v>COVALYS EX-VALNOR (CVE ANTARES)</v>
      </c>
      <c r="B113" s="31">
        <f>IFERROR(__xludf.DUMMYFUNCTION("""COMPUTED_VALUE"""),50.764)</f>
        <v>50.764</v>
      </c>
      <c r="C113" s="31">
        <f>IFERROR(__xludf.DUMMYFUNCTION("""COMPUTED_VALUE"""),3.128)</f>
        <v>3.128</v>
      </c>
      <c r="D113" s="31" t="str">
        <f>IFERROR(__xludf.DUMMYFUNCTION("""COMPUTED_VALUE"""),"Waste management")</f>
        <v>Waste management</v>
      </c>
      <c r="E113" s="31">
        <f>IFERROR(__xludf.DUMMYFUNCTION("""COMPUTED_VALUE"""),0.19855)</f>
        <v>0.19855</v>
      </c>
    </row>
    <row r="114">
      <c r="A114" s="31" t="str">
        <f>IFERROR(__xludf.DUMMYFUNCTION("""COMPUTED_VALUE"""),"Caima - Indústria de Celulose, S.A. (CI)")</f>
        <v>Caima - Indústria de Celulose, S.A. (CI)</v>
      </c>
      <c r="B114" s="31">
        <f>IFERROR(__xludf.DUMMYFUNCTION("""COMPUTED_VALUE"""),39.471594)</f>
        <v>39.471594</v>
      </c>
      <c r="C114" s="31">
        <f>IFERROR(__xludf.DUMMYFUNCTION("""COMPUTED_VALUE"""),-8.331757)</f>
        <v>-8.331757</v>
      </c>
      <c r="D114" s="31" t="str">
        <f>IFERROR(__xludf.DUMMYFUNCTION("""COMPUTED_VALUE"""),"Paper, pulp and primary wood products")</f>
        <v>Paper, pulp and primary wood products</v>
      </c>
      <c r="E114" s="31">
        <f>IFERROR(__xludf.DUMMYFUNCTION("""COMPUTED_VALUE"""),0.197663192)</f>
        <v>0.197663192</v>
      </c>
    </row>
    <row r="115">
      <c r="A115" s="31" t="str">
        <f>IFERROR(__xludf.DUMMYFUNCTION("""COMPUTED_VALUE"""),"UPM Communication Papers Oy, UPM Specialty Papers Oy, Jämsänkosken paperitehdas")</f>
        <v>UPM Communication Papers Oy, UPM Specialty Papers Oy, Jämsänkosken paperitehdas</v>
      </c>
      <c r="B115" s="31">
        <f>IFERROR(__xludf.DUMMYFUNCTION("""COMPUTED_VALUE"""),61.91536)</f>
        <v>61.91536</v>
      </c>
      <c r="C115" s="31">
        <f>IFERROR(__xludf.DUMMYFUNCTION("""COMPUTED_VALUE"""),25.16002)</f>
        <v>25.16002</v>
      </c>
      <c r="D115" s="31" t="str">
        <f>IFERROR(__xludf.DUMMYFUNCTION("""COMPUTED_VALUE"""),"Paper, pulp and primary wood products")</f>
        <v>Paper, pulp and primary wood products</v>
      </c>
      <c r="E115" s="31">
        <f>IFERROR(__xludf.DUMMYFUNCTION("""COMPUTED_VALUE"""),0.1971)</f>
        <v>0.1971</v>
      </c>
    </row>
    <row r="116">
      <c r="A116" s="31" t="str">
        <f>IFERROR(__xludf.DUMMYFUNCTION("""COMPUTED_VALUE"""),"FKF Nonprofit Zrt.")</f>
        <v>FKF Nonprofit Zrt.</v>
      </c>
      <c r="B116" s="31">
        <f>IFERROR(__xludf.DUMMYFUNCTION("""COMPUTED_VALUE"""),47.582716)</f>
        <v>47.582716</v>
      </c>
      <c r="C116" s="31">
        <f>IFERROR(__xludf.DUMMYFUNCTION("""COMPUTED_VALUE"""),19.135098)</f>
        <v>19.135098</v>
      </c>
      <c r="D116" s="31" t="str">
        <f>IFERROR(__xludf.DUMMYFUNCTION("""COMPUTED_VALUE"""),"Waste management")</f>
        <v>Waste management</v>
      </c>
      <c r="E116" s="31">
        <f>IFERROR(__xludf.DUMMYFUNCTION("""COMPUTED_VALUE"""),0.1969)</f>
        <v>0.1969</v>
      </c>
    </row>
    <row r="117">
      <c r="A117" s="31" t="str">
        <f>IFERROR(__xludf.DUMMYFUNCTION("""COMPUTED_VALUE"""),"Impianto di termovalorizzazione Silla 2")</f>
        <v>Impianto di termovalorizzazione Silla 2</v>
      </c>
      <c r="B117" s="31">
        <f>IFERROR(__xludf.DUMMYFUNCTION("""COMPUTED_VALUE"""),45.5042)</f>
        <v>45.5042</v>
      </c>
      <c r="C117" s="31">
        <f>IFERROR(__xludf.DUMMYFUNCTION("""COMPUTED_VALUE"""),9.0706)</f>
        <v>9.0706</v>
      </c>
      <c r="D117" s="31" t="str">
        <f>IFERROR(__xludf.DUMMYFUNCTION("""COMPUTED_VALUE"""),"Waste management")</f>
        <v>Waste management</v>
      </c>
      <c r="E117" s="31">
        <f>IFERROR(__xludf.DUMMYFUNCTION("""COMPUTED_VALUE"""),0.19576248)</f>
        <v>0.19576248</v>
      </c>
    </row>
    <row r="118">
      <c r="A118" s="31" t="str">
        <f>IFERROR(__xludf.DUMMYFUNCTION("""COMPUTED_VALUE"""),"Mondi Powerflute Oy, Puunjalostusteollisuus, Mondi Powerflute Oy")</f>
        <v>Mondi Powerflute Oy, Puunjalostusteollisuus, Mondi Powerflute Oy</v>
      </c>
      <c r="B118" s="31">
        <f>IFERROR(__xludf.DUMMYFUNCTION("""COMPUTED_VALUE"""),62.94477)</f>
        <v>62.94477</v>
      </c>
      <c r="C118" s="31">
        <f>IFERROR(__xludf.DUMMYFUNCTION("""COMPUTED_VALUE"""),27.71085)</f>
        <v>27.71085</v>
      </c>
      <c r="D118" s="31" t="str">
        <f>IFERROR(__xludf.DUMMYFUNCTION("""COMPUTED_VALUE"""),"Paper, pulp and primary wood products")</f>
        <v>Paper, pulp and primary wood products</v>
      </c>
      <c r="E118" s="31">
        <f>IFERROR(__xludf.DUMMYFUNCTION("""COMPUTED_VALUE"""),0.194)</f>
        <v>0.194</v>
      </c>
    </row>
    <row r="119">
      <c r="A119" s="31" t="str">
        <f>IFERROR(__xludf.DUMMYFUNCTION("""COMPUTED_VALUE"""),"Norske Skog Skogn")</f>
        <v>Norske Skog Skogn</v>
      </c>
      <c r="B119" s="31">
        <f>IFERROR(__xludf.DUMMYFUNCTION("""COMPUTED_VALUE"""),63.711853)</f>
        <v>63.711853</v>
      </c>
      <c r="C119" s="31">
        <f>IFERROR(__xludf.DUMMYFUNCTION("""COMPUTED_VALUE"""),11.158329)</f>
        <v>11.158329</v>
      </c>
      <c r="D119" s="31" t="str">
        <f>IFERROR(__xludf.DUMMYFUNCTION("""COMPUTED_VALUE"""),"Paper, pulp and primary wood products")</f>
        <v>Paper, pulp and primary wood products</v>
      </c>
      <c r="E119" s="31">
        <f>IFERROR(__xludf.DUMMYFUNCTION("""COMPUTED_VALUE"""),0.194)</f>
        <v>0.194</v>
      </c>
    </row>
    <row r="120">
      <c r="A120" s="31" t="str">
        <f>IFERROR(__xludf.DUMMYFUNCTION("""COMPUTED_VALUE"""),"Solvay Chemicals GmbH")</f>
        <v>Solvay Chemicals GmbH</v>
      </c>
      <c r="B120" s="31">
        <f>IFERROR(__xludf.DUMMYFUNCTION("""COMPUTED_VALUE"""),51.5647084116264)</f>
        <v>51.56470841</v>
      </c>
      <c r="C120" s="31">
        <f>IFERROR(__xludf.DUMMYFUNCTION("""COMPUTED_VALUE"""),6.577829054)</f>
        <v>6.577829054</v>
      </c>
      <c r="D120" s="31" t="str">
        <f>IFERROR(__xludf.DUMMYFUNCTION("""COMPUTED_VALUE"""),"Other")</f>
        <v>Other</v>
      </c>
      <c r="E120" s="31">
        <f>IFERROR(__xludf.DUMMYFUNCTION("""COMPUTED_VALUE"""),0.192)</f>
        <v>0.192</v>
      </c>
    </row>
    <row r="121">
      <c r="A121" s="31" t="str">
        <f>IFERROR(__xludf.DUMMYFUNCTION("""COMPUTED_VALUE"""),"KRONOSPAN OSB")</f>
        <v>KRONOSPAN OSB</v>
      </c>
      <c r="B121" s="31">
        <f>IFERROR(__xludf.DUMMYFUNCTION("""COMPUTED_VALUE"""),49.420049)</f>
        <v>49.420049</v>
      </c>
      <c r="C121" s="31">
        <f>IFERROR(__xludf.DUMMYFUNCTION("""COMPUTED_VALUE"""),15.60391911)</f>
        <v>15.60391911</v>
      </c>
      <c r="D121" s="31" t="str">
        <f>IFERROR(__xludf.DUMMYFUNCTION("""COMPUTED_VALUE"""),"Paper, pulp and primary wood products")</f>
        <v>Paper, pulp and primary wood products</v>
      </c>
      <c r="E121" s="31">
        <f>IFERROR(__xludf.DUMMYFUNCTION("""COMPUTED_VALUE"""),0.190839415)</f>
        <v>0.190839415</v>
      </c>
    </row>
    <row r="122">
      <c r="A122" s="31" t="str">
        <f>IFERROR(__xludf.DUMMYFUNCTION("""COMPUTED_VALUE"""),"Renergia Zentralschweiz AG")</f>
        <v>Renergia Zentralschweiz AG</v>
      </c>
      <c r="B122" s="31">
        <f>IFERROR(__xludf.DUMMYFUNCTION("""COMPUTED_VALUE"""),47.1135)</f>
        <v>47.1135</v>
      </c>
      <c r="C122" s="31">
        <f>IFERROR(__xludf.DUMMYFUNCTION("""COMPUTED_VALUE"""),8.376)</f>
        <v>8.376</v>
      </c>
      <c r="D122" s="31" t="str">
        <f>IFERROR(__xludf.DUMMYFUNCTION("""COMPUTED_VALUE"""),"Waste management")</f>
        <v>Waste management</v>
      </c>
      <c r="E122" s="31">
        <f>IFERROR(__xludf.DUMMYFUNCTION("""COMPUTED_VALUE"""),0.1837)</f>
        <v>0.1837</v>
      </c>
    </row>
    <row r="123">
      <c r="A123" s="31" t="str">
        <f>IFERROR(__xludf.DUMMYFUNCTION("""COMPUTED_VALUE"""),"Metsä Board Oyj, Metsä Board Kaskinen Pulp Mill")</f>
        <v>Metsä Board Oyj, Metsä Board Kaskinen Pulp Mill</v>
      </c>
      <c r="B123" s="31">
        <f>IFERROR(__xludf.DUMMYFUNCTION("""COMPUTED_VALUE"""),62.35491)</f>
        <v>62.35491</v>
      </c>
      <c r="C123" s="31">
        <f>IFERROR(__xludf.DUMMYFUNCTION("""COMPUTED_VALUE"""),21.24458)</f>
        <v>21.24458</v>
      </c>
      <c r="D123" s="31" t="str">
        <f>IFERROR(__xludf.DUMMYFUNCTION("""COMPUTED_VALUE"""),"Paper, pulp and primary wood products")</f>
        <v>Paper, pulp and primary wood products</v>
      </c>
      <c r="E123" s="31">
        <f>IFERROR(__xludf.DUMMYFUNCTION("""COMPUTED_VALUE"""),0.1818)</f>
        <v>0.1818</v>
      </c>
    </row>
    <row r="124">
      <c r="A124" s="31" t="str">
        <f>IFERROR(__xludf.DUMMYFUNCTION("""COMPUTED_VALUE"""),"SAICA PAPER EL")</f>
        <v>SAICA PAPER EL</v>
      </c>
      <c r="B124" s="31">
        <f>IFERROR(__xludf.DUMMYFUNCTION("""COMPUTED_VALUE"""),45.1805)</f>
        <v>45.1805</v>
      </c>
      <c r="C124" s="31">
        <f>IFERROR(__xludf.DUMMYFUNCTION("""COMPUTED_VALUE"""),4.81585)</f>
        <v>4.81585</v>
      </c>
      <c r="D124" s="31" t="str">
        <f>IFERROR(__xludf.DUMMYFUNCTION("""COMPUTED_VALUE"""),"Paper, pulp and primary wood products")</f>
        <v>Paper, pulp and primary wood products</v>
      </c>
      <c r="E124" s="31">
        <f>IFERROR(__xludf.DUMMYFUNCTION("""COMPUTED_VALUE"""),0.181737721)</f>
        <v>0.181737721</v>
      </c>
    </row>
    <row r="125">
      <c r="A125" s="31" t="str">
        <f>IFERROR(__xludf.DUMMYFUNCTION("""COMPUTED_VALUE"""),"Munksjö Paper AB Billingsfors")</f>
        <v>Munksjö Paper AB Billingsfors</v>
      </c>
      <c r="B125" s="31">
        <f>IFERROR(__xludf.DUMMYFUNCTION("""COMPUTED_VALUE"""),58.9878)</f>
        <v>58.9878</v>
      </c>
      <c r="C125" s="31">
        <f>IFERROR(__xludf.DUMMYFUNCTION("""COMPUTED_VALUE"""),12.25601)</f>
        <v>12.25601</v>
      </c>
      <c r="D125" s="31" t="str">
        <f>IFERROR(__xludf.DUMMYFUNCTION("""COMPUTED_VALUE"""),"Paper, pulp and primary wood products")</f>
        <v>Paper, pulp and primary wood products</v>
      </c>
      <c r="E125" s="31">
        <f>IFERROR(__xludf.DUMMYFUNCTION("""COMPUTED_VALUE"""),0.181)</f>
        <v>0.181</v>
      </c>
    </row>
    <row r="126">
      <c r="A126" s="31" t="str">
        <f>IFERROR(__xludf.DUMMYFUNCTION("""COMPUTED_VALUE"""),"Idbäckens Kraftvärmeverk")</f>
        <v>Idbäckens Kraftvärmeverk</v>
      </c>
      <c r="B126" s="31">
        <f>IFERROR(__xludf.DUMMYFUNCTION("""COMPUTED_VALUE"""),58.74324)</f>
        <v>58.74324</v>
      </c>
      <c r="C126" s="31">
        <f>IFERROR(__xludf.DUMMYFUNCTION("""COMPUTED_VALUE"""),17.0011)</f>
        <v>17.0011</v>
      </c>
      <c r="D126" s="31" t="str">
        <f>IFERROR(__xludf.DUMMYFUNCTION("""COMPUTED_VALUE"""),"Waste management")</f>
        <v>Waste management</v>
      </c>
      <c r="E126" s="31">
        <f>IFERROR(__xludf.DUMMYFUNCTION("""COMPUTED_VALUE"""),0.17894)</f>
        <v>0.17894</v>
      </c>
    </row>
    <row r="127">
      <c r="A127" s="31" t="str">
        <f>IFERROR(__xludf.DUMMYFUNCTION("""COMPUTED_VALUE"""),"Norske Skog Saugbrugs")</f>
        <v>Norske Skog Saugbrugs</v>
      </c>
      <c r="B127" s="31">
        <f>IFERROR(__xludf.DUMMYFUNCTION("""COMPUTED_VALUE"""),59.12504)</f>
        <v>59.12504</v>
      </c>
      <c r="C127" s="31">
        <f>IFERROR(__xludf.DUMMYFUNCTION("""COMPUTED_VALUE"""),11.402339)</f>
        <v>11.402339</v>
      </c>
      <c r="D127" s="31" t="str">
        <f>IFERROR(__xludf.DUMMYFUNCTION("""COMPUTED_VALUE"""),"Paper, pulp and primary wood products")</f>
        <v>Paper, pulp and primary wood products</v>
      </c>
      <c r="E127" s="31">
        <f>IFERROR(__xludf.DUMMYFUNCTION("""COMPUTED_VALUE"""),0.177568)</f>
        <v>0.177568</v>
      </c>
    </row>
    <row r="128">
      <c r="A128" s="31" t="str">
        <f>IFERROR(__xludf.DUMMYFUNCTION("""COMPUTED_VALUE"""),"UPM-Kymmene Oyj, Tervasaari, Valkeakoski")</f>
        <v>UPM-Kymmene Oyj, Tervasaari, Valkeakoski</v>
      </c>
      <c r="B128" s="31">
        <f>IFERROR(__xludf.DUMMYFUNCTION("""COMPUTED_VALUE"""),61.26414)</f>
        <v>61.26414</v>
      </c>
      <c r="C128" s="31">
        <f>IFERROR(__xludf.DUMMYFUNCTION("""COMPUTED_VALUE"""),24.02246)</f>
        <v>24.02246</v>
      </c>
      <c r="D128" s="31" t="str">
        <f>IFERROR(__xludf.DUMMYFUNCTION("""COMPUTED_VALUE"""),"Paper, pulp and primary wood products")</f>
        <v>Paper, pulp and primary wood products</v>
      </c>
      <c r="E128" s="31">
        <f>IFERROR(__xludf.DUMMYFUNCTION("""COMPUTED_VALUE"""),0.1761)</f>
        <v>0.1761</v>
      </c>
    </row>
    <row r="129">
      <c r="A129" s="31" t="str">
        <f>IFERROR(__xludf.DUMMYFUNCTION("""COMPUTED_VALUE"""),"WIEN ENERGIE GmbH")</f>
        <v>WIEN ENERGIE GmbH</v>
      </c>
      <c r="B129" s="31">
        <f>IFERROR(__xludf.DUMMYFUNCTION("""COMPUTED_VALUE"""),48.233917)</f>
        <v>48.233917</v>
      </c>
      <c r="C129" s="31">
        <f>IFERROR(__xludf.DUMMYFUNCTION("""COMPUTED_VALUE"""),16.359917)</f>
        <v>16.359917</v>
      </c>
      <c r="D129" s="31" t="str">
        <f>IFERROR(__xludf.DUMMYFUNCTION("""COMPUTED_VALUE"""),"Waste management")</f>
        <v>Waste management</v>
      </c>
      <c r="E129" s="31">
        <f>IFERROR(__xludf.DUMMYFUNCTION("""COMPUTED_VALUE"""),0.17105)</f>
        <v>0.17105</v>
      </c>
    </row>
    <row r="130">
      <c r="A130" s="31" t="str">
        <f>IFERROR(__xludf.DUMMYFUNCTION("""COMPUTED_VALUE"""),"Entsorgungsgesellschaft Mainz mbH")</f>
        <v>Entsorgungsgesellschaft Mainz mbH</v>
      </c>
      <c r="B130" s="31">
        <f>IFERROR(__xludf.DUMMYFUNCTION("""COMPUTED_VALUE"""),50.0255109919289)</f>
        <v>50.02551099</v>
      </c>
      <c r="C130" s="31">
        <f>IFERROR(__xludf.DUMMYFUNCTION("""COMPUTED_VALUE"""),8.24251121514893)</f>
        <v>8.242511215</v>
      </c>
      <c r="D130" s="31" t="str">
        <f>IFERROR(__xludf.DUMMYFUNCTION("""COMPUTED_VALUE"""),"Waste management")</f>
        <v>Waste management</v>
      </c>
      <c r="E130" s="31">
        <f>IFERROR(__xludf.DUMMYFUNCTION("""COMPUTED_VALUE"""),0.171)</f>
        <v>0.171</v>
      </c>
    </row>
    <row r="131">
      <c r="A131" s="31" t="str">
        <f>IFERROR(__xludf.DUMMYFUNCTION("""COMPUTED_VALUE"""),"EEW Energy from Waste Saarbrücken GmbH")</f>
        <v>EEW Energy from Waste Saarbrücken GmbH</v>
      </c>
      <c r="B131" s="31">
        <f>IFERROR(__xludf.DUMMYFUNCTION("""COMPUTED_VALUE"""),50.8566533539863)</f>
        <v>50.85665335</v>
      </c>
      <c r="C131" s="31">
        <f>IFERROR(__xludf.DUMMYFUNCTION("""COMPUTED_VALUE"""),6.84357509)</f>
        <v>6.84357509</v>
      </c>
      <c r="D131" s="31" t="str">
        <f>IFERROR(__xludf.DUMMYFUNCTION("""COMPUTED_VALUE"""),"Waste management")</f>
        <v>Waste management</v>
      </c>
      <c r="E131" s="31">
        <f>IFERROR(__xludf.DUMMYFUNCTION("""COMPUTED_VALUE"""),0.165)</f>
        <v>0.165</v>
      </c>
    </row>
    <row r="132">
      <c r="A132" s="31" t="str">
        <f>IFERROR(__xludf.DUMMYFUNCTION("""COMPUTED_VALUE"""),"KEBAG AG")</f>
        <v>KEBAG AG</v>
      </c>
      <c r="B132" s="31">
        <f>IFERROR(__xludf.DUMMYFUNCTION("""COMPUTED_VALUE"""),47.2153)</f>
        <v>47.2153</v>
      </c>
      <c r="C132" s="31">
        <f>IFERROR(__xludf.DUMMYFUNCTION("""COMPUTED_VALUE"""),7.5706)</f>
        <v>7.5706</v>
      </c>
      <c r="D132" s="31" t="str">
        <f>IFERROR(__xludf.DUMMYFUNCTION("""COMPUTED_VALUE"""),"Waste management")</f>
        <v>Waste management</v>
      </c>
      <c r="E132" s="31">
        <f>IFERROR(__xludf.DUMMYFUNCTION("""COMPUTED_VALUE"""),0.1639)</f>
        <v>0.1639</v>
      </c>
    </row>
    <row r="133">
      <c r="A133" s="31" t="str">
        <f>IFERROR(__xludf.DUMMYFUNCTION("""COMPUTED_VALUE"""),"Les Cheneviers  / UIOM")</f>
        <v>Les Cheneviers  / UIOM</v>
      </c>
      <c r="B133" s="31">
        <f>IFERROR(__xludf.DUMMYFUNCTION("""COMPUTED_VALUE"""),46.1942)</f>
        <v>46.1942</v>
      </c>
      <c r="C133" s="31">
        <f>IFERROR(__xludf.DUMMYFUNCTION("""COMPUTED_VALUE"""),6.0322)</f>
        <v>6.0322</v>
      </c>
      <c r="D133" s="31" t="str">
        <f>IFERROR(__xludf.DUMMYFUNCTION("""COMPUTED_VALUE"""),"Waste management")</f>
        <v>Waste management</v>
      </c>
      <c r="E133" s="31">
        <f>IFERROR(__xludf.DUMMYFUNCTION("""COMPUTED_VALUE"""),0.16005)</f>
        <v>0.16005</v>
      </c>
    </row>
    <row r="134">
      <c r="A134" s="31" t="str">
        <f>IFERROR(__xludf.DUMMYFUNCTION("""COMPUTED_VALUE"""),"Stora Enso Publication Papers Oy Ltd, Anjalankosken tehtaat")</f>
        <v>Stora Enso Publication Papers Oy Ltd, Anjalankosken tehtaat</v>
      </c>
      <c r="B134" s="31">
        <f>IFERROR(__xludf.DUMMYFUNCTION("""COMPUTED_VALUE"""),60.70799)</f>
        <v>60.70799</v>
      </c>
      <c r="C134" s="31">
        <f>IFERROR(__xludf.DUMMYFUNCTION("""COMPUTED_VALUE"""),26.82108)</f>
        <v>26.82108</v>
      </c>
      <c r="D134" s="31" t="str">
        <f>IFERROR(__xludf.DUMMYFUNCTION("""COMPUTED_VALUE"""),"Paper, pulp and primary wood products")</f>
        <v>Paper, pulp and primary wood products</v>
      </c>
      <c r="E134" s="31">
        <f>IFERROR(__xludf.DUMMYFUNCTION("""COMPUTED_VALUE"""),0.158)</f>
        <v>0.158</v>
      </c>
    </row>
    <row r="135">
      <c r="A135" s="31" t="str">
        <f>IFERROR(__xludf.DUMMYFUNCTION("""COMPUTED_VALUE"""),"SCC - Sociedade Central de Cervejas e Bebidas,S.A. (CI)")</f>
        <v>SCC - Sociedade Central de Cervejas e Bebidas,S.A. (CI)</v>
      </c>
      <c r="B135" s="31">
        <f>IFERROR(__xludf.DUMMYFUNCTION("""COMPUTED_VALUE"""),38.8825694)</f>
        <v>38.8825694</v>
      </c>
      <c r="C135" s="31">
        <f>IFERROR(__xludf.DUMMYFUNCTION("""COMPUTED_VALUE"""),-9.0577218)</f>
        <v>-9.0577218</v>
      </c>
      <c r="D135" s="31" t="str">
        <f>IFERROR(__xludf.DUMMYFUNCTION("""COMPUTED_VALUE"""),"Other")</f>
        <v>Other</v>
      </c>
      <c r="E135" s="31">
        <f>IFERROR(__xludf.DUMMYFUNCTION("""COMPUTED_VALUE"""),0.157791318)</f>
        <v>0.157791318</v>
      </c>
    </row>
    <row r="136">
      <c r="A136" s="31" t="str">
        <f>IFERROR(__xludf.DUMMYFUNCTION("""COMPUTED_VALUE"""),"PLANTA DE VALORITZACIO ENERGETICA DE SANT ADRIA DE BESOS")</f>
        <v>PLANTA DE VALORITZACIO ENERGETICA DE SANT ADRIA DE BESOS</v>
      </c>
      <c r="B136" s="31">
        <f>IFERROR(__xludf.DUMMYFUNCTION("""COMPUTED_VALUE"""),41.419171)</f>
        <v>41.419171</v>
      </c>
      <c r="C136" s="31">
        <f>IFERROR(__xludf.DUMMYFUNCTION("""COMPUTED_VALUE"""),2.229837)</f>
        <v>2.229837</v>
      </c>
      <c r="D136" s="31" t="str">
        <f>IFERROR(__xludf.DUMMYFUNCTION("""COMPUTED_VALUE"""),"Waste management")</f>
        <v>Waste management</v>
      </c>
      <c r="E136" s="31">
        <f>IFERROR(__xludf.DUMMYFUNCTION("""COMPUTED_VALUE"""),0.15675)</f>
        <v>0.15675</v>
      </c>
    </row>
    <row r="137">
      <c r="A137" s="31" t="str">
        <f>IFERROR(__xludf.DUMMYFUNCTION("""COMPUTED_VALUE"""),"Tyseley Energy from Waste Plant")</f>
        <v>Tyseley Energy from Waste Plant</v>
      </c>
      <c r="B137" s="31">
        <f>IFERROR(__xludf.DUMMYFUNCTION("""COMPUTED_VALUE"""),52.458434)</f>
        <v>52.458434</v>
      </c>
      <c r="C137" s="31">
        <f>IFERROR(__xludf.DUMMYFUNCTION("""COMPUTED_VALUE"""),-1.8417493)</f>
        <v>-1.8417493</v>
      </c>
      <c r="D137" s="31" t="str">
        <f>IFERROR(__xludf.DUMMYFUNCTION("""COMPUTED_VALUE"""),"Waste management")</f>
        <v>Waste management</v>
      </c>
      <c r="E137" s="31">
        <f>IFERROR(__xludf.DUMMYFUNCTION("""COMPUTED_VALUE"""),0.154)</f>
        <v>0.154</v>
      </c>
    </row>
    <row r="138">
      <c r="A138" s="31" t="str">
        <f>IFERROR(__xludf.DUMMYFUNCTION("""COMPUTED_VALUE"""),"BLUE PAPER")</f>
        <v>BLUE PAPER</v>
      </c>
      <c r="B138" s="31">
        <f>IFERROR(__xludf.DUMMYFUNCTION("""COMPUTED_VALUE"""),48.56449)</f>
        <v>48.56449</v>
      </c>
      <c r="C138" s="31">
        <f>IFERROR(__xludf.DUMMYFUNCTION("""COMPUTED_VALUE"""),7.79649)</f>
        <v>7.79649</v>
      </c>
      <c r="D138" s="31" t="str">
        <f>IFERROR(__xludf.DUMMYFUNCTION("""COMPUTED_VALUE"""),"Paper, pulp and primary wood products")</f>
        <v>Paper, pulp and primary wood products</v>
      </c>
      <c r="E138" s="31">
        <f>IFERROR(__xludf.DUMMYFUNCTION("""COMPUTED_VALUE"""),0.15363395)</f>
        <v>0.15363395</v>
      </c>
    </row>
    <row r="139">
      <c r="A139" s="31" t="str">
        <f>IFERROR(__xludf.DUMMYFUNCTION("""COMPUTED_VALUE"""),"Smurfit Kappa Nettingsdorf AG &amp; Co KG")</f>
        <v>Smurfit Kappa Nettingsdorf AG &amp; Co KG</v>
      </c>
      <c r="B139" s="31">
        <f>IFERROR(__xludf.DUMMYFUNCTION("""COMPUTED_VALUE"""),48.183056)</f>
        <v>48.183056</v>
      </c>
      <c r="C139" s="31">
        <f>IFERROR(__xludf.DUMMYFUNCTION("""COMPUTED_VALUE"""),14.256111)</f>
        <v>14.256111</v>
      </c>
      <c r="D139" s="31" t="str">
        <f>IFERROR(__xludf.DUMMYFUNCTION("""COMPUTED_VALUE"""),"Paper, pulp and primary wood products")</f>
        <v>Paper, pulp and primary wood products</v>
      </c>
      <c r="E139" s="31">
        <f>IFERROR(__xludf.DUMMYFUNCTION("""COMPUTED_VALUE"""),0.153174402)</f>
        <v>0.153174402</v>
      </c>
    </row>
    <row r="140">
      <c r="A140" s="31" t="str">
        <f>IFERROR(__xludf.DUMMYFUNCTION("""COMPUTED_VALUE"""),"Bremerhavener Entsorgungsgesellschaft mbH")</f>
        <v>Bremerhavener Entsorgungsgesellschaft mbH</v>
      </c>
      <c r="B140" s="31">
        <f>IFERROR(__xludf.DUMMYFUNCTION("""COMPUTED_VALUE"""),53.5479128520869)</f>
        <v>53.54791285</v>
      </c>
      <c r="C140" s="31">
        <f>IFERROR(__xludf.DUMMYFUNCTION("""COMPUTED_VALUE"""),8.618005844)</f>
        <v>8.618005844</v>
      </c>
      <c r="D140" s="31" t="str">
        <f>IFERROR(__xludf.DUMMYFUNCTION("""COMPUTED_VALUE"""),"Waste management")</f>
        <v>Waste management</v>
      </c>
      <c r="E140" s="31">
        <f>IFERROR(__xludf.DUMMYFUNCTION("""COMPUTED_VALUE"""),0.153)</f>
        <v>0.153</v>
      </c>
    </row>
    <row r="141">
      <c r="A141" s="31" t="str">
        <f>IFERROR(__xludf.DUMMYFUNCTION("""COMPUTED_VALUE"""),"Sappi Stockstadt GmbH")</f>
        <v>Sappi Stockstadt GmbH</v>
      </c>
      <c r="B141" s="31">
        <f>IFERROR(__xludf.DUMMYFUNCTION("""COMPUTED_VALUE"""),49.9763275335496)</f>
        <v>49.97632753</v>
      </c>
      <c r="C141" s="31">
        <f>IFERROR(__xludf.DUMMYFUNCTION("""COMPUTED_VALUE"""),9.06935625554061)</f>
        <v>9.069356256</v>
      </c>
      <c r="D141" s="31" t="str">
        <f>IFERROR(__xludf.DUMMYFUNCTION("""COMPUTED_VALUE"""),"Paper, pulp and primary wood products")</f>
        <v>Paper, pulp and primary wood products</v>
      </c>
      <c r="E141" s="31">
        <f>IFERROR(__xludf.DUMMYFUNCTION("""COMPUTED_VALUE"""),0.153)</f>
        <v>0.153</v>
      </c>
    </row>
    <row r="142">
      <c r="A142" s="31" t="str">
        <f>IFERROR(__xludf.DUMMYFUNCTION("""COMPUTED_VALUE"""),"Elkem Salten")</f>
        <v>Elkem Salten</v>
      </c>
      <c r="B142" s="31">
        <f>IFERROR(__xludf.DUMMYFUNCTION("""COMPUTED_VALUE"""),67.36347)</f>
        <v>67.36347</v>
      </c>
      <c r="C142" s="31">
        <f>IFERROR(__xludf.DUMMYFUNCTION("""COMPUTED_VALUE"""),15.5893822)</f>
        <v>15.5893822</v>
      </c>
      <c r="D142" s="31" t="str">
        <f>IFERROR(__xludf.DUMMYFUNCTION("""COMPUTED_VALUE"""),"Other")</f>
        <v>Other</v>
      </c>
      <c r="E142" s="31">
        <f>IFERROR(__xludf.DUMMYFUNCTION("""COMPUTED_VALUE"""),0.152)</f>
        <v>0.152</v>
      </c>
    </row>
    <row r="143">
      <c r="A143" s="31" t="str">
        <f>IFERROR(__xludf.DUMMYFUNCTION("""COMPUTED_VALUE"""),"Staffordshire Energy Recovery Facility EPR/HP3431HK/V003")</f>
        <v>Staffordshire Energy Recovery Facility EPR/HP3431HK/V003</v>
      </c>
      <c r="B143" s="31">
        <f>IFERROR(__xludf.DUMMYFUNCTION("""COMPUTED_VALUE"""),52.672711)</f>
        <v>52.672711</v>
      </c>
      <c r="C143" s="31">
        <f>IFERROR(__xludf.DUMMYFUNCTION("""COMPUTED_VALUE"""),-2.1145704)</f>
        <v>-2.1145704</v>
      </c>
      <c r="D143" s="31" t="str">
        <f>IFERROR(__xludf.DUMMYFUNCTION("""COMPUTED_VALUE"""),"Waste management")</f>
        <v>Waste management</v>
      </c>
      <c r="E143" s="31">
        <f>IFERROR(__xludf.DUMMYFUNCTION("""COMPUTED_VALUE"""),0.152)</f>
        <v>0.152</v>
      </c>
    </row>
    <row r="144">
      <c r="A144" s="31" t="str">
        <f>IFERROR(__xludf.DUMMYFUNCTION("""COMPUTED_VALUE"""),"ERZ KHKW Hagenholz")</f>
        <v>ERZ KHKW Hagenholz</v>
      </c>
      <c r="B144" s="31">
        <f>IFERROR(__xludf.DUMMYFUNCTION("""COMPUTED_VALUE"""),47.4142)</f>
        <v>47.4142</v>
      </c>
      <c r="C144" s="31">
        <f>IFERROR(__xludf.DUMMYFUNCTION("""COMPUTED_VALUE"""),8.5653)</f>
        <v>8.5653</v>
      </c>
      <c r="D144" s="31" t="str">
        <f>IFERROR(__xludf.DUMMYFUNCTION("""COMPUTED_VALUE"""),"Waste management")</f>
        <v>Waste management</v>
      </c>
      <c r="E144" s="31">
        <f>IFERROR(__xludf.DUMMYFUNCTION("""COMPUTED_VALUE"""),0.15015)</f>
        <v>0.15015</v>
      </c>
    </row>
    <row r="145">
      <c r="A145" s="31" t="str">
        <f>IFERROR(__xludf.DUMMYFUNCTION("""COMPUTED_VALUE"""),"Cementa AB, Slitefabriken")</f>
        <v>Cementa AB, Slitefabriken</v>
      </c>
      <c r="B145" s="31">
        <f>IFERROR(__xludf.DUMMYFUNCTION("""COMPUTED_VALUE"""),57.71172)</f>
        <v>57.71172</v>
      </c>
      <c r="C145" s="31">
        <f>IFERROR(__xludf.DUMMYFUNCTION("""COMPUTED_VALUE"""),18.80539)</f>
        <v>18.80539</v>
      </c>
      <c r="D145" s="31" t="str">
        <f>IFERROR(__xludf.DUMMYFUNCTION("""COMPUTED_VALUE"""),"Other")</f>
        <v>Other</v>
      </c>
      <c r="E145" s="31">
        <f>IFERROR(__xludf.DUMMYFUNCTION("""COMPUTED_VALUE"""),0.15)</f>
        <v>0.15</v>
      </c>
    </row>
    <row r="146">
      <c r="A146" s="31" t="str">
        <f>IFERROR(__xludf.DUMMYFUNCTION("""COMPUTED_VALUE"""),"MVA Weisweiler GmbH &amp; Co. KG")</f>
        <v>MVA Weisweiler GmbH &amp; Co. KG</v>
      </c>
      <c r="B146" s="31">
        <f>IFERROR(__xludf.DUMMYFUNCTION("""COMPUTED_VALUE"""),50.8408275415185)</f>
        <v>50.84082754</v>
      </c>
      <c r="C146" s="31">
        <f>IFERROR(__xludf.DUMMYFUNCTION("""COMPUTED_VALUE"""),6.31466345414203)</f>
        <v>6.314663454</v>
      </c>
      <c r="D146" s="31" t="str">
        <f>IFERROR(__xludf.DUMMYFUNCTION("""COMPUTED_VALUE"""),"Waste management")</f>
        <v>Waste management</v>
      </c>
      <c r="E146" s="31">
        <f>IFERROR(__xludf.DUMMYFUNCTION("""COMPUTED_VALUE"""),0.147)</f>
        <v>0.147</v>
      </c>
    </row>
    <row r="147">
      <c r="A147" s="31" t="str">
        <f>IFERROR(__xludf.DUMMYFUNCTION("""COMPUTED_VALUE"""),"SC EGGER ROMANIA SRL Radauti")</f>
        <v>SC EGGER ROMANIA SRL Radauti</v>
      </c>
      <c r="B147" s="31">
        <f>IFERROR(__xludf.DUMMYFUNCTION("""COMPUTED_VALUE"""),47.855328)</f>
        <v>47.855328</v>
      </c>
      <c r="C147" s="31">
        <f>IFERROR(__xludf.DUMMYFUNCTION("""COMPUTED_VALUE"""),25.975734)</f>
        <v>25.975734</v>
      </c>
      <c r="D147" s="31" t="str">
        <f>IFERROR(__xludf.DUMMYFUNCTION("""COMPUTED_VALUE"""),"Paper, pulp and primary wood products")</f>
        <v>Paper, pulp and primary wood products</v>
      </c>
      <c r="E147" s="31">
        <f>IFERROR(__xludf.DUMMYFUNCTION("""COMPUTED_VALUE"""),0.1466)</f>
        <v>0.1466</v>
      </c>
    </row>
    <row r="148">
      <c r="A148" s="31" t="str">
        <f>IFERROR(__xludf.DUMMYFUNCTION("""COMPUTED_VALUE"""),"SELCHP Energy Recovery Facility")</f>
        <v>SELCHP Energy Recovery Facility</v>
      </c>
      <c r="B148" s="31">
        <f>IFERROR(__xludf.DUMMYFUNCTION("""COMPUTED_VALUE"""),51.485479)</f>
        <v>51.485479</v>
      </c>
      <c r="C148" s="31">
        <f>IFERROR(__xludf.DUMMYFUNCTION("""COMPUTED_VALUE"""),-0.046436737)</f>
        <v>-0.046436737</v>
      </c>
      <c r="D148" s="31" t="str">
        <f>IFERROR(__xludf.DUMMYFUNCTION("""COMPUTED_VALUE"""),"Waste management")</f>
        <v>Waste management</v>
      </c>
      <c r="E148" s="31">
        <f>IFERROR(__xludf.DUMMYFUNCTION("""COMPUTED_VALUE"""),0.145)</f>
        <v>0.145</v>
      </c>
    </row>
    <row r="149">
      <c r="A149" s="31" t="str">
        <f>IFERROR(__xludf.DUMMYFUNCTION("""COMPUTED_VALUE"""),"A &amp; S ENERGIE")</f>
        <v>A &amp; S ENERGIE</v>
      </c>
      <c r="B149" s="31">
        <f>IFERROR(__xludf.DUMMYFUNCTION("""COMPUTED_VALUE"""),50.91097)</f>
        <v>50.91097</v>
      </c>
      <c r="C149" s="31">
        <f>IFERROR(__xludf.DUMMYFUNCTION("""COMPUTED_VALUE"""),3.30631)</f>
        <v>3.30631</v>
      </c>
      <c r="D149" s="31" t="str">
        <f>IFERROR(__xludf.DUMMYFUNCTION("""COMPUTED_VALUE"""),"Waste management")</f>
        <v>Waste management</v>
      </c>
      <c r="E149" s="31">
        <f>IFERROR(__xludf.DUMMYFUNCTION("""COMPUTED_VALUE"""),0.14465)</f>
        <v>0.14465</v>
      </c>
    </row>
    <row r="150">
      <c r="A150" s="31" t="str">
        <f>IFERROR(__xludf.DUMMYFUNCTION("""COMPUTED_VALUE"""),"UAB „Fortum Klaipėda“")</f>
        <v>UAB „Fortum Klaipėda“</v>
      </c>
      <c r="B150" s="31">
        <f>IFERROR(__xludf.DUMMYFUNCTION("""COMPUTED_VALUE"""),55.68099)</f>
        <v>55.68099</v>
      </c>
      <c r="C150" s="31">
        <f>IFERROR(__xludf.DUMMYFUNCTION("""COMPUTED_VALUE"""),21.202935)</f>
        <v>21.202935</v>
      </c>
      <c r="D150" s="31" t="str">
        <f>IFERROR(__xludf.DUMMYFUNCTION("""COMPUTED_VALUE"""),"Waste management")</f>
        <v>Waste management</v>
      </c>
      <c r="E150" s="31">
        <f>IFERROR(__xludf.DUMMYFUNCTION("""COMPUTED_VALUE"""),0.14465)</f>
        <v>0.14465</v>
      </c>
    </row>
    <row r="151">
      <c r="A151" s="31" t="str">
        <f>IFERROR(__xludf.DUMMYFUNCTION("""COMPUTED_VALUE"""),"BIR Avfallsenergi")</f>
        <v>BIR Avfallsenergi</v>
      </c>
      <c r="B151" s="31">
        <f>IFERROR(__xludf.DUMMYFUNCTION("""COMPUTED_VALUE"""),60.2826)</f>
        <v>60.2826</v>
      </c>
      <c r="C151" s="31">
        <f>IFERROR(__xludf.DUMMYFUNCTION("""COMPUTED_VALUE"""),5.31782)</f>
        <v>5.31782</v>
      </c>
      <c r="D151" s="31" t="str">
        <f>IFERROR(__xludf.DUMMYFUNCTION("""COMPUTED_VALUE"""),"Waste management")</f>
        <v>Waste management</v>
      </c>
      <c r="E151" s="31">
        <f>IFERROR(__xludf.DUMMYFUNCTION("""COMPUTED_VALUE"""),0.144)</f>
        <v>0.144</v>
      </c>
    </row>
    <row r="152">
      <c r="A152" s="31" t="str">
        <f>IFERROR(__xludf.DUMMYFUNCTION("""COMPUTED_VALUE"""),"LOMELLINA ENERGIA")</f>
        <v>LOMELLINA ENERGIA</v>
      </c>
      <c r="B152" s="31">
        <f>IFERROR(__xludf.DUMMYFUNCTION("""COMPUTED_VALUE"""),45.2804)</f>
        <v>45.2804</v>
      </c>
      <c r="C152" s="31">
        <f>IFERROR(__xludf.DUMMYFUNCTION("""COMPUTED_VALUE"""),8.7776)</f>
        <v>8.7776</v>
      </c>
      <c r="D152" s="31" t="str">
        <f>IFERROR(__xludf.DUMMYFUNCTION("""COMPUTED_VALUE"""),"Waste management")</f>
        <v>Waste management</v>
      </c>
      <c r="E152" s="31">
        <f>IFERROR(__xludf.DUMMYFUNCTION("""COMPUTED_VALUE"""),0.14324915)</f>
        <v>0.14324915</v>
      </c>
    </row>
    <row r="153">
      <c r="A153" s="31" t="str">
        <f>IFERROR(__xludf.DUMMYFUNCTION("""COMPUTED_VALUE"""),"IWB Basel")</f>
        <v>IWB Basel</v>
      </c>
      <c r="B153" s="31">
        <f>IFERROR(__xludf.DUMMYFUNCTION("""COMPUTED_VALUE"""),47.5467)</f>
        <v>47.5467</v>
      </c>
      <c r="C153" s="31">
        <f>IFERROR(__xludf.DUMMYFUNCTION("""COMPUTED_VALUE"""),7.5833)</f>
        <v>7.5833</v>
      </c>
      <c r="D153" s="31" t="str">
        <f>IFERROR(__xludf.DUMMYFUNCTION("""COMPUTED_VALUE"""),"Waste management")</f>
        <v>Waste management</v>
      </c>
      <c r="E153" s="31">
        <f>IFERROR(__xludf.DUMMYFUNCTION("""COMPUTED_VALUE"""),0.14135)</f>
        <v>0.14135</v>
      </c>
    </row>
    <row r="154">
      <c r="A154" s="31" t="str">
        <f>IFERROR(__xludf.DUMMYFUNCTION("""COMPUTED_VALUE"""),"KVA Thurgau")</f>
        <v>KVA Thurgau</v>
      </c>
      <c r="B154" s="31">
        <f>IFERROR(__xludf.DUMMYFUNCTION("""COMPUTED_VALUE"""),47.5575)</f>
        <v>47.5575</v>
      </c>
      <c r="C154" s="31">
        <f>IFERROR(__xludf.DUMMYFUNCTION("""COMPUTED_VALUE"""),9.1383)</f>
        <v>9.1383</v>
      </c>
      <c r="D154" s="31" t="str">
        <f>IFERROR(__xludf.DUMMYFUNCTION("""COMPUTED_VALUE"""),"Waste management")</f>
        <v>Waste management</v>
      </c>
      <c r="E154" s="31">
        <f>IFERROR(__xludf.DUMMYFUNCTION("""COMPUTED_VALUE"""),0.1386)</f>
        <v>0.1386</v>
      </c>
    </row>
    <row r="155">
      <c r="A155" s="31" t="str">
        <f>IFERROR(__xludf.DUMMYFUNCTION("""COMPUTED_VALUE"""),"Wiener Kommunal-Umweltschutzprojekt- gesellschaft mbH")</f>
        <v>Wiener Kommunal-Umweltschutzprojekt- gesellschaft mbH</v>
      </c>
      <c r="B155" s="31">
        <f>IFERROR(__xludf.DUMMYFUNCTION("""COMPUTED_VALUE"""),48.176167)</f>
        <v>48.176167</v>
      </c>
      <c r="C155" s="31">
        <f>IFERROR(__xludf.DUMMYFUNCTION("""COMPUTED_VALUE"""),16.461944)</f>
        <v>16.461944</v>
      </c>
      <c r="D155" s="31" t="str">
        <f>IFERROR(__xludf.DUMMYFUNCTION("""COMPUTED_VALUE"""),"Waste management")</f>
        <v>Waste management</v>
      </c>
      <c r="E155" s="31">
        <f>IFERROR(__xludf.DUMMYFUNCTION("""COMPUTED_VALUE"""),0.13805)</f>
        <v>0.13805</v>
      </c>
    </row>
    <row r="156">
      <c r="A156" s="31" t="str">
        <f>IFERROR(__xludf.DUMMYFUNCTION("""COMPUTED_VALUE"""),"Bravikens Pappersbruk")</f>
        <v>Bravikens Pappersbruk</v>
      </c>
      <c r="B156" s="31">
        <f>IFERROR(__xludf.DUMMYFUNCTION("""COMPUTED_VALUE"""),58.63975)</f>
        <v>58.63975</v>
      </c>
      <c r="C156" s="31">
        <f>IFERROR(__xludf.DUMMYFUNCTION("""COMPUTED_VALUE"""),16.26148)</f>
        <v>16.26148</v>
      </c>
      <c r="D156" s="31" t="str">
        <f>IFERROR(__xludf.DUMMYFUNCTION("""COMPUTED_VALUE"""),"Paper, pulp and primary wood products")</f>
        <v>Paper, pulp and primary wood products</v>
      </c>
      <c r="E156" s="31">
        <f>IFERROR(__xludf.DUMMYFUNCTION("""COMPUTED_VALUE"""),0.1347)</f>
        <v>0.1347</v>
      </c>
    </row>
    <row r="157">
      <c r="A157" s="31" t="str">
        <f>IFERROR(__xludf.DUMMYFUNCTION("""COMPUTED_VALUE"""),"Górażdże Cement S.A. - Cementowia Górażdże")</f>
        <v>Górażdże Cement S.A. - Cementowia Górażdże</v>
      </c>
      <c r="B157" s="31">
        <f>IFERROR(__xludf.DUMMYFUNCTION("""COMPUTED_VALUE"""),50.53480556)</f>
        <v>50.53480556</v>
      </c>
      <c r="C157" s="31">
        <f>IFERROR(__xludf.DUMMYFUNCTION("""COMPUTED_VALUE"""),17.97772222)</f>
        <v>17.97772222</v>
      </c>
      <c r="D157" s="31" t="str">
        <f>IFERROR(__xludf.DUMMYFUNCTION("""COMPUTED_VALUE"""),"Other")</f>
        <v>Other</v>
      </c>
      <c r="E157" s="31">
        <f>IFERROR(__xludf.DUMMYFUNCTION("""COMPUTED_VALUE"""),0.134336467)</f>
        <v>0.134336467</v>
      </c>
    </row>
    <row r="158">
      <c r="A158" s="31" t="str">
        <f>IFERROR(__xludf.DUMMYFUNCTION("""COMPUTED_VALUE"""),"Sappi Austria Produktions-GmbH &amp; Co. KG")</f>
        <v>Sappi Austria Produktions-GmbH &amp; Co. KG</v>
      </c>
      <c r="B158" s="31">
        <f>IFERROR(__xludf.DUMMYFUNCTION("""COMPUTED_VALUE"""),47.134111)</f>
        <v>47.134111</v>
      </c>
      <c r="C158" s="31">
        <f>IFERROR(__xludf.DUMMYFUNCTION("""COMPUTED_VALUE"""),15.334056)</f>
        <v>15.334056</v>
      </c>
      <c r="D158" s="31" t="str">
        <f>IFERROR(__xludf.DUMMYFUNCTION("""COMPUTED_VALUE"""),"Paper, pulp and primary wood products")</f>
        <v>Paper, pulp and primary wood products</v>
      </c>
      <c r="E158" s="31">
        <f>IFERROR(__xludf.DUMMYFUNCTION("""COMPUTED_VALUE"""),0.134135775)</f>
        <v>0.134135775</v>
      </c>
    </row>
    <row r="159">
      <c r="A159" s="31" t="str">
        <f>IFERROR(__xludf.DUMMYFUNCTION("""COMPUTED_VALUE"""),"ZTPO")</f>
        <v>ZTPO</v>
      </c>
      <c r="B159" s="31">
        <f>IFERROR(__xludf.DUMMYFUNCTION("""COMPUTED_VALUE"""),50.058815)</f>
        <v>50.058815</v>
      </c>
      <c r="C159" s="31">
        <f>IFERROR(__xludf.DUMMYFUNCTION("""COMPUTED_VALUE"""),20.08016014)</f>
        <v>20.08016014</v>
      </c>
      <c r="D159" s="31" t="str">
        <f>IFERROR(__xludf.DUMMYFUNCTION("""COMPUTED_VALUE"""),"Waste management")</f>
        <v>Waste management</v>
      </c>
      <c r="E159" s="31">
        <f>IFERROR(__xludf.DUMMYFUNCTION("""COMPUTED_VALUE"""),0.13365)</f>
        <v>0.13365</v>
      </c>
    </row>
    <row r="160">
      <c r="A160" s="31" t="str">
        <f>IFERROR(__xludf.DUMMYFUNCTION("""COMPUTED_VALUE"""),"Beddington Energy Recovery Facility EPR/TP3836CT")</f>
        <v>Beddington Energy Recovery Facility EPR/TP3836CT</v>
      </c>
      <c r="B160" s="31">
        <f>IFERROR(__xludf.DUMMYFUNCTION("""COMPUTED_VALUE"""),51.38594)</f>
        <v>51.38594</v>
      </c>
      <c r="C160" s="31">
        <f>IFERROR(__xludf.DUMMYFUNCTION("""COMPUTED_VALUE"""),-0.146744)</f>
        <v>-0.146744</v>
      </c>
      <c r="D160" s="31" t="str">
        <f>IFERROR(__xludf.DUMMYFUNCTION("""COMPUTED_VALUE"""),"Waste management")</f>
        <v>Waste management</v>
      </c>
      <c r="E160" s="31">
        <f>IFERROR(__xludf.DUMMYFUNCTION("""COMPUTED_VALUE"""),0.133)</f>
        <v>0.133</v>
      </c>
    </row>
    <row r="161">
      <c r="A161" s="31" t="str">
        <f>IFERROR(__xludf.DUMMYFUNCTION("""COMPUTED_VALUE"""),"SAICA PAPER  FRANCE (ROCHETTE VENIZEL)")</f>
        <v>SAICA PAPER  FRANCE (ROCHETTE VENIZEL)</v>
      </c>
      <c r="B161" s="31">
        <f>IFERROR(__xludf.DUMMYFUNCTION("""COMPUTED_VALUE"""),49.36547)</f>
        <v>49.36547</v>
      </c>
      <c r="C161" s="31">
        <f>IFERROR(__xludf.DUMMYFUNCTION("""COMPUTED_VALUE"""),3.41373)</f>
        <v>3.41373</v>
      </c>
      <c r="D161" s="31" t="str">
        <f>IFERROR(__xludf.DUMMYFUNCTION("""COMPUTED_VALUE"""),"Paper, pulp and primary wood products")</f>
        <v>Paper, pulp and primary wood products</v>
      </c>
      <c r="E161" s="31">
        <f>IFERROR(__xludf.DUMMYFUNCTION("""COMPUTED_VALUE"""),0.131150933)</f>
        <v>0.131150933</v>
      </c>
    </row>
    <row r="162">
      <c r="A162" s="31" t="str">
        <f>IFERROR(__xludf.DUMMYFUNCTION("""COMPUTED_VALUE"""),"Ardley EfW Plant EPR/FP3134GU")</f>
        <v>Ardley EfW Plant EPR/FP3134GU</v>
      </c>
      <c r="B162" s="31">
        <f>IFERROR(__xludf.DUMMYFUNCTION("""COMPUTED_VALUE"""),51.932956)</f>
        <v>51.932956</v>
      </c>
      <c r="C162" s="31">
        <f>IFERROR(__xludf.DUMMYFUNCTION("""COMPUTED_VALUE"""),-1.215424)</f>
        <v>-1.215424</v>
      </c>
      <c r="D162" s="31" t="str">
        <f>IFERROR(__xludf.DUMMYFUNCTION("""COMPUTED_VALUE"""),"Waste management")</f>
        <v>Waste management</v>
      </c>
      <c r="E162" s="31">
        <f>IFERROR(__xludf.DUMMYFUNCTION("""COMPUTED_VALUE"""),0.131)</f>
        <v>0.131</v>
      </c>
    </row>
    <row r="163">
      <c r="A163" s="31" t="str">
        <f>IFERROR(__xludf.DUMMYFUNCTION("""COMPUTED_VALUE"""),"SETMI")</f>
        <v>SETMI</v>
      </c>
      <c r="B163" s="31">
        <f>IFERROR(__xludf.DUMMYFUNCTION("""COMPUTED_VALUE"""),43.5583)</f>
        <v>43.5583</v>
      </c>
      <c r="C163" s="31">
        <f>IFERROR(__xludf.DUMMYFUNCTION("""COMPUTED_VALUE"""),1.39859)</f>
        <v>1.39859</v>
      </c>
      <c r="D163" s="31" t="str">
        <f>IFERROR(__xludf.DUMMYFUNCTION("""COMPUTED_VALUE"""),"Waste management")</f>
        <v>Waste management</v>
      </c>
      <c r="E163" s="31">
        <f>IFERROR(__xludf.DUMMYFUNCTION("""COMPUTED_VALUE"""),0.1287)</f>
        <v>0.1287</v>
      </c>
    </row>
    <row r="164">
      <c r="A164" s="31" t="str">
        <f>IFERROR(__xludf.DUMMYFUNCTION("""COMPUTED_VALUE"""),"Kronospan Mielec Sp. z o.o.")</f>
        <v>Kronospan Mielec Sp. z o.o.</v>
      </c>
      <c r="B164" s="31">
        <f>IFERROR(__xludf.DUMMYFUNCTION("""COMPUTED_VALUE"""),50.30701447)</f>
        <v>50.30701447</v>
      </c>
      <c r="C164" s="31">
        <f>IFERROR(__xludf.DUMMYFUNCTION("""COMPUTED_VALUE"""),21.47087479)</f>
        <v>21.47087479</v>
      </c>
      <c r="D164" s="31" t="str">
        <f>IFERROR(__xludf.DUMMYFUNCTION("""COMPUTED_VALUE"""),"Paper, pulp and primary wood products")</f>
        <v>Paper, pulp and primary wood products</v>
      </c>
      <c r="E164" s="31">
        <f>IFERROR(__xludf.DUMMYFUNCTION("""COMPUTED_VALUE"""),0.128510727)</f>
        <v>0.128510727</v>
      </c>
    </row>
    <row r="165">
      <c r="A165" s="31" t="str">
        <f>IFERROR(__xludf.DUMMYFUNCTION("""COMPUTED_VALUE"""),"AVA Velsen")</f>
        <v>AVA Velsen</v>
      </c>
      <c r="B165" s="31">
        <f>IFERROR(__xludf.DUMMYFUNCTION("""COMPUTED_VALUE"""),49.2142779753116)</f>
        <v>49.21427798</v>
      </c>
      <c r="C165" s="31">
        <f>IFERROR(__xludf.DUMMYFUNCTION("""COMPUTED_VALUE"""),6.83473480185642)</f>
        <v>6.834734802</v>
      </c>
      <c r="D165" s="31" t="str">
        <f>IFERROR(__xludf.DUMMYFUNCTION("""COMPUTED_VALUE"""),"Waste management")</f>
        <v>Waste management</v>
      </c>
      <c r="E165" s="31">
        <f>IFERROR(__xludf.DUMMYFUNCTION("""COMPUTED_VALUE"""),0.124)</f>
        <v>0.124</v>
      </c>
    </row>
    <row r="166">
      <c r="A166" s="31" t="str">
        <f>IFERROR(__xludf.DUMMYFUNCTION("""COMPUTED_VALUE"""),"A&amp;U ENERGIE")</f>
        <v>A&amp;U ENERGIE</v>
      </c>
      <c r="B166" s="31">
        <f>IFERROR(__xludf.DUMMYFUNCTION("""COMPUTED_VALUE"""),50.9201)</f>
        <v>50.9201</v>
      </c>
      <c r="C166" s="31">
        <f>IFERROR(__xludf.DUMMYFUNCTION("""COMPUTED_VALUE"""),3.36109)</f>
        <v>3.36109</v>
      </c>
      <c r="D166" s="31" t="str">
        <f>IFERROR(__xludf.DUMMYFUNCTION("""COMPUTED_VALUE"""),"Waste management")</f>
        <v>Waste management</v>
      </c>
      <c r="E166" s="31">
        <f>IFERROR(__xludf.DUMMYFUNCTION("""COMPUTED_VALUE"""),0.12375)</f>
        <v>0.12375</v>
      </c>
    </row>
    <row r="167">
      <c r="A167" s="31" t="str">
        <f>IFERROR(__xludf.DUMMYFUNCTION("""COMPUTED_VALUE"""),"TRIDEL Lausanne")</f>
        <v>TRIDEL Lausanne</v>
      </c>
      <c r="B167" s="31">
        <f>IFERROR(__xludf.DUMMYFUNCTION("""COMPUTED_VALUE"""),46.5277)</f>
        <v>46.5277</v>
      </c>
      <c r="C167" s="31">
        <f>IFERROR(__xludf.DUMMYFUNCTION("""COMPUTED_VALUE"""),6.6392)</f>
        <v>6.6392</v>
      </c>
      <c r="D167" s="31" t="str">
        <f>IFERROR(__xludf.DUMMYFUNCTION("""COMPUTED_VALUE"""),"Waste management")</f>
        <v>Waste management</v>
      </c>
      <c r="E167" s="31">
        <f>IFERROR(__xludf.DUMMYFUNCTION("""COMPUTED_VALUE"""),0.12265)</f>
        <v>0.12265</v>
      </c>
    </row>
    <row r="168">
      <c r="A168" s="31" t="str">
        <f>IFERROR(__xludf.DUMMYFUNCTION("""COMPUTED_VALUE"""),"Filborna Kraftvärmeverk")</f>
        <v>Filborna Kraftvärmeverk</v>
      </c>
      <c r="B168" s="31">
        <f>IFERROR(__xludf.DUMMYFUNCTION("""COMPUTED_VALUE"""),56.06926)</f>
        <v>56.06926</v>
      </c>
      <c r="C168" s="31">
        <f>IFERROR(__xludf.DUMMYFUNCTION("""COMPUTED_VALUE"""),12.76602)</f>
        <v>12.76602</v>
      </c>
      <c r="D168" s="31" t="str">
        <f>IFERROR(__xludf.DUMMYFUNCTION("""COMPUTED_VALUE"""),"Waste management")</f>
        <v>Waste management</v>
      </c>
      <c r="E168" s="31">
        <f>IFERROR(__xludf.DUMMYFUNCTION("""COMPUTED_VALUE"""),0.1219)</f>
        <v>0.1219</v>
      </c>
    </row>
    <row r="169">
      <c r="A169" s="31" t="str">
        <f>IFERROR(__xludf.DUMMYFUNCTION("""COMPUTED_VALUE"""),"KRONOSPAN CR")</f>
        <v>KRONOSPAN CR</v>
      </c>
      <c r="B169" s="31">
        <f>IFERROR(__xludf.DUMMYFUNCTION("""COMPUTED_VALUE"""),49.42393788)</f>
        <v>49.42393788</v>
      </c>
      <c r="C169" s="31">
        <f>IFERROR(__xludf.DUMMYFUNCTION("""COMPUTED_VALUE"""),15.60364155)</f>
        <v>15.60364155</v>
      </c>
      <c r="D169" s="31" t="str">
        <f>IFERROR(__xludf.DUMMYFUNCTION("""COMPUTED_VALUE"""),"Paper, pulp and primary wood products")</f>
        <v>Paper, pulp and primary wood products</v>
      </c>
      <c r="E169" s="31">
        <f>IFERROR(__xludf.DUMMYFUNCTION("""COMPUTED_VALUE"""),0.121464135)</f>
        <v>0.121464135</v>
      </c>
    </row>
    <row r="170">
      <c r="A170" s="31" t="str">
        <f>IFERROR(__xludf.DUMMYFUNCTION("""COMPUTED_VALUE"""),"EEVG Entsorgungs- und Energiever- wertungsgesellschaft m.b.H.")</f>
        <v>EEVG Entsorgungs- und Energiever- wertungsgesellschaft m.b.H.</v>
      </c>
      <c r="B170" s="31">
        <f>IFERROR(__xludf.DUMMYFUNCTION("""COMPUTED_VALUE"""),47.992333)</f>
        <v>47.992333</v>
      </c>
      <c r="C170" s="31">
        <f>IFERROR(__xludf.DUMMYFUNCTION("""COMPUTED_VALUE"""),13.799917)</f>
        <v>13.799917</v>
      </c>
      <c r="D170" s="31" t="str">
        <f>IFERROR(__xludf.DUMMYFUNCTION("""COMPUTED_VALUE"""),"Waste management")</f>
        <v>Waste management</v>
      </c>
      <c r="E170" s="31">
        <f>IFERROR(__xludf.DUMMYFUNCTION("""COMPUTED_VALUE"""),0.121)</f>
        <v>0.121</v>
      </c>
    </row>
    <row r="171">
      <c r="A171" s="31" t="str">
        <f>IFERROR(__xludf.DUMMYFUNCTION("""COMPUTED_VALUE"""),"METROPOLE DE LYON - UNITÉ DE TRAITEMENT ET DE VALORISATION ENERGÉTIQUE DES DÉCHETS LYON SUD - UTVE")</f>
        <v>METROPOLE DE LYON - UNITÉ DE TRAITEMENT ET DE VALORISATION ENERGÉTIQUE DES DÉCHETS LYON SUD - UTVE</v>
      </c>
      <c r="B171" s="31">
        <f>IFERROR(__xludf.DUMMYFUNCTION("""COMPUTED_VALUE"""),45.724)</f>
        <v>45.724</v>
      </c>
      <c r="C171" s="31">
        <f>IFERROR(__xludf.DUMMYFUNCTION("""COMPUTED_VALUE"""),4.837)</f>
        <v>4.837</v>
      </c>
      <c r="D171" s="31" t="str">
        <f>IFERROR(__xludf.DUMMYFUNCTION("""COMPUTED_VALUE"""),"Waste management")</f>
        <v>Waste management</v>
      </c>
      <c r="E171" s="31">
        <f>IFERROR(__xludf.DUMMYFUNCTION("""COMPUTED_VALUE"""),0.121)</f>
        <v>0.121</v>
      </c>
    </row>
    <row r="172">
      <c r="A172" s="31" t="str">
        <f>IFERROR(__xludf.DUMMYFUNCTION("""COMPUTED_VALUE"""),"VASSILIKO CEMENT WORKS PUBLIC COMPANY LTD, Vassilikos Plant")</f>
        <v>VASSILIKO CEMENT WORKS PUBLIC COMPANY LTD, Vassilikos Plant</v>
      </c>
      <c r="B172" s="31">
        <f>IFERROR(__xludf.DUMMYFUNCTION("""COMPUTED_VALUE"""),34.7217)</f>
        <v>34.7217</v>
      </c>
      <c r="C172" s="31">
        <f>IFERROR(__xludf.DUMMYFUNCTION("""COMPUTED_VALUE"""),33.3164)</f>
        <v>33.3164</v>
      </c>
      <c r="D172" s="31" t="str">
        <f>IFERROR(__xludf.DUMMYFUNCTION("""COMPUTED_VALUE"""),"Other")</f>
        <v>Other</v>
      </c>
      <c r="E172" s="31">
        <f>IFERROR(__xludf.DUMMYFUNCTION("""COMPUTED_VALUE"""),0.12)</f>
        <v>0.12</v>
      </c>
    </row>
    <row r="173">
      <c r="A173" s="31" t="str">
        <f>IFERROR(__xludf.DUMMYFUNCTION("""COMPUTED_VALUE"""),"SENERVAL UIOM")</f>
        <v>SENERVAL UIOM</v>
      </c>
      <c r="B173" s="31">
        <f>IFERROR(__xludf.DUMMYFUNCTION("""COMPUTED_VALUE"""),48.5184)</f>
        <v>48.5184</v>
      </c>
      <c r="C173" s="31">
        <f>IFERROR(__xludf.DUMMYFUNCTION("""COMPUTED_VALUE"""),7.78884)</f>
        <v>7.78884</v>
      </c>
      <c r="D173" s="31" t="str">
        <f>IFERROR(__xludf.DUMMYFUNCTION("""COMPUTED_VALUE"""),"Waste management")</f>
        <v>Waste management</v>
      </c>
      <c r="E173" s="31">
        <f>IFERROR(__xludf.DUMMYFUNCTION("""COMPUTED_VALUE"""),0.1199)</f>
        <v>0.1199</v>
      </c>
    </row>
    <row r="174">
      <c r="A174" s="31" t="str">
        <f>IFERROR(__xludf.DUMMYFUNCTION("""COMPUTED_VALUE"""),"KVA Winterthur")</f>
        <v>KVA Winterthur</v>
      </c>
      <c r="B174" s="31">
        <f>IFERROR(__xludf.DUMMYFUNCTION("""COMPUTED_VALUE"""),47.4981)</f>
        <v>47.4981</v>
      </c>
      <c r="C174" s="31">
        <f>IFERROR(__xludf.DUMMYFUNCTION("""COMPUTED_VALUE"""),8.7525)</f>
        <v>8.7525</v>
      </c>
      <c r="D174" s="31" t="str">
        <f>IFERROR(__xludf.DUMMYFUNCTION("""COMPUTED_VALUE"""),"Waste management")</f>
        <v>Waste management</v>
      </c>
      <c r="E174" s="31">
        <f>IFERROR(__xludf.DUMMYFUNCTION("""COMPUTED_VALUE"""),0.1199)</f>
        <v>0.1199</v>
      </c>
    </row>
    <row r="175">
      <c r="A175" s="31" t="str">
        <f>IFERROR(__xludf.DUMMYFUNCTION("""COMPUTED_VALUE"""),"KEZO Hinwil")</f>
        <v>KEZO Hinwil</v>
      </c>
      <c r="B175" s="31">
        <f>IFERROR(__xludf.DUMMYFUNCTION("""COMPUTED_VALUE"""),47.3083)</f>
        <v>47.3083</v>
      </c>
      <c r="C175" s="31">
        <f>IFERROR(__xludf.DUMMYFUNCTION("""COMPUTED_VALUE"""),8.8206)</f>
        <v>8.8206</v>
      </c>
      <c r="D175" s="31" t="str">
        <f>IFERROR(__xludf.DUMMYFUNCTION("""COMPUTED_VALUE"""),"Waste management")</f>
        <v>Waste management</v>
      </c>
      <c r="E175" s="31">
        <f>IFERROR(__xludf.DUMMYFUNCTION("""COMPUTED_VALUE"""),0.1188)</f>
        <v>0.1188</v>
      </c>
    </row>
    <row r="176">
      <c r="A176" s="31" t="str">
        <f>IFERROR(__xludf.DUMMYFUNCTION("""COMPUTED_VALUE"""),"VfA Buchs")</f>
        <v>VfA Buchs</v>
      </c>
      <c r="B176" s="31">
        <f>IFERROR(__xludf.DUMMYFUNCTION("""COMPUTED_VALUE"""),47.1756)</f>
        <v>47.1756</v>
      </c>
      <c r="C176" s="31">
        <f>IFERROR(__xludf.DUMMYFUNCTION("""COMPUTED_VALUE"""),9.4836)</f>
        <v>9.4836</v>
      </c>
      <c r="D176" s="31" t="str">
        <f>IFERROR(__xludf.DUMMYFUNCTION("""COMPUTED_VALUE"""),"Waste management")</f>
        <v>Waste management</v>
      </c>
      <c r="E176" s="31">
        <f>IFERROR(__xludf.DUMMYFUNCTION("""COMPUTED_VALUE"""),0.11495)</f>
        <v>0.11495</v>
      </c>
    </row>
    <row r="177">
      <c r="A177" s="31" t="str">
        <f>IFERROR(__xludf.DUMMYFUNCTION("""COMPUTED_VALUE"""),"HERAMBIENTE S.R.L.  - IMPIANTO DI TERMOVALORIZZAZIONE RIFIUTI NON PERICOLOSI")</f>
        <v>HERAMBIENTE S.R.L.  - IMPIANTO DI TERMOVALORIZZAZIONE RIFIUTI NON PERICOLOSI</v>
      </c>
      <c r="B177" s="31">
        <f>IFERROR(__xludf.DUMMYFUNCTION("""COMPUTED_VALUE"""),44.6714)</f>
        <v>44.6714</v>
      </c>
      <c r="C177" s="31">
        <f>IFERROR(__xludf.DUMMYFUNCTION("""COMPUTED_VALUE"""),10.9439)</f>
        <v>10.9439</v>
      </c>
      <c r="D177" s="31" t="str">
        <f>IFERROR(__xludf.DUMMYFUNCTION("""COMPUTED_VALUE"""),"Waste management")</f>
        <v>Waste management</v>
      </c>
      <c r="E177" s="31">
        <f>IFERROR(__xludf.DUMMYFUNCTION("""COMPUTED_VALUE"""),0.114713819)</f>
        <v>0.114713819</v>
      </c>
    </row>
    <row r="178">
      <c r="A178" s="31" t="str">
        <f>IFERROR(__xludf.DUMMYFUNCTION("""COMPUTED_VALUE"""),"BIOSTOOM OOSTENDE")</f>
        <v>BIOSTOOM OOSTENDE</v>
      </c>
      <c r="B178" s="31">
        <f>IFERROR(__xludf.DUMMYFUNCTION("""COMPUTED_VALUE"""),51.21008)</f>
        <v>51.21008</v>
      </c>
      <c r="C178" s="31">
        <f>IFERROR(__xludf.DUMMYFUNCTION("""COMPUTED_VALUE"""),2.9953)</f>
        <v>2.9953</v>
      </c>
      <c r="D178" s="31" t="str">
        <f>IFERROR(__xludf.DUMMYFUNCTION("""COMPUTED_VALUE"""),"Waste management")</f>
        <v>Waste management</v>
      </c>
      <c r="E178" s="31">
        <f>IFERROR(__xludf.DUMMYFUNCTION("""COMPUTED_VALUE"""),0.11385)</f>
        <v>0.11385</v>
      </c>
    </row>
    <row r="179">
      <c r="A179" s="31" t="str">
        <f>IFERROR(__xludf.DUMMYFUNCTION("""COMPUTED_VALUE"""),"Kreis Weseler Abfallgesellschaft mbH &amp; Co. KG Abfallentsorgungszentrum Asdonkshof")</f>
        <v>Kreis Weseler Abfallgesellschaft mbH &amp; Co. KG Abfallentsorgungszentrum Asdonkshof</v>
      </c>
      <c r="B179" s="31">
        <f>IFERROR(__xludf.DUMMYFUNCTION("""COMPUTED_VALUE"""),51.5188843593103)</f>
        <v>51.51888436</v>
      </c>
      <c r="C179" s="31">
        <f>IFERROR(__xludf.DUMMYFUNCTION("""COMPUTED_VALUE"""),6.57641307376497)</f>
        <v>6.576413074</v>
      </c>
      <c r="D179" s="31" t="str">
        <f>IFERROR(__xludf.DUMMYFUNCTION("""COMPUTED_VALUE"""),"Waste management")</f>
        <v>Waste management</v>
      </c>
      <c r="E179" s="31">
        <f>IFERROR(__xludf.DUMMYFUNCTION("""COMPUTED_VALUE"""),0.113)</f>
        <v>0.113</v>
      </c>
    </row>
    <row r="180">
      <c r="A180" s="31" t="str">
        <f>IFERROR(__xludf.DUMMYFUNCTION("""COMPUTED_VALUE"""),"VALBOM")</f>
        <v>VALBOM</v>
      </c>
      <c r="B180" s="31">
        <f>IFERROR(__xludf.DUMMYFUNCTION("""COMPUTED_VALUE"""),44.7974)</f>
        <v>44.7974</v>
      </c>
      <c r="C180" s="31">
        <f>IFERROR(__xludf.DUMMYFUNCTION("""COMPUTED_VALUE"""),-0.52971)</f>
        <v>-0.52971</v>
      </c>
      <c r="D180" s="31" t="str">
        <f>IFERROR(__xludf.DUMMYFUNCTION("""COMPUTED_VALUE"""),"Waste management")</f>
        <v>Waste management</v>
      </c>
      <c r="E180" s="31">
        <f>IFERROR(__xludf.DUMMYFUNCTION("""COMPUTED_VALUE"""),0.1111)</f>
        <v>0.1111</v>
      </c>
    </row>
    <row r="181">
      <c r="A181" s="31" t="str">
        <f>IFERROR(__xludf.DUMMYFUNCTION("""COMPUTED_VALUE"""),"REA Dalmine SpA")</f>
        <v>REA Dalmine SpA</v>
      </c>
      <c r="B181" s="31">
        <f>IFERROR(__xludf.DUMMYFUNCTION("""COMPUTED_VALUE"""),45.6356)</f>
        <v>45.6356</v>
      </c>
      <c r="C181" s="31">
        <f>IFERROR(__xludf.DUMMYFUNCTION("""COMPUTED_VALUE"""),9.6097)</f>
        <v>9.6097</v>
      </c>
      <c r="D181" s="31" t="str">
        <f>IFERROR(__xludf.DUMMYFUNCTION("""COMPUTED_VALUE"""),"Waste management")</f>
        <v>Waste management</v>
      </c>
      <c r="E181" s="31">
        <f>IFERROR(__xludf.DUMMYFUNCTION("""COMPUTED_VALUE"""),0.110301785)</f>
        <v>0.110301785</v>
      </c>
    </row>
    <row r="182">
      <c r="A182" s="31" t="str">
        <f>IFERROR(__xludf.DUMMYFUNCTION("""COMPUTED_VALUE"""),"PAPREC ENERGIES 66")</f>
        <v>PAPREC ENERGIES 66</v>
      </c>
      <c r="B182" s="31">
        <f>IFERROR(__xludf.DUMMYFUNCTION("""COMPUTED_VALUE"""),42.7344)</f>
        <v>42.7344</v>
      </c>
      <c r="C182" s="31">
        <f>IFERROR(__xludf.DUMMYFUNCTION("""COMPUTED_VALUE"""),2.76435)</f>
        <v>2.76435</v>
      </c>
      <c r="D182" s="31" t="str">
        <f>IFERROR(__xludf.DUMMYFUNCTION("""COMPUTED_VALUE"""),"Waste management")</f>
        <v>Waste management</v>
      </c>
      <c r="E182" s="31">
        <f>IFERROR(__xludf.DUMMYFUNCTION("""COMPUTED_VALUE"""),0.11)</f>
        <v>0.11</v>
      </c>
    </row>
    <row r="183">
      <c r="A183" s="31" t="str">
        <f>IFERROR(__xludf.DUMMYFUNCTION("""COMPUTED_VALUE"""),"Spalovna Malešice")</f>
        <v>Spalovna Malešice</v>
      </c>
      <c r="B183" s="31">
        <f>IFERROR(__xludf.DUMMYFUNCTION("""COMPUTED_VALUE"""),50.07892459)</f>
        <v>50.07892459</v>
      </c>
      <c r="C183" s="31">
        <f>IFERROR(__xludf.DUMMYFUNCTION("""COMPUTED_VALUE"""),14.54113899)</f>
        <v>14.54113899</v>
      </c>
      <c r="D183" s="31" t="str">
        <f>IFERROR(__xludf.DUMMYFUNCTION("""COMPUTED_VALUE"""),"Waste management")</f>
        <v>Waste management</v>
      </c>
      <c r="E183" s="31">
        <f>IFERROR(__xludf.DUMMYFUNCTION("""COMPUTED_VALUE"""),0.10993237)</f>
        <v>0.10993237</v>
      </c>
    </row>
    <row r="184">
      <c r="A184" s="31" t="str">
        <f>IFERROR(__xludf.DUMMYFUNCTION("""COMPUTED_VALUE"""),"FRULLO ENERGIA AMBIENTE S.R.L.")</f>
        <v>FRULLO ENERGIA AMBIENTE S.R.L.</v>
      </c>
      <c r="B184" s="31">
        <f>IFERROR(__xludf.DUMMYFUNCTION("""COMPUTED_VALUE"""),44.5239)</f>
        <v>44.5239</v>
      </c>
      <c r="C184" s="31">
        <f>IFERROR(__xludf.DUMMYFUNCTION("""COMPUTED_VALUE"""),11.4311)</f>
        <v>11.4311</v>
      </c>
      <c r="D184" s="31" t="str">
        <f>IFERROR(__xludf.DUMMYFUNCTION("""COMPUTED_VALUE"""),"Waste management")</f>
        <v>Waste management</v>
      </c>
      <c r="E184" s="31">
        <f>IFERROR(__xludf.DUMMYFUNCTION("""COMPUTED_VALUE"""),0.10824506)</f>
        <v>0.10824506</v>
      </c>
    </row>
    <row r="185">
      <c r="A185" s="31" t="str">
        <f>IFERROR(__xludf.DUMMYFUNCTION("""COMPUTED_VALUE"""),"IMPIANTO DI TERMOVALORIZZAZIONE RIFIUTI SOLIDI URBANI E NON PERICOLOSI")</f>
        <v>IMPIANTO DI TERMOVALORIZZAZIONE RIFIUTI SOLIDI URBANI E NON PERICOLOSI</v>
      </c>
      <c r="B185" s="31">
        <f>IFERROR(__xludf.DUMMYFUNCTION("""COMPUTED_VALUE"""),45.5936)</f>
        <v>45.5936</v>
      </c>
      <c r="C185" s="31">
        <f>IFERROR(__xludf.DUMMYFUNCTION("""COMPUTED_VALUE"""),9.5078)</f>
        <v>9.5078</v>
      </c>
      <c r="D185" s="31" t="str">
        <f>IFERROR(__xludf.DUMMYFUNCTION("""COMPUTED_VALUE"""),"Waste management")</f>
        <v>Waste management</v>
      </c>
      <c r="E185" s="31">
        <f>IFERROR(__xludf.DUMMYFUNCTION("""COMPUTED_VALUE"""),0.10745405)</f>
        <v>0.10745405</v>
      </c>
    </row>
    <row r="186">
      <c r="A186" s="31" t="str">
        <f>IFERROR(__xludf.DUMMYFUNCTION("""COMPUTED_VALUE"""),"Impianto di Termovalorizzazione di San Lazzaro (PD)")</f>
        <v>Impianto di Termovalorizzazione di San Lazzaro (PD)</v>
      </c>
      <c r="B186" s="31">
        <f>IFERROR(__xludf.DUMMYFUNCTION("""COMPUTED_VALUE"""),45.4083)</f>
        <v>45.4083</v>
      </c>
      <c r="C186" s="31">
        <f>IFERROR(__xludf.DUMMYFUNCTION("""COMPUTED_VALUE"""),11.9231)</f>
        <v>11.9231</v>
      </c>
      <c r="D186" s="31" t="str">
        <f>IFERROR(__xludf.DUMMYFUNCTION("""COMPUTED_VALUE"""),"Waste management")</f>
        <v>Waste management</v>
      </c>
      <c r="E186" s="31">
        <f>IFERROR(__xludf.DUMMYFUNCTION("""COMPUTED_VALUE"""),0.107377976)</f>
        <v>0.107377976</v>
      </c>
    </row>
    <row r="187">
      <c r="A187" s="31" t="str">
        <f>IFERROR(__xludf.DUMMYFUNCTION("""COMPUTED_VALUE"""),"ACR Giubiasco")</f>
        <v>ACR Giubiasco</v>
      </c>
      <c r="B187" s="31">
        <f>IFERROR(__xludf.DUMMYFUNCTION("""COMPUTED_VALUE"""),46.1722)</f>
        <v>46.1722</v>
      </c>
      <c r="C187" s="31">
        <f>IFERROR(__xludf.DUMMYFUNCTION("""COMPUTED_VALUE"""),8.9887)</f>
        <v>8.9887</v>
      </c>
      <c r="D187" s="31" t="str">
        <f>IFERROR(__xludf.DUMMYFUNCTION("""COMPUTED_VALUE"""),"Waste management")</f>
        <v>Waste management</v>
      </c>
      <c r="E187" s="31">
        <f>IFERROR(__xludf.DUMMYFUNCTION("""COMPUTED_VALUE"""),0.1067)</f>
        <v>0.1067</v>
      </c>
    </row>
    <row r="188">
      <c r="A188" s="31" t="str">
        <f>IFERROR(__xludf.DUMMYFUNCTION("""COMPUTED_VALUE"""),"FunderMax GmbH")</f>
        <v>FunderMax GmbH</v>
      </c>
      <c r="B188" s="31">
        <f>IFERROR(__xludf.DUMMYFUNCTION("""COMPUTED_VALUE"""),46.758111)</f>
        <v>46.758111</v>
      </c>
      <c r="C188" s="31">
        <f>IFERROR(__xludf.DUMMYFUNCTION("""COMPUTED_VALUE"""),14.377222)</f>
        <v>14.377222</v>
      </c>
      <c r="D188" s="31" t="str">
        <f>IFERROR(__xludf.DUMMYFUNCTION("""COMPUTED_VALUE"""),"Paper, pulp and primary wood products")</f>
        <v>Paper, pulp and primary wood products</v>
      </c>
      <c r="E188" s="31">
        <f>IFERROR(__xludf.DUMMYFUNCTION("""COMPUTED_VALUE"""),0.106443228)</f>
        <v>0.106443228</v>
      </c>
    </row>
    <row r="189">
      <c r="A189" s="31" t="str">
        <f>IFERROR(__xludf.DUMMYFUNCTION("""COMPUTED_VALUE"""),"Sidor")</f>
        <v>Sidor</v>
      </c>
      <c r="B189" s="31">
        <f>IFERROR(__xludf.DUMMYFUNCTION("""COMPUTED_VALUE"""),49.55374)</f>
        <v>49.55374</v>
      </c>
      <c r="C189" s="31">
        <f>IFERROR(__xludf.DUMMYFUNCTION("""COMPUTED_VALUE"""),6.06991)</f>
        <v>6.06991</v>
      </c>
      <c r="D189" s="31" t="str">
        <f>IFERROR(__xludf.DUMMYFUNCTION("""COMPUTED_VALUE"""),"Waste management")</f>
        <v>Waste management</v>
      </c>
      <c r="E189" s="31">
        <f>IFERROR(__xludf.DUMMYFUNCTION("""COMPUTED_VALUE"""),0.10615)</f>
        <v>0.10615</v>
      </c>
    </row>
    <row r="190">
      <c r="A190" s="31" t="str">
        <f>IFERROR(__xludf.DUMMYFUNCTION("""COMPUTED_VALUE"""),"OREADE SAS")</f>
        <v>OREADE SAS</v>
      </c>
      <c r="B190" s="31">
        <f>IFERROR(__xludf.DUMMYFUNCTION("""COMPUTED_VALUE"""),49.52291)</f>
        <v>49.52291</v>
      </c>
      <c r="C190" s="31">
        <f>IFERROR(__xludf.DUMMYFUNCTION("""COMPUTED_VALUE"""),0.50569)</f>
        <v>0.50569</v>
      </c>
      <c r="D190" s="31" t="str">
        <f>IFERROR(__xludf.DUMMYFUNCTION("""COMPUTED_VALUE"""),"Waste management")</f>
        <v>Waste management</v>
      </c>
      <c r="E190" s="31">
        <f>IFERROR(__xludf.DUMMYFUNCTION("""COMPUTED_VALUE"""),0.10505)</f>
        <v>0.10505</v>
      </c>
    </row>
    <row r="191">
      <c r="A191" s="31" t="str">
        <f>IFERROR(__xludf.DUMMYFUNCTION("""COMPUTED_VALUE"""),"Energiezentrale Forsthaus (KVA)")</f>
        <v>Energiezentrale Forsthaus (KVA)</v>
      </c>
      <c r="B191" s="31">
        <f>IFERROR(__xludf.DUMMYFUNCTION("""COMPUTED_VALUE"""),46.9515)</f>
        <v>46.9515</v>
      </c>
      <c r="C191" s="31">
        <f>IFERROR(__xludf.DUMMYFUNCTION("""COMPUTED_VALUE"""),7.4139)</f>
        <v>7.4139</v>
      </c>
      <c r="D191" s="31" t="str">
        <f>IFERROR(__xludf.DUMMYFUNCTION("""COMPUTED_VALUE"""),"Waste management")</f>
        <v>Waste management</v>
      </c>
      <c r="E191" s="31">
        <f>IFERROR(__xludf.DUMMYFUNCTION("""COMPUTED_VALUE"""),0.10395)</f>
        <v>0.10395</v>
      </c>
    </row>
    <row r="192">
      <c r="A192" s="31" t="str">
        <f>IFERROR(__xludf.DUMMYFUNCTION("""COMPUTED_VALUE"""),"SW-SOLAR CZARNA WODA SPÓŁKA Z OGRANICZONĄ ODPOWIEDZIALNOŚCIĄ")</f>
        <v>SW-SOLAR CZARNA WODA SPÓŁKA Z OGRANICZONĄ ODPOWIEDZIALNOŚCIĄ</v>
      </c>
      <c r="B192" s="31">
        <f>IFERROR(__xludf.DUMMYFUNCTION("""COMPUTED_VALUE"""),53.84944153)</f>
        <v>53.84944153</v>
      </c>
      <c r="C192" s="31">
        <f>IFERROR(__xludf.DUMMYFUNCTION("""COMPUTED_VALUE"""),18.09000015)</f>
        <v>18.09000015</v>
      </c>
      <c r="D192" s="31" t="str">
        <f>IFERROR(__xludf.DUMMYFUNCTION("""COMPUTED_VALUE"""),"Paper, pulp and primary wood products")</f>
        <v>Paper, pulp and primary wood products</v>
      </c>
      <c r="E192" s="31">
        <f>IFERROR(__xludf.DUMMYFUNCTION("""COMPUTED_VALUE"""),0.103847052)</f>
        <v>0.103847052</v>
      </c>
    </row>
    <row r="193">
      <c r="A193" s="31" t="str">
        <f>IFERROR(__xludf.DUMMYFUNCTION("""COMPUTED_VALUE"""),"SUEZ RV ENERGIE - UVE D'ARGENTEUIL (EX NOVERGIE-UIOM)")</f>
        <v>SUEZ RV ENERGIE - UVE D'ARGENTEUIL (EX NOVERGIE-UIOM)</v>
      </c>
      <c r="B193" s="31">
        <f>IFERROR(__xludf.DUMMYFUNCTION("""COMPUTED_VALUE"""),48.95867)</f>
        <v>48.95867</v>
      </c>
      <c r="C193" s="31">
        <f>IFERROR(__xludf.DUMMYFUNCTION("""COMPUTED_VALUE"""),2.20525)</f>
        <v>2.20525</v>
      </c>
      <c r="D193" s="31" t="str">
        <f>IFERROR(__xludf.DUMMYFUNCTION("""COMPUTED_VALUE"""),"Waste management")</f>
        <v>Waste management</v>
      </c>
      <c r="E193" s="31">
        <f>IFERROR(__xludf.DUMMYFUNCTION("""COMPUTED_VALUE"""),0.1034)</f>
        <v>0.1034</v>
      </c>
    </row>
    <row r="194">
      <c r="A194" s="31" t="str">
        <f>IFERROR(__xludf.DUMMYFUNCTION("""COMPUTED_VALUE"""),"SMURFIT NAVARRA, S.A.-SANGÜESA")</f>
        <v>SMURFIT NAVARRA, S.A.-SANGÜESA</v>
      </c>
      <c r="B194" s="31">
        <f>IFERROR(__xludf.DUMMYFUNCTION("""COMPUTED_VALUE"""),42.591005)</f>
        <v>42.591005</v>
      </c>
      <c r="C194" s="31">
        <f>IFERROR(__xludf.DUMMYFUNCTION("""COMPUTED_VALUE"""),-1.28274)</f>
        <v>-1.28274</v>
      </c>
      <c r="D194" s="31" t="str">
        <f>IFERROR(__xludf.DUMMYFUNCTION("""COMPUTED_VALUE"""),"Paper, pulp and primary wood products")</f>
        <v>Paper, pulp and primary wood products</v>
      </c>
      <c r="E194" s="31">
        <f>IFERROR(__xludf.DUMMYFUNCTION("""COMPUTED_VALUE"""),0.101250876)</f>
        <v>0.101250876</v>
      </c>
    </row>
    <row r="195">
      <c r="A195" s="31" t="str">
        <f>IFERROR(__xludf.DUMMYFUNCTION("""COMPUTED_VALUE"""),"STORA ENSO PAPER AB, Kvarnsveden Mill")</f>
        <v>STORA ENSO PAPER AB, Kvarnsveden Mill</v>
      </c>
      <c r="B195" s="31">
        <f>IFERROR(__xludf.DUMMYFUNCTION("""COMPUTED_VALUE"""),60.52322)</f>
        <v>60.52322</v>
      </c>
      <c r="C195" s="31">
        <f>IFERROR(__xludf.DUMMYFUNCTION("""COMPUTED_VALUE"""),15.42088)</f>
        <v>15.42088</v>
      </c>
      <c r="D195" s="31" t="str">
        <f>IFERROR(__xludf.DUMMYFUNCTION("""COMPUTED_VALUE"""),"Paper, pulp and primary wood products")</f>
        <v>Paper, pulp and primary wood products</v>
      </c>
      <c r="E195" s="31">
        <f>IFERROR(__xludf.DUMMYFUNCTION("""COMPUTED_VALUE"""),0.1004)</f>
        <v>0.1004</v>
      </c>
    </row>
    <row r="196">
      <c r="A196" s="31" t="str">
        <f>IFERROR(__xludf.DUMMYFUNCTION("""COMPUTED_VALUE"""),"Dyckerhoff GmbH, Werk Deuna ")</f>
        <v>Dyckerhoff GmbH, Werk Deuna </v>
      </c>
      <c r="B196" s="31">
        <f>IFERROR(__xludf.DUMMYFUNCTION("""COMPUTED_VALUE"""),51.3627597328411)</f>
        <v>51.36275973</v>
      </c>
      <c r="C196" s="31">
        <f>IFERROR(__xludf.DUMMYFUNCTION("""COMPUTED_VALUE"""),10.4835682679806)</f>
        <v>10.48356827</v>
      </c>
      <c r="D196" s="31" t="str">
        <f>IFERROR(__xludf.DUMMYFUNCTION("""COMPUTED_VALUE"""),"Other")</f>
        <v>Other</v>
      </c>
      <c r="E196" s="31">
        <f>IFERROR(__xludf.DUMMYFUNCTION("""COMPUTED_VALUE"""),0.1)</f>
        <v>0.1</v>
      </c>
    </row>
    <row r="197">
      <c r="A197" s="31" t="str">
        <f>IFERROR(__xludf.DUMMYFUNCTION("""COMPUTED_VALUE"""),"NORSKE SKOG")</f>
        <v>NORSKE SKOG</v>
      </c>
      <c r="B197" s="31">
        <f>IFERROR(__xludf.DUMMYFUNCTION("""COMPUTED_VALUE"""),48.21104)</f>
        <v>48.21104</v>
      </c>
      <c r="C197" s="31">
        <f>IFERROR(__xludf.DUMMYFUNCTION("""COMPUTED_VALUE"""),6.41959)</f>
        <v>6.41959</v>
      </c>
      <c r="D197" s="31" t="str">
        <f>IFERROR(__xludf.DUMMYFUNCTION("""COMPUTED_VALUE"""),"Paper, pulp and primary wood products")</f>
        <v>Paper, pulp and primary wood products</v>
      </c>
      <c r="E197" s="31">
        <f>IFERROR(__xludf.DUMMYFUNCTION("""COMPUTED_VALUE"""),0.099087395)</f>
        <v>0.099087395</v>
      </c>
    </row>
    <row r="198">
      <c r="A198" s="31" t="str">
        <f>IFERROR(__xludf.DUMMYFUNCTION("""COMPUTED_VALUE"""),"SAS ZEPHIRE")</f>
        <v>SAS ZEPHIRE</v>
      </c>
      <c r="B198" s="31">
        <f>IFERROR(__xludf.DUMMYFUNCTION("""COMPUTED_VALUE"""),43.1256)</f>
        <v>43.1256</v>
      </c>
      <c r="C198" s="31">
        <f>IFERROR(__xludf.DUMMYFUNCTION("""COMPUTED_VALUE"""),5.88936)</f>
        <v>5.88936</v>
      </c>
      <c r="D198" s="31" t="str">
        <f>IFERROR(__xludf.DUMMYFUNCTION("""COMPUTED_VALUE"""),"Waste management")</f>
        <v>Waste management</v>
      </c>
      <c r="E198" s="31">
        <f>IFERROR(__xludf.DUMMYFUNCTION("""COMPUTED_VALUE"""),0.099)</f>
        <v>0.099</v>
      </c>
    </row>
    <row r="199">
      <c r="A199" s="31" t="str">
        <f>IFERROR(__xludf.DUMMYFUNCTION("""COMPUTED_VALUE"""),"Kredsløb, Affaldsenergi A/S")</f>
        <v>Kredsløb, Affaldsenergi A/S</v>
      </c>
      <c r="B199" s="31">
        <f>IFERROR(__xludf.DUMMYFUNCTION("""COMPUTED_VALUE"""),56.2276273295549)</f>
        <v>56.22762733</v>
      </c>
      <c r="C199" s="31">
        <f>IFERROR(__xludf.DUMMYFUNCTION("""COMPUTED_VALUE"""),10.1580121341436)</f>
        <v>10.15801213</v>
      </c>
      <c r="D199" s="31" t="str">
        <f>IFERROR(__xludf.DUMMYFUNCTION("""COMPUTED_VALUE"""),"Waste management")</f>
        <v>Waste management</v>
      </c>
      <c r="E199" s="31">
        <f>IFERROR(__xludf.DUMMYFUNCTION("""COMPUTED_VALUE"""),0.098178)</f>
        <v>0.098178</v>
      </c>
    </row>
    <row r="200">
      <c r="A200" s="31" t="str">
        <f>IFERROR(__xludf.DUMMYFUNCTION("""COMPUTED_VALUE"""),"INNOVATHERM -Ges.zur innovativen Nu tzung v.Brennstoffen")</f>
        <v>INNOVATHERM -Ges.zur innovativen Nu tzung v.Brennstoffen</v>
      </c>
      <c r="B200" s="31">
        <f>IFERROR(__xludf.DUMMYFUNCTION("""COMPUTED_VALUE"""),51.6111982803914)</f>
        <v>51.61119828</v>
      </c>
      <c r="C200" s="31">
        <f>IFERROR(__xludf.DUMMYFUNCTION("""COMPUTED_VALUE"""),7.46506019202167)</f>
        <v>7.465060192</v>
      </c>
      <c r="D200" s="31" t="str">
        <f>IFERROR(__xludf.DUMMYFUNCTION("""COMPUTED_VALUE"""),"Waste management")</f>
        <v>Waste management</v>
      </c>
      <c r="E200" s="31">
        <f>IFERROR(__xludf.DUMMYFUNCTION("""COMPUTED_VALUE"""),0.0961)</f>
        <v>0.0961</v>
      </c>
    </row>
    <row r="201">
      <c r="A201" s="31" t="str">
        <f>IFERROR(__xludf.DUMMYFUNCTION("""COMPUTED_VALUE"""),"SATOM Monthey")</f>
        <v>SATOM Monthey</v>
      </c>
      <c r="B201" s="31">
        <f>IFERROR(__xludf.DUMMYFUNCTION("""COMPUTED_VALUE"""),46.2781)</f>
        <v>46.2781</v>
      </c>
      <c r="C201" s="31">
        <f>IFERROR(__xludf.DUMMYFUNCTION("""COMPUTED_VALUE"""),6.96)</f>
        <v>6.96</v>
      </c>
      <c r="D201" s="31" t="str">
        <f>IFERROR(__xludf.DUMMYFUNCTION("""COMPUTED_VALUE"""),"Waste management")</f>
        <v>Waste management</v>
      </c>
      <c r="E201" s="31">
        <f>IFERROR(__xludf.DUMMYFUNCTION("""COMPUTED_VALUE"""),0.0957)</f>
        <v>0.0957</v>
      </c>
    </row>
    <row r="202">
      <c r="A202" s="31" t="str">
        <f>IFERROR(__xludf.DUMMYFUNCTION("""COMPUTED_VALUE"""),"FACTORIA MONTAÑANESA")</f>
        <v>FACTORIA MONTAÑANESA</v>
      </c>
      <c r="B202" s="31">
        <f>IFERROR(__xludf.DUMMYFUNCTION("""COMPUTED_VALUE"""),41.693825)</f>
        <v>41.693825</v>
      </c>
      <c r="C202" s="31">
        <f>IFERROR(__xludf.DUMMYFUNCTION("""COMPUTED_VALUE"""),-0.825523)</f>
        <v>-0.825523</v>
      </c>
      <c r="D202" s="31" t="str">
        <f>IFERROR(__xludf.DUMMYFUNCTION("""COMPUTED_VALUE"""),"Paper, pulp and primary wood products")</f>
        <v>Paper, pulp and primary wood products</v>
      </c>
      <c r="E202" s="31">
        <f>IFERROR(__xludf.DUMMYFUNCTION("""COMPUTED_VALUE"""),0.095552823)</f>
        <v>0.095552823</v>
      </c>
    </row>
    <row r="203">
      <c r="A203" s="31" t="str">
        <f>IFERROR(__xludf.DUMMYFUNCTION("""COMPUTED_VALUE"""),"Cement Hranice, akciová společnost")</f>
        <v>Cement Hranice, akciová společnost</v>
      </c>
      <c r="B203" s="31">
        <f>IFERROR(__xludf.DUMMYFUNCTION("""COMPUTED_VALUE"""),49.56116667)</f>
        <v>49.56116667</v>
      </c>
      <c r="C203" s="31">
        <f>IFERROR(__xludf.DUMMYFUNCTION("""COMPUTED_VALUE"""),17.76095556)</f>
        <v>17.76095556</v>
      </c>
      <c r="D203" s="31" t="str">
        <f>IFERROR(__xludf.DUMMYFUNCTION("""COMPUTED_VALUE"""),"Other")</f>
        <v>Other</v>
      </c>
      <c r="E203" s="31">
        <f>IFERROR(__xludf.DUMMYFUNCTION("""COMPUTED_VALUE"""),0.095094)</f>
        <v>0.095094</v>
      </c>
    </row>
    <row r="204">
      <c r="A204" s="31" t="str">
        <f>IFERROR(__xludf.DUMMYFUNCTION("""COMPUTED_VALUE"""),"Norcem Brevik")</f>
        <v>Norcem Brevik</v>
      </c>
      <c r="B204" s="31">
        <f>IFERROR(__xludf.DUMMYFUNCTION("""COMPUTED_VALUE"""),59.06192)</f>
        <v>59.06192</v>
      </c>
      <c r="C204" s="31">
        <f>IFERROR(__xludf.DUMMYFUNCTION("""COMPUTED_VALUE"""),9.68933)</f>
        <v>9.68933</v>
      </c>
      <c r="D204" s="31" t="str">
        <f>IFERROR(__xludf.DUMMYFUNCTION("""COMPUTED_VALUE"""),"Other")</f>
        <v>Other</v>
      </c>
      <c r="E204" s="31">
        <f>IFERROR(__xludf.DUMMYFUNCTION("""COMPUTED_VALUE"""),0.095)</f>
        <v>0.095</v>
      </c>
    </row>
    <row r="205">
      <c r="A205" s="31" t="str">
        <f>IFERROR(__xludf.DUMMYFUNCTION("""COMPUTED_VALUE"""),"SAICA 1")</f>
        <v>SAICA 1</v>
      </c>
      <c r="B205" s="31">
        <f>IFERROR(__xludf.DUMMYFUNCTION("""COMPUTED_VALUE"""),41.670085)</f>
        <v>41.670085</v>
      </c>
      <c r="C205" s="31">
        <f>IFERROR(__xludf.DUMMYFUNCTION("""COMPUTED_VALUE"""),-0.871259)</f>
        <v>-0.871259</v>
      </c>
      <c r="D205" s="31" t="str">
        <f>IFERROR(__xludf.DUMMYFUNCTION("""COMPUTED_VALUE"""),"Paper, pulp and primary wood products")</f>
        <v>Paper, pulp and primary wood products</v>
      </c>
      <c r="E205" s="31">
        <f>IFERROR(__xludf.DUMMYFUNCTION("""COMPUTED_VALUE"""),0.094760435)</f>
        <v>0.094760435</v>
      </c>
    </row>
    <row r="206">
      <c r="A206" s="31" t="str">
        <f>IFERROR(__xludf.DUMMYFUNCTION("""COMPUTED_VALUE"""),"WIEN ENERGIE GmbH")</f>
        <v>WIEN ENERGIE GmbH</v>
      </c>
      <c r="B206" s="31">
        <f>IFERROR(__xludf.DUMMYFUNCTION("""COMPUTED_VALUE"""),48.206944)</f>
        <v>48.206944</v>
      </c>
      <c r="C206" s="31">
        <f>IFERROR(__xludf.DUMMYFUNCTION("""COMPUTED_VALUE"""),16.289472)</f>
        <v>16.289472</v>
      </c>
      <c r="D206" s="31" t="str">
        <f>IFERROR(__xludf.DUMMYFUNCTION("""COMPUTED_VALUE"""),"Waste management")</f>
        <v>Waste management</v>
      </c>
      <c r="E206" s="31">
        <f>IFERROR(__xludf.DUMMYFUNCTION("""COMPUTED_VALUE"""),0.0946)</f>
        <v>0.0946</v>
      </c>
    </row>
    <row r="207">
      <c r="A207" s="31" t="str">
        <f>IFERROR(__xludf.DUMMYFUNCTION("""COMPUTED_VALUE"""),"SUEZ RV ENERGIE")</f>
        <v>SUEZ RV ENERGIE</v>
      </c>
      <c r="B207" s="31">
        <f>IFERROR(__xludf.DUMMYFUNCTION("""COMPUTED_VALUE"""),43.9725)</f>
        <v>43.9725</v>
      </c>
      <c r="C207" s="31">
        <f>IFERROR(__xludf.DUMMYFUNCTION("""COMPUTED_VALUE"""),4.89285)</f>
        <v>4.89285</v>
      </c>
      <c r="D207" s="31" t="str">
        <f>IFERROR(__xludf.DUMMYFUNCTION("""COMPUTED_VALUE"""),"Waste management")</f>
        <v>Waste management</v>
      </c>
      <c r="E207" s="31">
        <f>IFERROR(__xludf.DUMMYFUNCTION("""COMPUTED_VALUE"""),0.0924)</f>
        <v>0.0924</v>
      </c>
    </row>
    <row r="208">
      <c r="A208" s="31" t="str">
        <f>IFERROR(__xludf.DUMMYFUNCTION("""COMPUTED_VALUE"""),"Thermische Abfallbehandlung Lauta GmbH &amp; Co. oHG")</f>
        <v>Thermische Abfallbehandlung Lauta GmbH &amp; Co. oHG</v>
      </c>
      <c r="B208" s="31">
        <f>IFERROR(__xludf.DUMMYFUNCTION("""COMPUTED_VALUE"""),51.4504368722986)</f>
        <v>51.45043687</v>
      </c>
      <c r="C208" s="31">
        <f>IFERROR(__xludf.DUMMYFUNCTION("""COMPUTED_VALUE"""),14.1120978412546)</f>
        <v>14.11209784</v>
      </c>
      <c r="D208" s="31" t="str">
        <f>IFERROR(__xludf.DUMMYFUNCTION("""COMPUTED_VALUE"""),"Waste management")</f>
        <v>Waste management</v>
      </c>
      <c r="E208" s="31">
        <f>IFERROR(__xludf.DUMMYFUNCTION("""COMPUTED_VALUE"""),0.0915)</f>
        <v>0.0915</v>
      </c>
    </row>
    <row r="209">
      <c r="A209" s="31" t="str">
        <f>IFERROR(__xludf.DUMMYFUNCTION("""COMPUTED_VALUE"""),"Fritz EGGER GmbH &amp; Co. OG")</f>
        <v>Fritz EGGER GmbH &amp; Co. OG</v>
      </c>
      <c r="B209" s="31">
        <f>IFERROR(__xludf.DUMMYFUNCTION("""COMPUTED_VALUE"""),48.259556)</f>
        <v>48.259556</v>
      </c>
      <c r="C209" s="31">
        <f>IFERROR(__xludf.DUMMYFUNCTION("""COMPUTED_VALUE"""),15.691833)</f>
        <v>15.691833</v>
      </c>
      <c r="D209" s="31" t="str">
        <f>IFERROR(__xludf.DUMMYFUNCTION("""COMPUTED_VALUE"""),"Paper, pulp and primary wood products")</f>
        <v>Paper, pulp and primary wood products</v>
      </c>
      <c r="E209" s="31">
        <f>IFERROR(__xludf.DUMMYFUNCTION("""COMPUTED_VALUE"""),0.090433474)</f>
        <v>0.090433474</v>
      </c>
    </row>
    <row r="210">
      <c r="A210" s="31" t="str">
        <f>IFERROR(__xludf.DUMMYFUNCTION("""COMPUTED_VALUE"""),"VPK Paper")</f>
        <v>VPK Paper</v>
      </c>
      <c r="B210" s="31">
        <f>IFERROR(__xludf.DUMMYFUNCTION("""COMPUTED_VALUE"""),51.01564)</f>
        <v>51.01564</v>
      </c>
      <c r="C210" s="31">
        <f>IFERROR(__xludf.DUMMYFUNCTION("""COMPUTED_VALUE"""),4.06802)</f>
        <v>4.06802</v>
      </c>
      <c r="D210" s="31" t="str">
        <f>IFERROR(__xludf.DUMMYFUNCTION("""COMPUTED_VALUE"""),"Paper, pulp and primary wood products")</f>
        <v>Paper, pulp and primary wood products</v>
      </c>
      <c r="E210" s="31">
        <f>IFERROR(__xludf.DUMMYFUNCTION("""COMPUTED_VALUE"""),0.090000778)</f>
        <v>0.090000778</v>
      </c>
    </row>
    <row r="211">
      <c r="A211" s="31" t="str">
        <f>IFERROR(__xludf.DUMMYFUNCTION("""COMPUTED_VALUE"""),"ECONOTRE")</f>
        <v>ECONOTRE</v>
      </c>
      <c r="B211" s="31">
        <f>IFERROR(__xludf.DUMMYFUNCTION("""COMPUTED_VALUE"""),43.8008)</f>
        <v>43.8008</v>
      </c>
      <c r="C211" s="31">
        <f>IFERROR(__xludf.DUMMYFUNCTION("""COMPUTED_VALUE"""),1.59807)</f>
        <v>1.59807</v>
      </c>
      <c r="D211" s="31" t="str">
        <f>IFERROR(__xludf.DUMMYFUNCTION("""COMPUTED_VALUE"""),"Waste management")</f>
        <v>Waste management</v>
      </c>
      <c r="E211" s="31">
        <f>IFERROR(__xludf.DUMMYFUNCTION("""COMPUTED_VALUE"""),0.088)</f>
        <v>0.088</v>
      </c>
    </row>
    <row r="212">
      <c r="A212" s="31" t="str">
        <f>IFERROR(__xludf.DUMMYFUNCTION("""COMPUTED_VALUE"""),"MYTILINEOS S.A.  / METALLURGY BUSINESS UNIT PLAN-ALOUMINIUM OF GREECE")</f>
        <v>MYTILINEOS S.A.  / METALLURGY BUSINESS UNIT PLAN-ALOUMINIUM OF GREECE</v>
      </c>
      <c r="B212" s="31">
        <f>IFERROR(__xludf.DUMMYFUNCTION("""COMPUTED_VALUE"""),38.36083)</f>
        <v>38.36083</v>
      </c>
      <c r="C212" s="31">
        <f>IFERROR(__xludf.DUMMYFUNCTION("""COMPUTED_VALUE"""),22.69167)</f>
        <v>22.69167</v>
      </c>
      <c r="D212" s="31" t="str">
        <f>IFERROR(__xludf.DUMMYFUNCTION("""COMPUTED_VALUE"""),"Other")</f>
        <v>Other</v>
      </c>
      <c r="E212" s="31">
        <f>IFERROR(__xludf.DUMMYFUNCTION("""COMPUTED_VALUE"""),0.087240296)</f>
        <v>0.087240296</v>
      </c>
    </row>
    <row r="213">
      <c r="A213" s="31" t="str">
        <f>IFERROR(__xludf.DUMMYFUNCTION("""COMPUTED_VALUE"""),"GEKAL Buchs")</f>
        <v>GEKAL Buchs</v>
      </c>
      <c r="B213" s="31">
        <f>IFERROR(__xludf.DUMMYFUNCTION("""COMPUTED_VALUE"""),47.389)</f>
        <v>47.389</v>
      </c>
      <c r="C213" s="31">
        <f>IFERROR(__xludf.DUMMYFUNCTION("""COMPUTED_VALUE"""),8.1035)</f>
        <v>8.1035</v>
      </c>
      <c r="D213" s="31" t="str">
        <f>IFERROR(__xludf.DUMMYFUNCTION("""COMPUTED_VALUE"""),"Waste management")</f>
        <v>Waste management</v>
      </c>
      <c r="E213" s="31">
        <f>IFERROR(__xludf.DUMMYFUNCTION("""COMPUTED_VALUE"""),0.0869)</f>
        <v>0.0869</v>
      </c>
    </row>
    <row r="214">
      <c r="A214" s="31" t="str">
        <f>IFERROR(__xludf.DUMMYFUNCTION("""COMPUTED_VALUE"""),"Zakład Unieszkodliwiania Odpadów Sp. z o.o.")</f>
        <v>Zakład Unieszkodliwiania Odpadów Sp. z o.o.</v>
      </c>
      <c r="B214" s="31">
        <f>IFERROR(__xludf.DUMMYFUNCTION("""COMPUTED_VALUE"""),53.427043)</f>
        <v>53.427043</v>
      </c>
      <c r="C214" s="31">
        <f>IFERROR(__xludf.DUMMYFUNCTION("""COMPUTED_VALUE"""),14.593734)</f>
        <v>14.593734</v>
      </c>
      <c r="D214" s="31" t="str">
        <f>IFERROR(__xludf.DUMMYFUNCTION("""COMPUTED_VALUE"""),"Waste management")</f>
        <v>Waste management</v>
      </c>
      <c r="E214" s="31">
        <f>IFERROR(__xludf.DUMMYFUNCTION("""COMPUTED_VALUE"""),0.08635)</f>
        <v>0.08635</v>
      </c>
    </row>
    <row r="215">
      <c r="A215" s="31" t="str">
        <f>IFERROR(__xludf.DUMMYFUNCTION("""COMPUTED_VALUE"""),"Müllheizkraftwerk Kempten")</f>
        <v>Müllheizkraftwerk Kempten</v>
      </c>
      <c r="B215" s="31">
        <f>IFERROR(__xludf.DUMMYFUNCTION("""COMPUTED_VALUE"""),47.7588540291392)</f>
        <v>47.75885403</v>
      </c>
      <c r="C215" s="31">
        <f>IFERROR(__xludf.DUMMYFUNCTION("""COMPUTED_VALUE"""),10.3191428848763)</f>
        <v>10.31914288</v>
      </c>
      <c r="D215" s="31" t="str">
        <f>IFERROR(__xludf.DUMMYFUNCTION("""COMPUTED_VALUE"""),"Waste management")</f>
        <v>Waste management</v>
      </c>
      <c r="E215" s="31">
        <f>IFERROR(__xludf.DUMMYFUNCTION("""COMPUTED_VALUE"""),0.0857)</f>
        <v>0.0857</v>
      </c>
    </row>
    <row r="216">
      <c r="A216" s="31" t="str">
        <f>IFERROR(__xludf.DUMMYFUNCTION("""COMPUTED_VALUE"""),"Lafarge Cement, a.s.")</f>
        <v>Lafarge Cement, a.s.</v>
      </c>
      <c r="B216" s="31">
        <f>IFERROR(__xludf.DUMMYFUNCTION("""COMPUTED_VALUE"""),50.48952639)</f>
        <v>50.48952639</v>
      </c>
      <c r="C216" s="31">
        <f>IFERROR(__xludf.DUMMYFUNCTION("""COMPUTED_VALUE"""),14.04509457)</f>
        <v>14.04509457</v>
      </c>
      <c r="D216" s="31" t="str">
        <f>IFERROR(__xludf.DUMMYFUNCTION("""COMPUTED_VALUE"""),"Other")</f>
        <v>Other</v>
      </c>
      <c r="E216" s="31">
        <f>IFERROR(__xludf.DUMMYFUNCTION("""COMPUTED_VALUE"""),0.085313)</f>
        <v>0.085313</v>
      </c>
    </row>
    <row r="217">
      <c r="A217" s="31" t="str">
        <f>IFERROR(__xludf.DUMMYFUNCTION("""COMPUTED_VALUE"""),"Borregaard AS, avd. spesialcellulose")</f>
        <v>Borregaard AS, avd. spesialcellulose</v>
      </c>
      <c r="B217" s="31">
        <f>IFERROR(__xludf.DUMMYFUNCTION("""COMPUTED_VALUE"""),59.2729225)</f>
        <v>59.2729225</v>
      </c>
      <c r="C217" s="31">
        <f>IFERROR(__xludf.DUMMYFUNCTION("""COMPUTED_VALUE"""),11.1162872)</f>
        <v>11.1162872</v>
      </c>
      <c r="D217" s="31" t="str">
        <f>IFERROR(__xludf.DUMMYFUNCTION("""COMPUTED_VALUE"""),"Paper, pulp and primary wood products")</f>
        <v>Paper, pulp and primary wood products</v>
      </c>
      <c r="E217" s="31">
        <f>IFERROR(__xludf.DUMMYFUNCTION("""COMPUTED_VALUE"""),0.0852)</f>
        <v>0.0852</v>
      </c>
    </row>
    <row r="218">
      <c r="A218" s="31" t="str">
        <f>IFERROR(__xludf.DUMMYFUNCTION("""COMPUTED_VALUE"""),"Termovalorizzatore rifiuti residui di Bolzano")</f>
        <v>Termovalorizzatore rifiuti residui di Bolzano</v>
      </c>
      <c r="B218" s="31">
        <f>IFERROR(__xludf.DUMMYFUNCTION("""COMPUTED_VALUE"""),46.4674)</f>
        <v>46.4674</v>
      </c>
      <c r="C218" s="31">
        <f>IFERROR(__xludf.DUMMYFUNCTION("""COMPUTED_VALUE"""),11.3079)</f>
        <v>11.3079</v>
      </c>
      <c r="D218" s="31" t="str">
        <f>IFERROR(__xludf.DUMMYFUNCTION("""COMPUTED_VALUE"""),"Waste management")</f>
        <v>Waste management</v>
      </c>
      <c r="E218" s="31">
        <f>IFERROR(__xludf.DUMMYFUNCTION("""COMPUTED_VALUE"""),0.0831776)</f>
        <v>0.0831776</v>
      </c>
    </row>
    <row r="219">
      <c r="A219" s="31" t="str">
        <f>IFERROR(__xludf.DUMMYFUNCTION("""COMPUTED_VALUE"""),"IHKW Industrieheizkraftwerk Andernach Gm bH")</f>
        <v>IHKW Industrieheizkraftwerk Andernach Gm bH</v>
      </c>
      <c r="B219" s="31">
        <f>IFERROR(__xludf.DUMMYFUNCTION("""COMPUTED_VALUE"""),50.4320179048255)</f>
        <v>50.4320179</v>
      </c>
      <c r="C219" s="31">
        <f>IFERROR(__xludf.DUMMYFUNCTION("""COMPUTED_VALUE"""),7.40816324758141)</f>
        <v>7.408163248</v>
      </c>
      <c r="D219" s="31" t="str">
        <f>IFERROR(__xludf.DUMMYFUNCTION("""COMPUTED_VALUE"""),"Waste management")</f>
        <v>Waste management</v>
      </c>
      <c r="E219" s="31">
        <f>IFERROR(__xludf.DUMMYFUNCTION("""COMPUTED_VALUE"""),0.083)</f>
        <v>0.083</v>
      </c>
    </row>
    <row r="220">
      <c r="A220" s="31" t="str">
        <f>IFERROR(__xludf.DUMMYFUNCTION("""COMPUTED_VALUE"""),"FCC Zistersdorf Abfall Service GmbH")</f>
        <v>FCC Zistersdorf Abfall Service GmbH</v>
      </c>
      <c r="B220" s="31">
        <f>IFERROR(__xludf.DUMMYFUNCTION("""COMPUTED_VALUE"""),48.548083)</f>
        <v>48.548083</v>
      </c>
      <c r="C220" s="31">
        <f>IFERROR(__xludf.DUMMYFUNCTION("""COMPUTED_VALUE"""),16.783472)</f>
        <v>16.783472</v>
      </c>
      <c r="D220" s="31" t="str">
        <f>IFERROR(__xludf.DUMMYFUNCTION("""COMPUTED_VALUE"""),"Waste management")</f>
        <v>Waste management</v>
      </c>
      <c r="E220" s="31">
        <f>IFERROR(__xludf.DUMMYFUNCTION("""COMPUTED_VALUE"""),0.08195)</f>
        <v>0.08195</v>
      </c>
    </row>
    <row r="221">
      <c r="A221" s="31" t="str">
        <f>IFERROR(__xludf.DUMMYFUNCTION("""COMPUTED_VALUE"""),"Kristinehedsverket")</f>
        <v>Kristinehedsverket</v>
      </c>
      <c r="B221" s="31">
        <f>IFERROR(__xludf.DUMMYFUNCTION("""COMPUTED_VALUE"""),56.69214)</f>
        <v>56.69214</v>
      </c>
      <c r="C221" s="31">
        <f>IFERROR(__xludf.DUMMYFUNCTION("""COMPUTED_VALUE"""),12.90604)</f>
        <v>12.90604</v>
      </c>
      <c r="D221" s="31" t="str">
        <f>IFERROR(__xludf.DUMMYFUNCTION("""COMPUTED_VALUE"""),"Waste management")</f>
        <v>Waste management</v>
      </c>
      <c r="E221" s="31">
        <f>IFERROR(__xludf.DUMMYFUNCTION("""COMPUTED_VALUE"""),0.0819)</f>
        <v>0.0819</v>
      </c>
    </row>
    <row r="222">
      <c r="A222" s="31" t="str">
        <f>IFERROR(__xludf.DUMMYFUNCTION("""COMPUTED_VALUE"""),"ACEA AMBIENTE Srl UL1_Impianto di Termovalorizzazione")</f>
        <v>ACEA AMBIENTE Srl UL1_Impianto di Termovalorizzazione</v>
      </c>
      <c r="B222" s="31">
        <f>IFERROR(__xludf.DUMMYFUNCTION("""COMPUTED_VALUE"""),42.5806)</f>
        <v>42.5806</v>
      </c>
      <c r="C222" s="31">
        <f>IFERROR(__xludf.DUMMYFUNCTION("""COMPUTED_VALUE"""),12.6615)</f>
        <v>12.6615</v>
      </c>
      <c r="D222" s="31" t="str">
        <f>IFERROR(__xludf.DUMMYFUNCTION("""COMPUTED_VALUE"""),"Waste management")</f>
        <v>Waste management</v>
      </c>
      <c r="E222" s="31">
        <f>IFERROR(__xludf.DUMMYFUNCTION("""COMPUTED_VALUE"""),0.080694994)</f>
        <v>0.080694994</v>
      </c>
    </row>
    <row r="223">
      <c r="A223" s="31" t="str">
        <f>IFERROR(__xludf.DUMMYFUNCTION("""COMPUTED_VALUE"""),"Impianto di Termovalorizzazione Rifiuti di Trieste - via Errera 11")</f>
        <v>Impianto di Termovalorizzazione Rifiuti di Trieste - via Errera 11</v>
      </c>
      <c r="B223" s="31">
        <f>IFERROR(__xludf.DUMMYFUNCTION("""COMPUTED_VALUE"""),45.6111)</f>
        <v>45.6111</v>
      </c>
      <c r="C223" s="31">
        <f>IFERROR(__xludf.DUMMYFUNCTION("""COMPUTED_VALUE"""),13.7994)</f>
        <v>13.7994</v>
      </c>
      <c r="D223" s="31" t="str">
        <f>IFERROR(__xludf.DUMMYFUNCTION("""COMPUTED_VALUE"""),"Waste management")</f>
        <v>Waste management</v>
      </c>
      <c r="E223" s="31">
        <f>IFERROR(__xludf.DUMMYFUNCTION("""COMPUTED_VALUE"""),0.079760542)</f>
        <v>0.079760542</v>
      </c>
    </row>
    <row r="224">
      <c r="A224" s="31" t="str">
        <f>IFERROR(__xludf.DUMMYFUNCTION("""COMPUTED_VALUE"""),"SITOM NORD-ISERE (NOUVELLE UNITE)")</f>
        <v>SITOM NORD-ISERE (NOUVELLE UNITE)</v>
      </c>
      <c r="B224" s="31">
        <f>IFERROR(__xludf.DUMMYFUNCTION("""COMPUTED_VALUE"""),45.59719)</f>
        <v>45.59719</v>
      </c>
      <c r="C224" s="31">
        <f>IFERROR(__xludf.DUMMYFUNCTION("""COMPUTED_VALUE"""),5.2573)</f>
        <v>5.2573</v>
      </c>
      <c r="D224" s="31" t="str">
        <f>IFERROR(__xludf.DUMMYFUNCTION("""COMPUTED_VALUE"""),"Waste management")</f>
        <v>Waste management</v>
      </c>
      <c r="E224" s="31">
        <f>IFERROR(__xludf.DUMMYFUNCTION("""COMPUTED_VALUE"""),0.0792)</f>
        <v>0.0792</v>
      </c>
    </row>
    <row r="225">
      <c r="A225" s="31" t="str">
        <f>IFERROR(__xludf.DUMMYFUNCTION("""COMPUTED_VALUE"""),"ROQUETTE FRÈRES")</f>
        <v>ROQUETTE FRÈRES</v>
      </c>
      <c r="B225" s="31">
        <f>IFERROR(__xludf.DUMMYFUNCTION("""COMPUTED_VALUE"""),50.63272)</f>
        <v>50.63272</v>
      </c>
      <c r="C225" s="31">
        <f>IFERROR(__xludf.DUMMYFUNCTION("""COMPUTED_VALUE"""),2.68152)</f>
        <v>2.68152</v>
      </c>
      <c r="D225" s="31" t="str">
        <f>IFERROR(__xludf.DUMMYFUNCTION("""COMPUTED_VALUE"""),"Other")</f>
        <v>Other</v>
      </c>
      <c r="E225" s="31">
        <f>IFERROR(__xludf.DUMMYFUNCTION("""COMPUTED_VALUE"""),0.077449238)</f>
        <v>0.077449238</v>
      </c>
    </row>
    <row r="226">
      <c r="A226" s="31" t="str">
        <f>IFERROR(__xludf.DUMMYFUNCTION("""COMPUTED_VALUE"""),"CEMEX Czech Republic, s.r.o.")</f>
        <v>CEMEX Czech Republic, s.r.o.</v>
      </c>
      <c r="B226" s="31">
        <f>IFERROR(__xludf.DUMMYFUNCTION("""COMPUTED_VALUE"""),49.89545861)</f>
        <v>49.89545861</v>
      </c>
      <c r="C226" s="31">
        <f>IFERROR(__xludf.DUMMYFUNCTION("""COMPUTED_VALUE"""),15.64044044)</f>
        <v>15.64044044</v>
      </c>
      <c r="D226" s="31" t="str">
        <f>IFERROR(__xludf.DUMMYFUNCTION("""COMPUTED_VALUE"""),"Other")</f>
        <v>Other</v>
      </c>
      <c r="E226" s="31">
        <f>IFERROR(__xludf.DUMMYFUNCTION("""COMPUTED_VALUE"""),0.076763)</f>
        <v>0.076763</v>
      </c>
    </row>
    <row r="227">
      <c r="A227" s="31" t="str">
        <f>IFERROR(__xludf.DUMMYFUNCTION("""COMPUTED_VALUE"""),"HERAMBIENTE - 3^ LINEA")</f>
        <v>HERAMBIENTE - 3^ LINEA</v>
      </c>
      <c r="B227" s="31">
        <f>IFERROR(__xludf.DUMMYFUNCTION("""COMPUTED_VALUE"""),44.2331)</f>
        <v>44.2331</v>
      </c>
      <c r="C227" s="31">
        <f>IFERROR(__xludf.DUMMYFUNCTION("""COMPUTED_VALUE"""),12.0883)</f>
        <v>12.0883</v>
      </c>
      <c r="D227" s="31" t="str">
        <f>IFERROR(__xludf.DUMMYFUNCTION("""COMPUTED_VALUE"""),"Waste management")</f>
        <v>Waste management</v>
      </c>
      <c r="E227" s="31">
        <f>IFERROR(__xludf.DUMMYFUNCTION("""COMPUTED_VALUE"""),0.076600426)</f>
        <v>0.076600426</v>
      </c>
    </row>
    <row r="228">
      <c r="A228" s="31" t="str">
        <f>IFERROR(__xludf.DUMMYFUNCTION("""COMPUTED_VALUE"""),"W. Hamburger GmbH")</f>
        <v>W. Hamburger GmbH</v>
      </c>
      <c r="B228" s="31">
        <f>IFERROR(__xludf.DUMMYFUNCTION("""COMPUTED_VALUE"""),47.707278)</f>
        <v>47.707278</v>
      </c>
      <c r="C228" s="31">
        <f>IFERROR(__xludf.DUMMYFUNCTION("""COMPUTED_VALUE"""),16.175639)</f>
        <v>16.175639</v>
      </c>
      <c r="D228" s="31" t="str">
        <f>IFERROR(__xludf.DUMMYFUNCTION("""COMPUTED_VALUE"""),"Paper, pulp and primary wood products")</f>
        <v>Paper, pulp and primary wood products</v>
      </c>
      <c r="E228" s="31">
        <f>IFERROR(__xludf.DUMMYFUNCTION("""COMPUTED_VALUE"""),0.076587201)</f>
        <v>0.076587201</v>
      </c>
    </row>
    <row r="229">
      <c r="A229" s="31" t="str">
        <f>IFERROR(__xludf.DUMMYFUNCTION("""COMPUTED_VALUE"""),"Lidköpings Värmeverk, Filen")</f>
        <v>Lidköpings Värmeverk, Filen</v>
      </c>
      <c r="B229" s="31">
        <f>IFERROR(__xludf.DUMMYFUNCTION("""COMPUTED_VALUE"""),58.50765)</f>
        <v>58.50765</v>
      </c>
      <c r="C229" s="31">
        <f>IFERROR(__xludf.DUMMYFUNCTION("""COMPUTED_VALUE"""),13.17413)</f>
        <v>13.17413</v>
      </c>
      <c r="D229" s="31" t="str">
        <f>IFERROR(__xludf.DUMMYFUNCTION("""COMPUTED_VALUE"""),"Waste management")</f>
        <v>Waste management</v>
      </c>
      <c r="E229" s="31">
        <f>IFERROR(__xludf.DUMMYFUNCTION("""COMPUTED_VALUE"""),0.0755)</f>
        <v>0.0755</v>
      </c>
    </row>
    <row r="230">
      <c r="A230" s="31" t="str">
        <f>IFERROR(__xludf.DUMMYFUNCTION("""COMPUTED_VALUE"""),"SOTRAVAL-SPL")</f>
        <v>SOTRAVAL-SPL</v>
      </c>
      <c r="B230" s="31">
        <f>IFERROR(__xludf.DUMMYFUNCTION("""COMPUTED_VALUE"""),48.41281)</f>
        <v>48.41281</v>
      </c>
      <c r="C230" s="31">
        <f>IFERROR(__xludf.DUMMYFUNCTION("""COMPUTED_VALUE"""),-4.50856)</f>
        <v>-4.50856</v>
      </c>
      <c r="D230" s="31" t="str">
        <f>IFERROR(__xludf.DUMMYFUNCTION("""COMPUTED_VALUE"""),"Waste management")</f>
        <v>Waste management</v>
      </c>
      <c r="E230" s="31">
        <f>IFERROR(__xludf.DUMMYFUNCTION("""COMPUTED_VALUE"""),0.07535)</f>
        <v>0.07535</v>
      </c>
    </row>
    <row r="231">
      <c r="A231" s="31" t="str">
        <f>IFERROR(__xludf.DUMMYFUNCTION("""COMPUTED_VALUE"""),"CEMENTOWNIA ""WARTA"" SPÓŁKA AKCYJNA")</f>
        <v>CEMENTOWNIA "WARTA" SPÓŁKA AKCYJNA</v>
      </c>
      <c r="B231" s="31">
        <f>IFERROR(__xludf.DUMMYFUNCTION("""COMPUTED_VALUE"""),51.10305405)</f>
        <v>51.10305405</v>
      </c>
      <c r="C231" s="31">
        <f>IFERROR(__xludf.DUMMYFUNCTION("""COMPUTED_VALUE"""),18.92638779)</f>
        <v>18.92638779</v>
      </c>
      <c r="D231" s="31" t="str">
        <f>IFERROR(__xludf.DUMMYFUNCTION("""COMPUTED_VALUE"""),"Other")</f>
        <v>Other</v>
      </c>
      <c r="E231" s="31">
        <f>IFERROR(__xludf.DUMMYFUNCTION("""COMPUTED_VALUE"""),0.075137346)</f>
        <v>0.075137346</v>
      </c>
    </row>
    <row r="232">
      <c r="A232" s="31" t="str">
        <f>IFERROR(__xludf.DUMMYFUNCTION("""COMPUTED_VALUE"""),"GRENOBLE-ALPES METROPOLE")</f>
        <v>GRENOBLE-ALPES METROPOLE</v>
      </c>
      <c r="B232" s="31">
        <f>IFERROR(__xludf.DUMMYFUNCTION("""COMPUTED_VALUE"""),45.19794)</f>
        <v>45.19794</v>
      </c>
      <c r="C232" s="31">
        <f>IFERROR(__xludf.DUMMYFUNCTION("""COMPUTED_VALUE"""),5.75885)</f>
        <v>5.75885</v>
      </c>
      <c r="D232" s="31" t="str">
        <f>IFERROR(__xludf.DUMMYFUNCTION("""COMPUTED_VALUE"""),"Waste management")</f>
        <v>Waste management</v>
      </c>
      <c r="E232" s="31">
        <f>IFERROR(__xludf.DUMMYFUNCTION("""COMPUTED_VALUE"""),0.07425)</f>
        <v>0.07425</v>
      </c>
    </row>
    <row r="233">
      <c r="A233" s="31" t="str">
        <f>IFERROR(__xludf.DUMMYFUNCTION("""COMPUTED_VALUE"""),"Elkem Bremanger")</f>
        <v>Elkem Bremanger</v>
      </c>
      <c r="B233" s="31">
        <f>IFERROR(__xludf.DUMMYFUNCTION("""COMPUTED_VALUE"""),61.77319)</f>
        <v>61.77319</v>
      </c>
      <c r="C233" s="31">
        <f>IFERROR(__xludf.DUMMYFUNCTION("""COMPUTED_VALUE"""),5.29649)</f>
        <v>5.29649</v>
      </c>
      <c r="D233" s="31" t="str">
        <f>IFERROR(__xludf.DUMMYFUNCTION("""COMPUTED_VALUE"""),"Other")</f>
        <v>Other</v>
      </c>
      <c r="E233" s="31">
        <f>IFERROR(__xludf.DUMMYFUNCTION("""COMPUTED_VALUE"""),0.074)</f>
        <v>0.074</v>
      </c>
    </row>
    <row r="234">
      <c r="A234" s="31" t="str">
        <f>IFERROR(__xludf.DUMMYFUNCTION("""COMPUTED_VALUE"""),"NEOVALY")</f>
        <v>NEOVALY</v>
      </c>
      <c r="B234" s="31">
        <f>IFERROR(__xludf.DUMMYFUNCTION("""COMPUTED_VALUE"""),45.8224)</f>
        <v>45.8224</v>
      </c>
      <c r="C234" s="31">
        <f>IFERROR(__xludf.DUMMYFUNCTION("""COMPUTED_VALUE"""),4.91605)</f>
        <v>4.91605</v>
      </c>
      <c r="D234" s="31" t="str">
        <f>IFERROR(__xludf.DUMMYFUNCTION("""COMPUTED_VALUE"""),"Waste management")</f>
        <v>Waste management</v>
      </c>
      <c r="E234" s="31">
        <f>IFERROR(__xludf.DUMMYFUNCTION("""COMPUTED_VALUE"""),0.0737)</f>
        <v>0.0737</v>
      </c>
    </row>
    <row r="235">
      <c r="A235" s="31" t="str">
        <f>IFERROR(__xludf.DUMMYFUNCTION("""COMPUTED_VALUE"""),"KVA Turgi")</f>
        <v>KVA Turgi</v>
      </c>
      <c r="B235" s="31">
        <f>IFERROR(__xludf.DUMMYFUNCTION("""COMPUTED_VALUE"""),47.4844)</f>
        <v>47.4844</v>
      </c>
      <c r="C235" s="31">
        <f>IFERROR(__xludf.DUMMYFUNCTION("""COMPUTED_VALUE"""),8.2678)</f>
        <v>8.2678</v>
      </c>
      <c r="D235" s="31" t="str">
        <f>IFERROR(__xludf.DUMMYFUNCTION("""COMPUTED_VALUE"""),"Waste management")</f>
        <v>Waste management</v>
      </c>
      <c r="E235" s="31">
        <f>IFERROR(__xludf.DUMMYFUNCTION("""COMPUTED_VALUE"""),0.0737)</f>
        <v>0.0737</v>
      </c>
    </row>
    <row r="236">
      <c r="A236" s="31" t="str">
        <f>IFERROR(__xludf.DUMMYFUNCTION("""COMPUTED_VALUE"""),"HERAMBIENTE s.p.a (inceneritore)")</f>
        <v>HERAMBIENTE s.p.a (inceneritore)</v>
      </c>
      <c r="B236" s="31">
        <f>IFERROR(__xludf.DUMMYFUNCTION("""COMPUTED_VALUE"""),43.9793)</f>
        <v>43.9793</v>
      </c>
      <c r="C236" s="31">
        <f>IFERROR(__xludf.DUMMYFUNCTION("""COMPUTED_VALUE"""),12.6345)</f>
        <v>12.6345</v>
      </c>
      <c r="D236" s="31" t="str">
        <f>IFERROR(__xludf.DUMMYFUNCTION("""COMPUTED_VALUE"""),"Waste management")</f>
        <v>Waste management</v>
      </c>
      <c r="E236" s="31">
        <f>IFERROR(__xludf.DUMMYFUNCTION("""COMPUTED_VALUE"""),0.07347044)</f>
        <v>0.07347044</v>
      </c>
    </row>
    <row r="237">
      <c r="A237" s="31" t="str">
        <f>IFERROR(__xludf.DUMMYFUNCTION("""COMPUTED_VALUE"""),"HERAMBIENTE Spa -Termovalorizzatore")</f>
        <v>HERAMBIENTE Spa -Termovalorizzatore</v>
      </c>
      <c r="B237" s="31">
        <f>IFERROR(__xludf.DUMMYFUNCTION("""COMPUTED_VALUE"""),44.8605)</f>
        <v>44.8605</v>
      </c>
      <c r="C237" s="31">
        <f>IFERROR(__xludf.DUMMYFUNCTION("""COMPUTED_VALUE"""),11.5535)</f>
        <v>11.5535</v>
      </c>
      <c r="D237" s="31" t="str">
        <f>IFERROR(__xludf.DUMMYFUNCTION("""COMPUTED_VALUE"""),"Waste management")</f>
        <v>Waste management</v>
      </c>
      <c r="E237" s="31">
        <f>IFERROR(__xludf.DUMMYFUNCTION("""COMPUTED_VALUE"""),0.0734547)</f>
        <v>0.0734547</v>
      </c>
    </row>
    <row r="238">
      <c r="A238" s="31" t="str">
        <f>IFERROR(__xludf.DUMMYFUNCTION("""COMPUTED_VALUE"""),"SALONIT ANHOVO gradbeni materiali")</f>
        <v>SALONIT ANHOVO gradbeni materiali</v>
      </c>
      <c r="B238" s="31">
        <f>IFERROR(__xludf.DUMMYFUNCTION("""COMPUTED_VALUE"""),46.06865)</f>
        <v>46.06865</v>
      </c>
      <c r="C238" s="31">
        <f>IFERROR(__xludf.DUMMYFUNCTION("""COMPUTED_VALUE"""),13.628036)</f>
        <v>13.628036</v>
      </c>
      <c r="D238" s="31" t="str">
        <f>IFERROR(__xludf.DUMMYFUNCTION("""COMPUTED_VALUE"""),"Other")</f>
        <v>Other</v>
      </c>
      <c r="E238" s="31">
        <f>IFERROR(__xludf.DUMMYFUNCTION("""COMPUTED_VALUE"""),0.072705278)</f>
        <v>0.072705278</v>
      </c>
    </row>
    <row r="239">
      <c r="A239" s="31" t="str">
        <f>IFERROR(__xludf.DUMMYFUNCTION("""COMPUTED_VALUE"""),"MHKW Coburg")</f>
        <v>MHKW Coburg</v>
      </c>
      <c r="B239" s="31">
        <f>IFERROR(__xludf.DUMMYFUNCTION("""COMPUTED_VALUE"""),50.2852881381061)</f>
        <v>50.28528814</v>
      </c>
      <c r="C239" s="31">
        <f>IFERROR(__xludf.DUMMYFUNCTION("""COMPUTED_VALUE"""),10.954882757162)</f>
        <v>10.95488276</v>
      </c>
      <c r="D239" s="31" t="str">
        <f>IFERROR(__xludf.DUMMYFUNCTION("""COMPUTED_VALUE"""),"Waste management")</f>
        <v>Waste management</v>
      </c>
      <c r="E239" s="31">
        <f>IFERROR(__xludf.DUMMYFUNCTION("""COMPUTED_VALUE"""),0.0725)</f>
        <v>0.0725</v>
      </c>
    </row>
    <row r="240">
      <c r="A240" s="31" t="str">
        <f>IFERROR(__xludf.DUMMYFUNCTION("""COMPUTED_VALUE"""),"Impianto di termovalorizzazione di Valmadrera")</f>
        <v>Impianto di termovalorizzazione di Valmadrera</v>
      </c>
      <c r="B240" s="31">
        <f>IFERROR(__xludf.DUMMYFUNCTION("""COMPUTED_VALUE"""),45.8378)</f>
        <v>45.8378</v>
      </c>
      <c r="C240" s="31">
        <f>IFERROR(__xludf.DUMMYFUNCTION("""COMPUTED_VALUE"""),9.3583)</f>
        <v>9.3583</v>
      </c>
      <c r="D240" s="31" t="str">
        <f>IFERROR(__xludf.DUMMYFUNCTION("""COMPUTED_VALUE"""),"Waste management")</f>
        <v>Waste management</v>
      </c>
      <c r="E240" s="31">
        <f>IFERROR(__xludf.DUMMYFUNCTION("""COMPUTED_VALUE"""),0.071807148)</f>
        <v>0.071807148</v>
      </c>
    </row>
    <row r="241">
      <c r="A241" s="31" t="str">
        <f>IFERROR(__xludf.DUMMYFUNCTION("""COMPUTED_VALUE"""),"SIVOM AGGLO MULHOUSIENNE SAUSHEIM - UIOM")</f>
        <v>SIVOM AGGLO MULHOUSIENNE SAUSHEIM - UIOM</v>
      </c>
      <c r="B241" s="31">
        <f>IFERROR(__xludf.DUMMYFUNCTION("""COMPUTED_VALUE"""),47.7)</f>
        <v>47.7</v>
      </c>
      <c r="C241" s="31">
        <f>IFERROR(__xludf.DUMMYFUNCTION("""COMPUTED_VALUE"""),7.4)</f>
        <v>7.4</v>
      </c>
      <c r="D241" s="31" t="str">
        <f>IFERROR(__xludf.DUMMYFUNCTION("""COMPUTED_VALUE"""),"Waste management")</f>
        <v>Waste management</v>
      </c>
      <c r="E241" s="31">
        <f>IFERROR(__xludf.DUMMYFUNCTION("""COMPUTED_VALUE"""),0.0715)</f>
        <v>0.0715</v>
      </c>
    </row>
    <row r="242">
      <c r="A242" s="31" t="str">
        <f>IFERROR(__xludf.DUMMYFUNCTION("""COMPUTED_VALUE"""),"Lillesjö Avfallskraftvärmeverk")</f>
        <v>Lillesjö Avfallskraftvärmeverk</v>
      </c>
      <c r="B242" s="31">
        <f>IFERROR(__xludf.DUMMYFUNCTION("""COMPUTED_VALUE"""),58.36663)</f>
        <v>58.36663</v>
      </c>
      <c r="C242" s="31">
        <f>IFERROR(__xludf.DUMMYFUNCTION("""COMPUTED_VALUE"""),11.99541)</f>
        <v>11.99541</v>
      </c>
      <c r="D242" s="31" t="str">
        <f>IFERROR(__xludf.DUMMYFUNCTION("""COMPUTED_VALUE"""),"Waste management")</f>
        <v>Waste management</v>
      </c>
      <c r="E242" s="31">
        <f>IFERROR(__xludf.DUMMYFUNCTION("""COMPUTED_VALUE"""),0.0711)</f>
        <v>0.0711</v>
      </c>
    </row>
    <row r="243">
      <c r="A243" s="31" t="str">
        <f>IFERROR(__xludf.DUMMYFUNCTION("""COMPUTED_VALUE"""),"Haraldrud energigjenvinningsanlegg")</f>
        <v>Haraldrud energigjenvinningsanlegg</v>
      </c>
      <c r="B243" s="31">
        <f>IFERROR(__xludf.DUMMYFUNCTION("""COMPUTED_VALUE"""),59.9295425)</f>
        <v>59.9295425</v>
      </c>
      <c r="C243" s="31">
        <f>IFERROR(__xludf.DUMMYFUNCTION("""COMPUTED_VALUE"""),10.8271294)</f>
        <v>10.8271294</v>
      </c>
      <c r="D243" s="31" t="str">
        <f>IFERROR(__xludf.DUMMYFUNCTION("""COMPUTED_VALUE"""),"Waste management")</f>
        <v>Waste management</v>
      </c>
      <c r="E243" s="31">
        <f>IFERROR(__xludf.DUMMYFUNCTION("""COMPUTED_VALUE"""),0.071)</f>
        <v>0.071</v>
      </c>
    </row>
    <row r="244">
      <c r="A244" s="31" t="str">
        <f>IFERROR(__xludf.DUMMYFUNCTION("""COMPUTED_VALUE"""),"SAPPI LANAKEN")</f>
        <v>SAPPI LANAKEN</v>
      </c>
      <c r="B244" s="31">
        <f>IFERROR(__xludf.DUMMYFUNCTION("""COMPUTED_VALUE"""),50.88175)</f>
        <v>50.88175</v>
      </c>
      <c r="C244" s="31">
        <f>IFERROR(__xludf.DUMMYFUNCTION("""COMPUTED_VALUE"""),5.64152)</f>
        <v>5.64152</v>
      </c>
      <c r="D244" s="31" t="str">
        <f>IFERROR(__xludf.DUMMYFUNCTION("""COMPUTED_VALUE"""),"Paper, pulp and primary wood products")</f>
        <v>Paper, pulp and primary wood products</v>
      </c>
      <c r="E244" s="31">
        <f>IFERROR(__xludf.DUMMYFUNCTION("""COMPUTED_VALUE"""),0.070529456)</f>
        <v>0.070529456</v>
      </c>
    </row>
    <row r="245">
      <c r="A245" s="31" t="str">
        <f>IFERROR(__xludf.DUMMYFUNCTION("""COMPUTED_VALUE"""),"SAREN")</f>
        <v>SAREN</v>
      </c>
      <c r="B245" s="31">
        <f>IFERROR(__xludf.DUMMYFUNCTION("""COMPUTED_VALUE"""),48.9989)</f>
        <v>48.9989</v>
      </c>
      <c r="C245" s="31">
        <f>IFERROR(__xludf.DUMMYFUNCTION("""COMPUTED_VALUE"""),2.38725)</f>
        <v>2.38725</v>
      </c>
      <c r="D245" s="31" t="str">
        <f>IFERROR(__xludf.DUMMYFUNCTION("""COMPUTED_VALUE"""),"Waste management")</f>
        <v>Waste management</v>
      </c>
      <c r="E245" s="31">
        <f>IFERROR(__xludf.DUMMYFUNCTION("""COMPUTED_VALUE"""),0.0704)</f>
        <v>0.0704</v>
      </c>
    </row>
    <row r="246">
      <c r="A246" s="31" t="str">
        <f>IFERROR(__xludf.DUMMYFUNCTION("""COMPUTED_VALUE"""),"TERMOVALORIZZATORE CCS POZZILLI")</f>
        <v>TERMOVALORIZZATORE CCS POZZILLI</v>
      </c>
      <c r="B246" s="31">
        <f>IFERROR(__xludf.DUMMYFUNCTION("""COMPUTED_VALUE"""),41.5136)</f>
        <v>41.5136</v>
      </c>
      <c r="C246" s="31">
        <f>IFERROR(__xludf.DUMMYFUNCTION("""COMPUTED_VALUE"""),14.1103)</f>
        <v>14.1103</v>
      </c>
      <c r="D246" s="31" t="str">
        <f>IFERROR(__xludf.DUMMYFUNCTION("""COMPUTED_VALUE"""),"Waste management")</f>
        <v>Waste management</v>
      </c>
      <c r="E246" s="31">
        <f>IFERROR(__xludf.DUMMYFUNCTION("""COMPUTED_VALUE"""),0.070359901)</f>
        <v>0.070359901</v>
      </c>
    </row>
    <row r="247">
      <c r="A247" s="31" t="str">
        <f>IFERROR(__xludf.DUMMYFUNCTION("""COMPUTED_VALUE"""),"Dyckerhoff GmbH")</f>
        <v>Dyckerhoff GmbH</v>
      </c>
      <c r="B247" s="31">
        <f>IFERROR(__xludf.DUMMYFUNCTION("""COMPUTED_VALUE"""),52.1749858906752)</f>
        <v>52.17498589</v>
      </c>
      <c r="C247" s="31">
        <f>IFERROR(__xludf.DUMMYFUNCTION("""COMPUTED_VALUE"""),7.88782764054791)</f>
        <v>7.887827641</v>
      </c>
      <c r="D247" s="31" t="str">
        <f>IFERROR(__xludf.DUMMYFUNCTION("""COMPUTED_VALUE"""),"Other")</f>
        <v>Other</v>
      </c>
      <c r="E247" s="31">
        <f>IFERROR(__xludf.DUMMYFUNCTION("""COMPUTED_VALUE"""),0.07)</f>
        <v>0.07</v>
      </c>
    </row>
    <row r="248">
      <c r="A248" s="31" t="str">
        <f>IFERROR(__xludf.DUMMYFUNCTION("""COMPUTED_VALUE"""),"ZAB Bazenheid")</f>
        <v>ZAB Bazenheid</v>
      </c>
      <c r="B248" s="31">
        <f>IFERROR(__xludf.DUMMYFUNCTION("""COMPUTED_VALUE"""),47.4233)</f>
        <v>47.4233</v>
      </c>
      <c r="C248" s="31">
        <f>IFERROR(__xludf.DUMMYFUNCTION("""COMPUTED_VALUE"""),9.0686)</f>
        <v>9.0686</v>
      </c>
      <c r="D248" s="31" t="str">
        <f>IFERROR(__xludf.DUMMYFUNCTION("""COMPUTED_VALUE"""),"Waste management")</f>
        <v>Waste management</v>
      </c>
      <c r="E248" s="31">
        <f>IFERROR(__xludf.DUMMYFUNCTION("""COMPUTED_VALUE"""),0.06985)</f>
        <v>0.06985</v>
      </c>
    </row>
    <row r="249">
      <c r="A249" s="31" t="str">
        <f>IFERROR(__xludf.DUMMYFUNCTION("""COMPUTED_VALUE"""),"závod Mokrá")</f>
        <v>závod Mokrá</v>
      </c>
      <c r="B249" s="31">
        <f>IFERROR(__xludf.DUMMYFUNCTION("""COMPUTED_VALUE"""),49.21641099)</f>
        <v>49.21641099</v>
      </c>
      <c r="C249" s="31">
        <f>IFERROR(__xludf.DUMMYFUNCTION("""COMPUTED_VALUE"""),16.77168227)</f>
        <v>16.77168227</v>
      </c>
      <c r="D249" s="31" t="str">
        <f>IFERROR(__xludf.DUMMYFUNCTION("""COMPUTED_VALUE"""),"Other")</f>
        <v>Other</v>
      </c>
      <c r="E249" s="31">
        <f>IFERROR(__xludf.DUMMYFUNCTION("""COMPUTED_VALUE"""),0.069835)</f>
        <v>0.069835</v>
      </c>
    </row>
    <row r="250">
      <c r="A250" s="31" t="str">
        <f>IFERROR(__xludf.DUMMYFUNCTION("""COMPUTED_VALUE"""),"MM Frohnleiten GmbH")</f>
        <v>MM Frohnleiten GmbH</v>
      </c>
      <c r="B250" s="31">
        <f>IFERROR(__xludf.DUMMYFUNCTION("""COMPUTED_VALUE"""),47.278056)</f>
        <v>47.278056</v>
      </c>
      <c r="C250" s="31">
        <f>IFERROR(__xludf.DUMMYFUNCTION("""COMPUTED_VALUE"""),15.328056)</f>
        <v>15.328056</v>
      </c>
      <c r="D250" s="31" t="str">
        <f>IFERROR(__xludf.DUMMYFUNCTION("""COMPUTED_VALUE"""),"Paper, pulp and primary wood products")</f>
        <v>Paper, pulp and primary wood products</v>
      </c>
      <c r="E250" s="31">
        <f>IFERROR(__xludf.DUMMYFUNCTION("""COMPUTED_VALUE"""),0.069664064)</f>
        <v>0.069664064</v>
      </c>
    </row>
    <row r="251">
      <c r="A251" s="31" t="str">
        <f>IFERROR(__xludf.DUMMYFUNCTION("""COMPUTED_VALUE"""),"Cement company Holcim BG")</f>
        <v>Cement company Holcim BG</v>
      </c>
      <c r="B251" s="31">
        <f>IFERROR(__xludf.DUMMYFUNCTION("""COMPUTED_VALUE"""),43.28318)</f>
        <v>43.28318</v>
      </c>
      <c r="C251" s="31">
        <f>IFERROR(__xludf.DUMMYFUNCTION("""COMPUTED_VALUE"""),23.463966)</f>
        <v>23.463966</v>
      </c>
      <c r="D251" s="31" t="str">
        <f>IFERROR(__xludf.DUMMYFUNCTION("""COMPUTED_VALUE"""),"Other")</f>
        <v>Other</v>
      </c>
      <c r="E251" s="31">
        <f>IFERROR(__xludf.DUMMYFUNCTION("""COMPUTED_VALUE"""),0.069013425)</f>
        <v>0.069013425</v>
      </c>
    </row>
    <row r="252">
      <c r="A252" s="31" t="str">
        <f>IFERROR(__xludf.DUMMYFUNCTION("""COMPUTED_VALUE"""),"UVEA")</f>
        <v>UVEA</v>
      </c>
      <c r="B252" s="31">
        <f>IFERROR(__xludf.DUMMYFUNCTION("""COMPUTED_VALUE"""),48.3555)</f>
        <v>48.3555</v>
      </c>
      <c r="C252" s="31">
        <f>IFERROR(__xludf.DUMMYFUNCTION("""COMPUTED_VALUE"""),1.77382)</f>
        <v>1.77382</v>
      </c>
      <c r="D252" s="31" t="str">
        <f>IFERROR(__xludf.DUMMYFUNCTION("""COMPUTED_VALUE"""),"Waste management")</f>
        <v>Waste management</v>
      </c>
      <c r="E252" s="31">
        <f>IFERROR(__xludf.DUMMYFUNCTION("""COMPUTED_VALUE"""),0.0682)</f>
        <v>0.0682</v>
      </c>
    </row>
    <row r="253">
      <c r="A253" s="31" t="str">
        <f>IFERROR(__xludf.DUMMYFUNCTION("""COMPUTED_VALUE"""),"GEVAG Trimmis")</f>
        <v>GEVAG Trimmis</v>
      </c>
      <c r="B253" s="31">
        <f>IFERROR(__xludf.DUMMYFUNCTION("""COMPUTED_VALUE"""),46.9161)</f>
        <v>46.9161</v>
      </c>
      <c r="C253" s="31">
        <f>IFERROR(__xludf.DUMMYFUNCTION("""COMPUTED_VALUE"""),9.5569)</f>
        <v>9.5569</v>
      </c>
      <c r="D253" s="31" t="str">
        <f>IFERROR(__xludf.DUMMYFUNCTION("""COMPUTED_VALUE"""),"Waste management")</f>
        <v>Waste management</v>
      </c>
      <c r="E253" s="31">
        <f>IFERROR(__xludf.DUMMYFUNCTION("""COMPUTED_VALUE"""),0.0682)</f>
        <v>0.0682</v>
      </c>
    </row>
    <row r="254">
      <c r="A254" s="31" t="str">
        <f>IFERROR(__xludf.DUMMYFUNCTION("""COMPUTED_VALUE"""),"AVAG KVA AG")</f>
        <v>AVAG KVA AG</v>
      </c>
      <c r="B254" s="31">
        <f>IFERROR(__xludf.DUMMYFUNCTION("""COMPUTED_VALUE"""),46.7621)</f>
        <v>46.7621</v>
      </c>
      <c r="C254" s="31">
        <f>IFERROR(__xludf.DUMMYFUNCTION("""COMPUTED_VALUE"""),7.6062)</f>
        <v>7.6062</v>
      </c>
      <c r="D254" s="31" t="str">
        <f>IFERROR(__xludf.DUMMYFUNCTION("""COMPUTED_VALUE"""),"Waste management")</f>
        <v>Waste management</v>
      </c>
      <c r="E254" s="31">
        <f>IFERROR(__xludf.DUMMYFUNCTION("""COMPUTED_VALUE"""),0.0682)</f>
        <v>0.0682</v>
      </c>
    </row>
    <row r="255">
      <c r="A255" s="31" t="str">
        <f>IFERROR(__xludf.DUMMYFUNCTION("""COMPUTED_VALUE"""),"Stabilimento di Sora (FR)")</f>
        <v>Stabilimento di Sora (FR)</v>
      </c>
      <c r="B255" s="31">
        <f>IFERROR(__xludf.DUMMYFUNCTION("""COMPUTED_VALUE"""),41.6994)</f>
        <v>41.6994</v>
      </c>
      <c r="C255" s="31">
        <f>IFERROR(__xludf.DUMMYFUNCTION("""COMPUTED_VALUE"""),13.5869)</f>
        <v>13.5869</v>
      </c>
      <c r="D255" s="31" t="str">
        <f>IFERROR(__xludf.DUMMYFUNCTION("""COMPUTED_VALUE"""),"Paper, pulp and primary wood products")</f>
        <v>Paper, pulp and primary wood products</v>
      </c>
      <c r="E255" s="31">
        <f>IFERROR(__xludf.DUMMYFUNCTION("""COMPUTED_VALUE"""),0.066800483)</f>
        <v>0.066800483</v>
      </c>
    </row>
    <row r="256">
      <c r="A256" s="31" t="str">
        <f>IFERROR(__xludf.DUMMYFUNCTION("""COMPUTED_VALUE"""),"KVA Linth")</f>
        <v>KVA Linth</v>
      </c>
      <c r="B256" s="31">
        <f>IFERROR(__xludf.DUMMYFUNCTION("""COMPUTED_VALUE"""),47.135)</f>
        <v>47.135</v>
      </c>
      <c r="C256" s="31">
        <f>IFERROR(__xludf.DUMMYFUNCTION("""COMPUTED_VALUE"""),9.04)</f>
        <v>9.04</v>
      </c>
      <c r="D256" s="31" t="str">
        <f>IFERROR(__xludf.DUMMYFUNCTION("""COMPUTED_VALUE"""),"Waste management")</f>
        <v>Waste management</v>
      </c>
      <c r="E256" s="31">
        <f>IFERROR(__xludf.DUMMYFUNCTION("""COMPUTED_VALUE"""),0.06655)</f>
        <v>0.06655</v>
      </c>
    </row>
    <row r="257">
      <c r="A257" s="31" t="str">
        <f>IFERROR(__xludf.DUMMYFUNCTION("""COMPUTED_VALUE"""),"TIBI sc - Usine d'incinération")</f>
        <v>TIBI sc - Usine d'incinération</v>
      </c>
      <c r="B257" s="31">
        <f>IFERROR(__xludf.DUMMYFUNCTION("""COMPUTED_VALUE"""),50.420174)</f>
        <v>50.420174</v>
      </c>
      <c r="C257" s="31">
        <f>IFERROR(__xludf.DUMMYFUNCTION("""COMPUTED_VALUE"""),4.5452027)</f>
        <v>4.5452027</v>
      </c>
      <c r="D257" s="31" t="str">
        <f>IFERROR(__xludf.DUMMYFUNCTION("""COMPUTED_VALUE"""),"Waste management")</f>
        <v>Waste management</v>
      </c>
      <c r="E257" s="31">
        <f>IFERROR(__xludf.DUMMYFUNCTION("""COMPUTED_VALUE"""),0.066)</f>
        <v>0.066</v>
      </c>
    </row>
    <row r="258">
      <c r="A258" s="31" t="str">
        <f>IFERROR(__xludf.DUMMYFUNCTION("""COMPUTED_VALUE"""),"Müllverbrennung Kiel GmbH &amp; Co. KG - Müllheizkraftwerk Kiel")</f>
        <v>Müllverbrennung Kiel GmbH &amp; Co. KG - Müllheizkraftwerk Kiel</v>
      </c>
      <c r="B258" s="31">
        <f>IFERROR(__xludf.DUMMYFUNCTION("""COMPUTED_VALUE"""),54.3073253576428)</f>
        <v>54.30732536</v>
      </c>
      <c r="C258" s="31">
        <f>IFERROR(__xludf.DUMMYFUNCTION("""COMPUTED_VALUE"""),10.1110669503613)</f>
        <v>10.11106695</v>
      </c>
      <c r="D258" s="31" t="str">
        <f>IFERROR(__xludf.DUMMYFUNCTION("""COMPUTED_VALUE"""),"Waste management")</f>
        <v>Waste management</v>
      </c>
      <c r="E258" s="31">
        <f>IFERROR(__xludf.DUMMYFUNCTION("""COMPUTED_VALUE"""),0.0658)</f>
        <v>0.0658</v>
      </c>
    </row>
    <row r="259">
      <c r="A259" s="31" t="str">
        <f>IFERROR(__xludf.DUMMYFUNCTION("""COMPUTED_VALUE"""),"STABILIMENTO DI DUINO")</f>
        <v>STABILIMENTO DI DUINO</v>
      </c>
      <c r="B259" s="31">
        <f>IFERROR(__xludf.DUMMYFUNCTION("""COMPUTED_VALUE"""),45.7933)</f>
        <v>45.7933</v>
      </c>
      <c r="C259" s="31">
        <f>IFERROR(__xludf.DUMMYFUNCTION("""COMPUTED_VALUE"""),13.5831)</f>
        <v>13.5831</v>
      </c>
      <c r="D259" s="31" t="str">
        <f>IFERROR(__xludf.DUMMYFUNCTION("""COMPUTED_VALUE"""),"Paper, pulp and primary wood products")</f>
        <v>Paper, pulp and primary wood products</v>
      </c>
      <c r="E259" s="31">
        <f>IFERROR(__xludf.DUMMYFUNCTION("""COMPUTED_VALUE"""),0.065787713)</f>
        <v>0.065787713</v>
      </c>
    </row>
    <row r="260">
      <c r="A260" s="31" t="str">
        <f>IFERROR(__xludf.DUMMYFUNCTION("""COMPUTED_VALUE"""),"FREVAR - Forbrenningsanlegget")</f>
        <v>FREVAR - Forbrenningsanlegget</v>
      </c>
      <c r="B260" s="31">
        <f>IFERROR(__xludf.DUMMYFUNCTION("""COMPUTED_VALUE"""),59.18537)</f>
        <v>59.18537</v>
      </c>
      <c r="C260" s="31">
        <f>IFERROR(__xludf.DUMMYFUNCTION("""COMPUTED_VALUE"""),10.9671888)</f>
        <v>10.9671888</v>
      </c>
      <c r="D260" s="31" t="str">
        <f>IFERROR(__xludf.DUMMYFUNCTION("""COMPUTED_VALUE"""),"Waste management")</f>
        <v>Waste management</v>
      </c>
      <c r="E260" s="31">
        <f>IFERROR(__xludf.DUMMYFUNCTION("""COMPUTED_VALUE"""),0.0651)</f>
        <v>0.0651</v>
      </c>
    </row>
    <row r="261">
      <c r="A261" s="31" t="str">
        <f>IFERROR(__xludf.DUMMYFUNCTION("""COMPUTED_VALUE"""),"SUEZ RV ENERGIE - AZALYS")</f>
        <v>SUEZ RV ENERGIE - AZALYS</v>
      </c>
      <c r="B261" s="31">
        <f>IFERROR(__xludf.DUMMYFUNCTION("""COMPUTED_VALUE"""),48.94769)</f>
        <v>48.94769</v>
      </c>
      <c r="C261" s="31">
        <f>IFERROR(__xludf.DUMMYFUNCTION("""COMPUTED_VALUE"""),2.03745)</f>
        <v>2.03745</v>
      </c>
      <c r="D261" s="31" t="str">
        <f>IFERROR(__xludf.DUMMYFUNCTION("""COMPUTED_VALUE"""),"Waste management")</f>
        <v>Waste management</v>
      </c>
      <c r="E261" s="31">
        <f>IFERROR(__xludf.DUMMYFUNCTION("""COMPUTED_VALUE"""),0.0649)</f>
        <v>0.0649</v>
      </c>
    </row>
    <row r="262">
      <c r="A262" s="31" t="str">
        <f>IFERROR(__xludf.DUMMYFUNCTION("""COMPUTED_VALUE"""),"Elkem Thamshavn")</f>
        <v>Elkem Thamshavn</v>
      </c>
      <c r="B262" s="31">
        <f>IFERROR(__xludf.DUMMYFUNCTION("""COMPUTED_VALUE"""),63.32585)</f>
        <v>63.32585</v>
      </c>
      <c r="C262" s="31">
        <f>IFERROR(__xludf.DUMMYFUNCTION("""COMPUTED_VALUE"""),9.894434)</f>
        <v>9.894434</v>
      </c>
      <c r="D262" s="31" t="str">
        <f>IFERROR(__xludf.DUMMYFUNCTION("""COMPUTED_VALUE"""),"Other")</f>
        <v>Other</v>
      </c>
      <c r="E262" s="31">
        <f>IFERROR(__xludf.DUMMYFUNCTION("""COMPUTED_VALUE"""),0.064)</f>
        <v>0.064</v>
      </c>
    </row>
    <row r="263">
      <c r="A263" s="31" t="str">
        <f>IFERROR(__xludf.DUMMYFUNCTION("""COMPUTED_VALUE"""),"SUEZ RV ENERGIE (EX NOVERGIE IDF)")</f>
        <v>SUEZ RV ENERGIE (EX NOVERGIE IDF)</v>
      </c>
      <c r="B263" s="31">
        <f>IFERROR(__xludf.DUMMYFUNCTION("""COMPUTED_VALUE"""),48.87442)</f>
        <v>48.87442</v>
      </c>
      <c r="C263" s="31">
        <f>IFERROR(__xludf.DUMMYFUNCTION("""COMPUTED_VALUE"""),2.67522)</f>
        <v>2.67522</v>
      </c>
      <c r="D263" s="31" t="str">
        <f>IFERROR(__xludf.DUMMYFUNCTION("""COMPUTED_VALUE"""),"Waste management")</f>
        <v>Waste management</v>
      </c>
      <c r="E263" s="31">
        <f>IFERROR(__xludf.DUMMYFUNCTION("""COMPUTED_VALUE"""),0.0638)</f>
        <v>0.0638</v>
      </c>
    </row>
    <row r="264">
      <c r="A264" s="31" t="str">
        <f>IFERROR(__xludf.DUMMYFUNCTION("""COMPUTED_VALUE"""),"UNILIN SAS")</f>
        <v>UNILIN SAS</v>
      </c>
      <c r="B264" s="31">
        <f>IFERROR(__xludf.DUMMYFUNCTION("""COMPUTED_VALUE"""),49.6961)</f>
        <v>49.6961</v>
      </c>
      <c r="C264" s="31">
        <f>IFERROR(__xludf.DUMMYFUNCTION("""COMPUTED_VALUE"""),4.95079)</f>
        <v>4.95079</v>
      </c>
      <c r="D264" s="31" t="str">
        <f>IFERROR(__xludf.DUMMYFUNCTION("""COMPUTED_VALUE"""),"Paper, pulp and primary wood products")</f>
        <v>Paper, pulp and primary wood products</v>
      </c>
      <c r="E264" s="31">
        <f>IFERROR(__xludf.DUMMYFUNCTION("""COMPUTED_VALUE"""),0.063606319)</f>
        <v>0.063606319</v>
      </c>
    </row>
    <row r="265">
      <c r="A265" s="31" t="str">
        <f>IFERROR(__xludf.DUMMYFUNCTION("""COMPUTED_VALUE"""),"EGGER PANNEAUX ET DECORS")</f>
        <v>EGGER PANNEAUX ET DECORS</v>
      </c>
      <c r="B265" s="31">
        <f>IFERROR(__xludf.DUMMYFUNCTION("""COMPUTED_VALUE"""),48.33663)</f>
        <v>48.33663</v>
      </c>
      <c r="C265" s="31">
        <f>IFERROR(__xludf.DUMMYFUNCTION("""COMPUTED_VALUE"""),6.6565)</f>
        <v>6.6565</v>
      </c>
      <c r="D265" s="31" t="str">
        <f>IFERROR(__xludf.DUMMYFUNCTION("""COMPUTED_VALUE"""),"Paper, pulp and primary wood products")</f>
        <v>Paper, pulp and primary wood products</v>
      </c>
      <c r="E265" s="31">
        <f>IFERROR(__xludf.DUMMYFUNCTION("""COMPUTED_VALUE"""),0.063173623)</f>
        <v>0.063173623</v>
      </c>
    </row>
    <row r="266">
      <c r="A266" s="31" t="str">
        <f>IFERROR(__xludf.DUMMYFUNCTION("""COMPUTED_VALUE"""),"Ketton Works")</f>
        <v>Ketton Works</v>
      </c>
      <c r="B266" s="31">
        <f>IFERROR(__xludf.DUMMYFUNCTION("""COMPUTED_VALUE"""),52.636704)</f>
        <v>52.636704</v>
      </c>
      <c r="C266" s="31">
        <f>IFERROR(__xludf.DUMMYFUNCTION("""COMPUTED_VALUE"""),-0.54633668)</f>
        <v>-0.54633668</v>
      </c>
      <c r="D266" s="31" t="str">
        <f>IFERROR(__xludf.DUMMYFUNCTION("""COMPUTED_VALUE"""),"Other")</f>
        <v>Other</v>
      </c>
      <c r="E266" s="31">
        <f>IFERROR(__xludf.DUMMYFUNCTION("""COMPUTED_VALUE"""),0.063)</f>
        <v>0.063</v>
      </c>
    </row>
    <row r="267">
      <c r="A267" s="31" t="str">
        <f>IFERROR(__xludf.DUMMYFUNCTION("""COMPUTED_VALUE"""),"Fritz EGGER GmbH &amp; Co. OG")</f>
        <v>Fritz EGGER GmbH &amp; Co. OG</v>
      </c>
      <c r="B267" s="31">
        <f>IFERROR(__xludf.DUMMYFUNCTION("""COMPUTED_VALUE"""),47.504806)</f>
        <v>47.504806</v>
      </c>
      <c r="C267" s="31">
        <f>IFERROR(__xludf.DUMMYFUNCTION("""COMPUTED_VALUE"""),12.399889)</f>
        <v>12.399889</v>
      </c>
      <c r="D267" s="31" t="str">
        <f>IFERROR(__xludf.DUMMYFUNCTION("""COMPUTED_VALUE"""),"Paper, pulp and primary wood products")</f>
        <v>Paper, pulp and primary wood products</v>
      </c>
      <c r="E267" s="31">
        <f>IFERROR(__xludf.DUMMYFUNCTION("""COMPUTED_VALUE"""),0.062740927)</f>
        <v>0.062740927</v>
      </c>
    </row>
    <row r="268">
      <c r="A268" s="31" t="str">
        <f>IFERROR(__xludf.DUMMYFUNCTION("""COMPUTED_VALUE"""),"Arctic Paper Kostrzyn S.A.")</f>
        <v>Arctic Paper Kostrzyn S.A.</v>
      </c>
      <c r="B268" s="31">
        <f>IFERROR(__xludf.DUMMYFUNCTION("""COMPUTED_VALUE"""),52.5945816)</f>
        <v>52.5945816</v>
      </c>
      <c r="C268" s="31">
        <f>IFERROR(__xludf.DUMMYFUNCTION("""COMPUTED_VALUE"""),14.62547493)</f>
        <v>14.62547493</v>
      </c>
      <c r="D268" s="31" t="str">
        <f>IFERROR(__xludf.DUMMYFUNCTION("""COMPUTED_VALUE"""),"Paper, pulp and primary wood products")</f>
        <v>Paper, pulp and primary wood products</v>
      </c>
      <c r="E268" s="31">
        <f>IFERROR(__xludf.DUMMYFUNCTION("""COMPUTED_VALUE"""),0.062740927)</f>
        <v>0.062740927</v>
      </c>
    </row>
    <row r="269">
      <c r="A269" s="31" t="str">
        <f>IFERROR(__xludf.DUMMYFUNCTION("""COMPUTED_VALUE"""),"Pfleiderer Grajewo Sp. z o.o.")</f>
        <v>Pfleiderer Grajewo Sp. z o.o.</v>
      </c>
      <c r="B269" s="31">
        <f>IFERROR(__xludf.DUMMYFUNCTION("""COMPUTED_VALUE"""),53.62452698)</f>
        <v>53.62452698</v>
      </c>
      <c r="C269" s="31">
        <f>IFERROR(__xludf.DUMMYFUNCTION("""COMPUTED_VALUE"""),22.46811104)</f>
        <v>22.46811104</v>
      </c>
      <c r="D269" s="31" t="str">
        <f>IFERROR(__xludf.DUMMYFUNCTION("""COMPUTED_VALUE"""),"Paper, pulp and primary wood products")</f>
        <v>Paper, pulp and primary wood products</v>
      </c>
      <c r="E269" s="31">
        <f>IFERROR(__xludf.DUMMYFUNCTION("""COMPUTED_VALUE"""),0.062740927)</f>
        <v>0.062740927</v>
      </c>
    </row>
    <row r="270">
      <c r="A270" s="31" t="str">
        <f>IFERROR(__xludf.DUMMYFUNCTION("""COMPUTED_VALUE"""),"Oddział Huta Miedzi ""Głogów""")</f>
        <v>Oddział Huta Miedzi "Głogów"</v>
      </c>
      <c r="B270" s="31">
        <f>IFERROR(__xludf.DUMMYFUNCTION("""COMPUTED_VALUE"""),51.78849792)</f>
        <v>51.78849792</v>
      </c>
      <c r="C270" s="31">
        <f>IFERROR(__xludf.DUMMYFUNCTION("""COMPUTED_VALUE"""),16.54008293)</f>
        <v>16.54008293</v>
      </c>
      <c r="D270" s="31" t="str">
        <f>IFERROR(__xludf.DUMMYFUNCTION("""COMPUTED_VALUE"""),"Other")</f>
        <v>Other</v>
      </c>
      <c r="E270" s="31">
        <f>IFERROR(__xludf.DUMMYFUNCTION("""COMPUTED_VALUE"""),0.06252557)</f>
        <v>0.06252557</v>
      </c>
    </row>
    <row r="271">
      <c r="A271" s="31" t="str">
        <f>IFERROR(__xludf.DUMMYFUNCTION("""COMPUTED_VALUE"""),"GENERIS")</f>
        <v>GENERIS</v>
      </c>
      <c r="B271" s="31">
        <f>IFERROR(__xludf.DUMMYFUNCTION("""COMPUTED_VALUE"""),48.5414)</f>
        <v>48.5414</v>
      </c>
      <c r="C271" s="31">
        <f>IFERROR(__xludf.DUMMYFUNCTION("""COMPUTED_VALUE"""),2.6898)</f>
        <v>2.6898</v>
      </c>
      <c r="D271" s="31" t="str">
        <f>IFERROR(__xludf.DUMMYFUNCTION("""COMPUTED_VALUE"""),"Waste management")</f>
        <v>Waste management</v>
      </c>
      <c r="E271" s="31">
        <f>IFERROR(__xludf.DUMMYFUNCTION("""COMPUTED_VALUE"""),0.06215)</f>
        <v>0.06215</v>
      </c>
    </row>
    <row r="272">
      <c r="A272" s="31" t="str">
        <f>IFERROR(__xludf.DUMMYFUNCTION("""COMPUTED_VALUE"""),"UAB Kauno kogeneracinė jėgainė")</f>
        <v>UAB Kauno kogeneracinė jėgainė</v>
      </c>
      <c r="B272" s="31">
        <f>IFERROR(__xludf.DUMMYFUNCTION("""COMPUTED_VALUE"""),54.932576)</f>
        <v>54.932576</v>
      </c>
      <c r="C272" s="31">
        <f>IFERROR(__xludf.DUMMYFUNCTION("""COMPUTED_VALUE"""),24.002708)</f>
        <v>24.002708</v>
      </c>
      <c r="D272" s="31" t="str">
        <f>IFERROR(__xludf.DUMMYFUNCTION("""COMPUTED_VALUE"""),"Waste management")</f>
        <v>Waste management</v>
      </c>
      <c r="E272" s="31">
        <f>IFERROR(__xludf.DUMMYFUNCTION("""COMPUTED_VALUE"""),0.06215)</f>
        <v>0.06215</v>
      </c>
    </row>
    <row r="273">
      <c r="A273" s="31" t="str">
        <f>IFERROR(__xludf.DUMMYFUNCTION("""COMPUTED_VALUE"""),"RW silicium GmbH, Werk Pocking")</f>
        <v>RW silicium GmbH, Werk Pocking</v>
      </c>
      <c r="B273" s="31">
        <f>IFERROR(__xludf.DUMMYFUNCTION("""COMPUTED_VALUE"""),48.4187251330907)</f>
        <v>48.41872513</v>
      </c>
      <c r="C273" s="31">
        <f>IFERROR(__xludf.DUMMYFUNCTION("""COMPUTED_VALUE"""),13.3302441613619)</f>
        <v>13.33024416</v>
      </c>
      <c r="D273" s="31" t="str">
        <f>IFERROR(__xludf.DUMMYFUNCTION("""COMPUTED_VALUE"""),"Other")</f>
        <v>Other</v>
      </c>
      <c r="E273" s="31">
        <f>IFERROR(__xludf.DUMMYFUNCTION("""COMPUTED_VALUE"""),0.062)</f>
        <v>0.062</v>
      </c>
    </row>
    <row r="274">
      <c r="A274" s="31" t="str">
        <f>IFERROR(__xludf.DUMMYFUNCTION("""COMPUTED_VALUE"""),"COMMUNAUTÉ DE L'AGGLOMÉRATION DIJONNAISE")</f>
        <v>COMMUNAUTÉ DE L'AGGLOMÉRATION DIJONNAISE</v>
      </c>
      <c r="B274" s="31">
        <f>IFERROR(__xludf.DUMMYFUNCTION("""COMPUTED_VALUE"""),47.3589)</f>
        <v>47.3589</v>
      </c>
      <c r="C274" s="31">
        <f>IFERROR(__xludf.DUMMYFUNCTION("""COMPUTED_VALUE"""),5.03913)</f>
        <v>5.03913</v>
      </c>
      <c r="D274" s="31" t="str">
        <f>IFERROR(__xludf.DUMMYFUNCTION("""COMPUTED_VALUE"""),"Waste management")</f>
        <v>Waste management</v>
      </c>
      <c r="E274" s="31">
        <f>IFERROR(__xludf.DUMMYFUNCTION("""COMPUTED_VALUE"""),0.0616)</f>
        <v>0.0616</v>
      </c>
    </row>
    <row r="275">
      <c r="A275" s="31" t="str">
        <f>IFERROR(__xludf.DUMMYFUNCTION("""COMPUTED_VALUE"""),"SAIDEF Fribourg")</f>
        <v>SAIDEF Fribourg</v>
      </c>
      <c r="B275" s="31">
        <f>IFERROR(__xludf.DUMMYFUNCTION("""COMPUTED_VALUE"""),46.7725)</f>
        <v>46.7725</v>
      </c>
      <c r="C275" s="31">
        <f>IFERROR(__xludf.DUMMYFUNCTION("""COMPUTED_VALUE"""),7.1218)</f>
        <v>7.1218</v>
      </c>
      <c r="D275" s="31" t="str">
        <f>IFERROR(__xludf.DUMMYFUNCTION("""COMPUTED_VALUE"""),"Waste management")</f>
        <v>Waste management</v>
      </c>
      <c r="E275" s="31">
        <f>IFERROR(__xludf.DUMMYFUNCTION("""COMPUTED_VALUE"""),0.06105)</f>
        <v>0.06105</v>
      </c>
    </row>
    <row r="276">
      <c r="A276" s="31" t="str">
        <f>IFERROR(__xludf.DUMMYFUNCTION("""COMPUTED_VALUE"""),"DS SMITH SPAIN, S.A.")</f>
        <v>DS SMITH SPAIN, S.A.</v>
      </c>
      <c r="B276" s="31">
        <f>IFERROR(__xludf.DUMMYFUNCTION("""COMPUTED_VALUE"""),41.84)</f>
        <v>41.84</v>
      </c>
      <c r="C276" s="31">
        <f>IFERROR(__xludf.DUMMYFUNCTION("""COMPUTED_VALUE"""),-4.559444)</f>
        <v>-4.559444</v>
      </c>
      <c r="D276" s="31" t="str">
        <f>IFERROR(__xludf.DUMMYFUNCTION("""COMPUTED_VALUE"""),"Paper, pulp and primary wood products")</f>
        <v>Paper, pulp and primary wood products</v>
      </c>
      <c r="E276" s="31">
        <f>IFERROR(__xludf.DUMMYFUNCTION("""COMPUTED_VALUE"""),0.060577447)</f>
        <v>0.060577447</v>
      </c>
    </row>
    <row r="277">
      <c r="A277" s="31" t="str">
        <f>IFERROR(__xludf.DUMMYFUNCTION("""COMPUTED_VALUE"""),"KVA Limmattal")</f>
        <v>KVA Limmattal</v>
      </c>
      <c r="B277" s="31">
        <f>IFERROR(__xludf.DUMMYFUNCTION("""COMPUTED_VALUE"""),47.4166)</f>
        <v>47.4166</v>
      </c>
      <c r="C277" s="31">
        <f>IFERROR(__xludf.DUMMYFUNCTION("""COMPUTED_VALUE"""),8.403)</f>
        <v>8.403</v>
      </c>
      <c r="D277" s="31" t="str">
        <f>IFERROR(__xludf.DUMMYFUNCTION("""COMPUTED_VALUE"""),"Waste management")</f>
        <v>Waste management</v>
      </c>
      <c r="E277" s="31">
        <f>IFERROR(__xludf.DUMMYFUNCTION("""COMPUTED_VALUE"""),0.0605)</f>
        <v>0.0605</v>
      </c>
    </row>
    <row r="278">
      <c r="A278" s="31" t="str">
        <f>IFERROR(__xludf.DUMMYFUNCTION("""COMPUTED_VALUE"""),"AHKW Neunkirchen")</f>
        <v>AHKW Neunkirchen</v>
      </c>
      <c r="B278" s="31">
        <f>IFERROR(__xludf.DUMMYFUNCTION("""COMPUTED_VALUE"""),49.338141641104)</f>
        <v>49.33814164</v>
      </c>
      <c r="C278" s="31">
        <f>IFERROR(__xludf.DUMMYFUNCTION("""COMPUTED_VALUE"""),7.16840293816789)</f>
        <v>7.168402938</v>
      </c>
      <c r="D278" s="31" t="str">
        <f>IFERROR(__xludf.DUMMYFUNCTION("""COMPUTED_VALUE"""),"Waste management")</f>
        <v>Waste management</v>
      </c>
      <c r="E278" s="31">
        <f>IFERROR(__xludf.DUMMYFUNCTION("""COMPUTED_VALUE"""),0.06)</f>
        <v>0.06</v>
      </c>
    </row>
    <row r="279">
      <c r="A279" s="31" t="str">
        <f>IFERROR(__xludf.DUMMYFUNCTION("""COMPUTED_VALUE"""),"ALCEA")</f>
        <v>ALCEA</v>
      </c>
      <c r="B279" s="31">
        <f>IFERROR(__xludf.DUMMYFUNCTION("""COMPUTED_VALUE"""),47.2245)</f>
        <v>47.2245</v>
      </c>
      <c r="C279" s="31">
        <f>IFERROR(__xludf.DUMMYFUNCTION("""COMPUTED_VALUE"""),-1.50555)</f>
        <v>-1.50555</v>
      </c>
      <c r="D279" s="31" t="str">
        <f>IFERROR(__xludf.DUMMYFUNCTION("""COMPUTED_VALUE"""),"Waste management")</f>
        <v>Waste management</v>
      </c>
      <c r="E279" s="31">
        <f>IFERROR(__xludf.DUMMYFUNCTION("""COMPUTED_VALUE"""),0.05995)</f>
        <v>0.05995</v>
      </c>
    </row>
    <row r="280">
      <c r="A280" s="31" t="str">
        <f>IFERROR(__xludf.DUMMYFUNCTION("""COMPUTED_VALUE"""),"Pfleiderer Prospan S.A.")</f>
        <v>Pfleiderer Prospan S.A.</v>
      </c>
      <c r="B280" s="31">
        <f>IFERROR(__xludf.DUMMYFUNCTION("""COMPUTED_VALUE"""),51.28527832)</f>
        <v>51.28527832</v>
      </c>
      <c r="C280" s="31">
        <f>IFERROR(__xludf.DUMMYFUNCTION("""COMPUTED_VALUE"""),18.17860985)</f>
        <v>18.17860985</v>
      </c>
      <c r="D280" s="31" t="str">
        <f>IFERROR(__xludf.DUMMYFUNCTION("""COMPUTED_VALUE"""),"Paper, pulp and primary wood products")</f>
        <v>Paper, pulp and primary wood products</v>
      </c>
      <c r="E280" s="31">
        <f>IFERROR(__xludf.DUMMYFUNCTION("""COMPUTED_VALUE"""),0.059712055)</f>
        <v>0.059712055</v>
      </c>
    </row>
    <row r="281">
      <c r="A281" s="31" t="str">
        <f>IFERROR(__xludf.DUMMYFUNCTION("""COMPUTED_VALUE"""),"I/S Norfors")</f>
        <v>I/S Norfors</v>
      </c>
      <c r="B281" s="31">
        <f>IFERROR(__xludf.DUMMYFUNCTION("""COMPUTED_VALUE"""),55.9010889816822)</f>
        <v>55.90108898</v>
      </c>
      <c r="C281" s="31">
        <f>IFERROR(__xludf.DUMMYFUNCTION("""COMPUTED_VALUE"""),12.4926122835539)</f>
        <v>12.49261228</v>
      </c>
      <c r="D281" s="31" t="str">
        <f>IFERROR(__xludf.DUMMYFUNCTION("""COMPUTED_VALUE"""),"Waste management")</f>
        <v>Waste management</v>
      </c>
      <c r="E281" s="31">
        <f>IFERROR(__xludf.DUMMYFUNCTION("""COMPUTED_VALUE"""),0.059443)</f>
        <v>0.059443</v>
      </c>
    </row>
    <row r="282">
      <c r="A282" s="31" t="str">
        <f>IFERROR(__xludf.DUMMYFUNCTION("""COMPUTED_VALUE"""),"CRISTAL ECO VALO (EX NOVERGIE)")</f>
        <v>CRISTAL ECO VALO (EX NOVERGIE)</v>
      </c>
      <c r="B282" s="31">
        <f>IFERROR(__xludf.DUMMYFUNCTION("""COMPUTED_VALUE"""),48.90826)</f>
        <v>48.90826</v>
      </c>
      <c r="C282" s="31">
        <f>IFERROR(__xludf.DUMMYFUNCTION("""COMPUTED_VALUE"""),2.16155)</f>
        <v>2.16155</v>
      </c>
      <c r="D282" s="31" t="str">
        <f>IFERROR(__xludf.DUMMYFUNCTION("""COMPUTED_VALUE"""),"Waste management")</f>
        <v>Waste management</v>
      </c>
      <c r="E282" s="31">
        <f>IFERROR(__xludf.DUMMYFUNCTION("""COMPUTED_VALUE"""),0.0594)</f>
        <v>0.0594</v>
      </c>
    </row>
    <row r="283">
      <c r="A283" s="31" t="str">
        <f>IFERROR(__xludf.DUMMYFUNCTION("""COMPUTED_VALUE"""),"TITAN CEMENT S.A. - KAMARI PLANT")</f>
        <v>TITAN CEMENT S.A. - KAMARI PLANT</v>
      </c>
      <c r="B283" s="31">
        <f>IFERROR(__xludf.DUMMYFUNCTION("""COMPUTED_VALUE"""),38.13018)</f>
        <v>38.13018</v>
      </c>
      <c r="C283" s="31">
        <f>IFERROR(__xludf.DUMMYFUNCTION("""COMPUTED_VALUE"""),23.52458)</f>
        <v>23.52458</v>
      </c>
      <c r="D283" s="31" t="str">
        <f>IFERROR(__xludf.DUMMYFUNCTION("""COMPUTED_VALUE"""),"Other")</f>
        <v>Other</v>
      </c>
      <c r="E283" s="31">
        <f>IFERROR(__xludf.DUMMYFUNCTION("""COMPUTED_VALUE"""),0.059153583)</f>
        <v>0.059153583</v>
      </c>
    </row>
    <row r="284">
      <c r="A284" s="31" t="str">
        <f>IFERROR(__xludf.DUMMYFUNCTION("""COMPUTED_VALUE"""),"SOLVAY QUIMICA (FÁBRICA DE TORRELAVEGA)")</f>
        <v>SOLVAY QUIMICA (FÁBRICA DE TORRELAVEGA)</v>
      </c>
      <c r="B284" s="31">
        <f>IFERROR(__xludf.DUMMYFUNCTION("""COMPUTED_VALUE"""),43.363203)</f>
        <v>43.363203</v>
      </c>
      <c r="C284" s="31">
        <f>IFERROR(__xludf.DUMMYFUNCTION("""COMPUTED_VALUE"""),-4.038539)</f>
        <v>-4.038539</v>
      </c>
      <c r="D284" s="31" t="str">
        <f>IFERROR(__xludf.DUMMYFUNCTION("""COMPUTED_VALUE"""),"Other")</f>
        <v>Other</v>
      </c>
      <c r="E284" s="31">
        <f>IFERROR(__xludf.DUMMYFUNCTION("""COMPUTED_VALUE"""),0.059094077)</f>
        <v>0.059094077</v>
      </c>
    </row>
    <row r="285">
      <c r="A285" s="31" t="str">
        <f>IFERROR(__xludf.DUMMYFUNCTION("""COMPUTED_VALUE"""),"TERMOVALORIZZATORE COMO")</f>
        <v>TERMOVALORIZZATORE COMO</v>
      </c>
      <c r="B285" s="31">
        <f>IFERROR(__xludf.DUMMYFUNCTION("""COMPUTED_VALUE"""),45.7733)</f>
        <v>45.7733</v>
      </c>
      <c r="C285" s="31">
        <f>IFERROR(__xludf.DUMMYFUNCTION("""COMPUTED_VALUE"""),9.0725)</f>
        <v>9.0725</v>
      </c>
      <c r="D285" s="31" t="str">
        <f>IFERROR(__xludf.DUMMYFUNCTION("""COMPUTED_VALUE"""),"Waste management")</f>
        <v>Waste management</v>
      </c>
      <c r="E285" s="31">
        <f>IFERROR(__xludf.DUMMYFUNCTION("""COMPUTED_VALUE"""),0.05889565)</f>
        <v>0.05889565</v>
      </c>
    </row>
    <row r="286">
      <c r="A286" s="31" t="str">
        <f>IFERROR(__xludf.DUMMYFUNCTION("""COMPUTED_VALUE"""),"SOMOVAL (UTOM DE MONTHYON) (SMITOM)")</f>
        <v>SOMOVAL (UTOM DE MONTHYON) (SMITOM)</v>
      </c>
      <c r="B286" s="31">
        <f>IFERROR(__xludf.DUMMYFUNCTION("""COMPUTED_VALUE"""),49.00516)</f>
        <v>49.00516</v>
      </c>
      <c r="C286" s="31">
        <f>IFERROR(__xludf.DUMMYFUNCTION("""COMPUTED_VALUE"""),2.8305)</f>
        <v>2.8305</v>
      </c>
      <c r="D286" s="31" t="str">
        <f>IFERROR(__xludf.DUMMYFUNCTION("""COMPUTED_VALUE"""),"Waste management")</f>
        <v>Waste management</v>
      </c>
      <c r="E286" s="31">
        <f>IFERROR(__xludf.DUMMYFUNCTION("""COMPUTED_VALUE"""),0.05885)</f>
        <v>0.05885</v>
      </c>
    </row>
    <row r="287">
      <c r="A287" s="31" t="str">
        <f>IFERROR(__xludf.DUMMYFUNCTION("""COMPUTED_VALUE"""),"ENORIS")</f>
        <v>ENORIS</v>
      </c>
      <c r="B287" s="31">
        <f>IFERROR(__xludf.DUMMYFUNCTION("""COMPUTED_VALUE"""),48.717)</f>
        <v>48.717</v>
      </c>
      <c r="C287" s="31">
        <f>IFERROR(__xludf.DUMMYFUNCTION("""COMPUTED_VALUE"""),2.276)</f>
        <v>2.276</v>
      </c>
      <c r="D287" s="31" t="str">
        <f>IFERROR(__xludf.DUMMYFUNCTION("""COMPUTED_VALUE"""),"Waste management")</f>
        <v>Waste management</v>
      </c>
      <c r="E287" s="31">
        <f>IFERROR(__xludf.DUMMYFUNCTION("""COMPUTED_VALUE"""),0.05885)</f>
        <v>0.05885</v>
      </c>
    </row>
    <row r="288">
      <c r="A288" s="31" t="str">
        <f>IFERROR(__xludf.DUMMYFUNCTION("""COMPUTED_VALUE"""),"Duslo a.s.")</f>
        <v>Duslo a.s.</v>
      </c>
      <c r="B288" s="31">
        <f>IFERROR(__xludf.DUMMYFUNCTION("""COMPUTED_VALUE"""),48.181531)</f>
        <v>48.181531</v>
      </c>
      <c r="C288" s="31">
        <f>IFERROR(__xludf.DUMMYFUNCTION("""COMPUTED_VALUE"""),17.937156)</f>
        <v>17.937156</v>
      </c>
      <c r="D288" s="31" t="str">
        <f>IFERROR(__xludf.DUMMYFUNCTION("""COMPUTED_VALUE"""),"Other")</f>
        <v>Other</v>
      </c>
      <c r="E288" s="31">
        <f>IFERROR(__xludf.DUMMYFUNCTION("""COMPUTED_VALUE"""),0.058536585)</f>
        <v>0.058536585</v>
      </c>
    </row>
    <row r="289">
      <c r="A289" s="31" t="str">
        <f>IFERROR(__xludf.DUMMYFUNCTION("""COMPUTED_VALUE"""),"VALBOM")</f>
        <v>VALBOM</v>
      </c>
      <c r="B289" s="31">
        <f>IFERROR(__xludf.DUMMYFUNCTION("""COMPUTED_VALUE"""),44.8513)</f>
        <v>44.8513</v>
      </c>
      <c r="C289" s="31">
        <f>IFERROR(__xludf.DUMMYFUNCTION("""COMPUTED_VALUE"""),-0.50707)</f>
        <v>-0.50707</v>
      </c>
      <c r="D289" s="31" t="str">
        <f>IFERROR(__xludf.DUMMYFUNCTION("""COMPUTED_VALUE"""),"Waste management")</f>
        <v>Waste management</v>
      </c>
      <c r="E289" s="31">
        <f>IFERROR(__xludf.DUMMYFUNCTION("""COMPUTED_VALUE"""),0.0583)</f>
        <v>0.0583</v>
      </c>
    </row>
    <row r="290">
      <c r="A290" s="31" t="str">
        <f>IFERROR(__xludf.DUMMYFUNCTION("""COMPUTED_VALUE"""),"IDDEO / EX ESIANE")</f>
        <v>IDDEO / EX ESIANE</v>
      </c>
      <c r="B290" s="31">
        <f>IFERROR(__xludf.DUMMYFUNCTION("""COMPUTED_VALUE"""),49.28)</f>
        <v>49.28</v>
      </c>
      <c r="C290" s="31">
        <f>IFERROR(__xludf.DUMMYFUNCTION("""COMPUTED_VALUE"""),2.50012)</f>
        <v>2.50012</v>
      </c>
      <c r="D290" s="31" t="str">
        <f>IFERROR(__xludf.DUMMYFUNCTION("""COMPUTED_VALUE"""),"Waste management")</f>
        <v>Waste management</v>
      </c>
      <c r="E290" s="31">
        <f>IFERROR(__xludf.DUMMYFUNCTION("""COMPUTED_VALUE"""),0.05775)</f>
        <v>0.05775</v>
      </c>
    </row>
    <row r="291">
      <c r="A291" s="31" t="str">
        <f>IFERROR(__xludf.DUMMYFUNCTION("""COMPUTED_VALUE"""),"TEREOS FRANCE")</f>
        <v>TEREOS FRANCE</v>
      </c>
      <c r="B291" s="31">
        <f>IFERROR(__xludf.DUMMYFUNCTION("""COMPUTED_VALUE"""),49.8349)</f>
        <v>49.8349</v>
      </c>
      <c r="C291" s="31">
        <f>IFERROR(__xludf.DUMMYFUNCTION("""COMPUTED_VALUE"""),3.47998)</f>
        <v>3.47998</v>
      </c>
      <c r="D291" s="31" t="str">
        <f>IFERROR(__xludf.DUMMYFUNCTION("""COMPUTED_VALUE"""),"Other")</f>
        <v>Other</v>
      </c>
      <c r="E291" s="31">
        <f>IFERROR(__xludf.DUMMYFUNCTION("""COMPUTED_VALUE"""),0.057725324)</f>
        <v>0.057725324</v>
      </c>
    </row>
    <row r="292">
      <c r="A292" s="31" t="str">
        <f>IFERROR(__xludf.DUMMYFUNCTION("""COMPUTED_VALUE"""),"CALLERGIE")</f>
        <v>CALLERGIE</v>
      </c>
      <c r="B292" s="31">
        <f>IFERROR(__xludf.DUMMYFUNCTION("""COMPUTED_VALUE"""),50.42)</f>
        <v>50.42</v>
      </c>
      <c r="C292" s="31">
        <f>IFERROR(__xludf.DUMMYFUNCTION("""COMPUTED_VALUE"""),2.85)</f>
        <v>2.85</v>
      </c>
      <c r="D292" s="31" t="str">
        <f>IFERROR(__xludf.DUMMYFUNCTION("""COMPUTED_VALUE"""),"Waste management")</f>
        <v>Waste management</v>
      </c>
      <c r="E292" s="31">
        <f>IFERROR(__xludf.DUMMYFUNCTION("""COMPUTED_VALUE"""),0.0572)</f>
        <v>0.0572</v>
      </c>
    </row>
    <row r="293">
      <c r="A293" s="31" t="str">
        <f>IFERROR(__xludf.DUMMYFUNCTION("""COMPUTED_VALUE"""),"Dyckerhoff GmbH")</f>
        <v>Dyckerhoff GmbH</v>
      </c>
      <c r="B293" s="31">
        <f>IFERROR(__xludf.DUMMYFUNCTION("""COMPUTED_VALUE"""),49.602026022856)</f>
        <v>49.60202602</v>
      </c>
      <c r="C293" s="31">
        <f>IFERROR(__xludf.DUMMYFUNCTION("""COMPUTED_VALUE"""),8.03701249412366)</f>
        <v>8.037012494</v>
      </c>
      <c r="D293" s="31" t="str">
        <f>IFERROR(__xludf.DUMMYFUNCTION("""COMPUTED_VALUE"""),"Other")</f>
        <v>Other</v>
      </c>
      <c r="E293" s="31">
        <f>IFERROR(__xludf.DUMMYFUNCTION("""COMPUTED_VALUE"""),0.057)</f>
        <v>0.057</v>
      </c>
    </row>
    <row r="294">
      <c r="A294" s="31" t="str">
        <f>IFERROR(__xludf.DUMMYFUNCTION("""COMPUTED_VALUE"""),"IREN AMBIENTE S.p.A. (CENTRO STOCCAGGIO E TRATTAMENTO RIFIUTI)")</f>
        <v>IREN AMBIENTE S.p.A. (CENTRO STOCCAGGIO E TRATTAMENTO RIFIUTI)</v>
      </c>
      <c r="B294" s="31">
        <f>IFERROR(__xludf.DUMMYFUNCTION("""COMPUTED_VALUE"""),45.0585)</f>
        <v>45.0585</v>
      </c>
      <c r="C294" s="31">
        <f>IFERROR(__xludf.DUMMYFUNCTION("""COMPUTED_VALUE"""),9.7325)</f>
        <v>9.7325</v>
      </c>
      <c r="D294" s="31" t="str">
        <f>IFERROR(__xludf.DUMMYFUNCTION("""COMPUTED_VALUE"""),"Waste management")</f>
        <v>Waste management</v>
      </c>
      <c r="E294" s="31">
        <f>IFERROR(__xludf.DUMMYFUNCTION("""COMPUTED_VALUE"""),0.0566544)</f>
        <v>0.0566544</v>
      </c>
    </row>
    <row r="295">
      <c r="A295" s="31" t="str">
        <f>IFERROR(__xludf.DUMMYFUNCTION("""COMPUTED_VALUE"""),"2VALORISE HAM")</f>
        <v>2VALORISE HAM</v>
      </c>
      <c r="B295" s="31">
        <f>IFERROR(__xludf.DUMMYFUNCTION("""COMPUTED_VALUE"""),51.0814)</f>
        <v>51.0814</v>
      </c>
      <c r="C295" s="31">
        <f>IFERROR(__xludf.DUMMYFUNCTION("""COMPUTED_VALUE"""),5.15779)</f>
        <v>5.15779</v>
      </c>
      <c r="D295" s="31" t="str">
        <f>IFERROR(__xludf.DUMMYFUNCTION("""COMPUTED_VALUE"""),"Waste management")</f>
        <v>Waste management</v>
      </c>
      <c r="E295" s="31">
        <f>IFERROR(__xludf.DUMMYFUNCTION("""COMPUTED_VALUE"""),0.05665)</f>
        <v>0.05665</v>
      </c>
    </row>
    <row r="296">
      <c r="A296" s="31" t="str">
        <f>IFERROR(__xludf.DUMMYFUNCTION("""COMPUTED_VALUE"""),"PAPREC ENERGIES CENTRE EST")</f>
        <v>PAPREC ENERGIES CENTRE EST</v>
      </c>
      <c r="B296" s="31">
        <f>IFERROR(__xludf.DUMMYFUNCTION("""COMPUTED_VALUE"""),50.3935)</f>
        <v>50.3935</v>
      </c>
      <c r="C296" s="31">
        <f>IFERROR(__xludf.DUMMYFUNCTION("""COMPUTED_VALUE"""),3.55071)</f>
        <v>3.55071</v>
      </c>
      <c r="D296" s="31" t="str">
        <f>IFERROR(__xludf.DUMMYFUNCTION("""COMPUTED_VALUE"""),"Waste management")</f>
        <v>Waste management</v>
      </c>
      <c r="E296" s="31">
        <f>IFERROR(__xludf.DUMMYFUNCTION("""COMPUTED_VALUE"""),0.05665)</f>
        <v>0.05665</v>
      </c>
    </row>
    <row r="297">
      <c r="A297" s="31" t="str">
        <f>IFERROR(__xludf.DUMMYFUNCTION("""COMPUTED_VALUE"""),"SIVALOR")</f>
        <v>SIVALOR</v>
      </c>
      <c r="B297" s="31">
        <f>IFERROR(__xludf.DUMMYFUNCTION("""COMPUTED_VALUE"""),46.08779)</f>
        <v>46.08779</v>
      </c>
      <c r="C297" s="31">
        <f>IFERROR(__xludf.DUMMYFUNCTION("""COMPUTED_VALUE"""),5.81475)</f>
        <v>5.81475</v>
      </c>
      <c r="D297" s="31" t="str">
        <f>IFERROR(__xludf.DUMMYFUNCTION("""COMPUTED_VALUE"""),"Waste management")</f>
        <v>Waste management</v>
      </c>
      <c r="E297" s="31">
        <f>IFERROR(__xludf.DUMMYFUNCTION("""COMPUTED_VALUE"""),0.05665)</f>
        <v>0.05665</v>
      </c>
    </row>
    <row r="298">
      <c r="A298" s="31" t="str">
        <f>IFERROR(__xludf.DUMMYFUNCTION("""COMPUTED_VALUE"""),"INTERGEMEENTELIJKE OPDRACHTHOUDENDE VERENIGING VOOR HUISVUILVERWERKING MEETJESLAND")</f>
        <v>INTERGEMEENTELIJKE OPDRACHTHOUDENDE VERENIGING VOOR HUISVUILVERWERKING MEETJESLAND</v>
      </c>
      <c r="B298" s="31">
        <f>IFERROR(__xludf.DUMMYFUNCTION("""COMPUTED_VALUE"""),51.21203)</f>
        <v>51.21203</v>
      </c>
      <c r="C298" s="31">
        <f>IFERROR(__xludf.DUMMYFUNCTION("""COMPUTED_VALUE"""),3.51709)</f>
        <v>3.51709</v>
      </c>
      <c r="D298" s="31" t="str">
        <f>IFERROR(__xludf.DUMMYFUNCTION("""COMPUTED_VALUE"""),"Waste management")</f>
        <v>Waste management</v>
      </c>
      <c r="E298" s="31">
        <f>IFERROR(__xludf.DUMMYFUNCTION("""COMPUTED_VALUE"""),0.05555)</f>
        <v>0.05555</v>
      </c>
    </row>
    <row r="299">
      <c r="A299" s="31" t="str">
        <f>IFERROR(__xludf.DUMMYFUNCTION("""COMPUTED_VALUE"""),"SAVOIE DECHETS")</f>
        <v>SAVOIE DECHETS</v>
      </c>
      <c r="B299" s="31">
        <f>IFERROR(__xludf.DUMMYFUNCTION("""COMPUTED_VALUE"""),45.59021)</f>
        <v>45.59021</v>
      </c>
      <c r="C299" s="31">
        <f>IFERROR(__xludf.DUMMYFUNCTION("""COMPUTED_VALUE"""),5.89551)</f>
        <v>5.89551</v>
      </c>
      <c r="D299" s="31" t="str">
        <f>IFERROR(__xludf.DUMMYFUNCTION("""COMPUTED_VALUE"""),"Waste management")</f>
        <v>Waste management</v>
      </c>
      <c r="E299" s="31">
        <f>IFERROR(__xludf.DUMMYFUNCTION("""COMPUTED_VALUE"""),0.05555)</f>
        <v>0.05555</v>
      </c>
    </row>
    <row r="300">
      <c r="A300" s="31" t="str">
        <f>IFERROR(__xludf.DUMMYFUNCTION("""COMPUTED_VALUE"""),"Brianza Energia Ambiente S.p.A.")</f>
        <v>Brianza Energia Ambiente S.p.A.</v>
      </c>
      <c r="B300" s="31">
        <f>IFERROR(__xludf.DUMMYFUNCTION("""COMPUTED_VALUE"""),45.6164)</f>
        <v>45.6164</v>
      </c>
      <c r="C300" s="31">
        <f>IFERROR(__xludf.DUMMYFUNCTION("""COMPUTED_VALUE"""),9.1825)</f>
        <v>9.1825</v>
      </c>
      <c r="D300" s="31" t="str">
        <f>IFERROR(__xludf.DUMMYFUNCTION("""COMPUTED_VALUE"""),"Waste management")</f>
        <v>Waste management</v>
      </c>
      <c r="E300" s="31">
        <f>IFERROR(__xludf.DUMMYFUNCTION("""COMPUTED_VALUE"""),0.055377212)</f>
        <v>0.055377212</v>
      </c>
    </row>
    <row r="301">
      <c r="A301" s="31" t="str">
        <f>IFERROR(__xludf.DUMMYFUNCTION("""COMPUTED_VALUE"""),"ZAKŁAD PRODUKCYJNY ""JANIKOSODA"" W JANIKOWIE")</f>
        <v>ZAKŁAD PRODUKCYJNY "JANIKOSODA" W JANIKOWIE</v>
      </c>
      <c r="B301" s="31">
        <f>IFERROR(__xludf.DUMMYFUNCTION("""COMPUTED_VALUE"""),52.76444626)</f>
        <v>52.76444626</v>
      </c>
      <c r="C301" s="31">
        <f>IFERROR(__xludf.DUMMYFUNCTION("""COMPUTED_VALUE"""),18.11083412)</f>
        <v>18.11083412</v>
      </c>
      <c r="D301" s="31" t="str">
        <f>IFERROR(__xludf.DUMMYFUNCTION("""COMPUTED_VALUE"""),"Other")</f>
        <v>Other</v>
      </c>
      <c r="E301" s="31">
        <f>IFERROR(__xludf.DUMMYFUNCTION("""COMPUTED_VALUE"""),0.055080139)</f>
        <v>0.055080139</v>
      </c>
    </row>
    <row r="302">
      <c r="A302" s="31" t="str">
        <f>IFERROR(__xludf.DUMMYFUNCTION("""COMPUTED_VALUE"""),"Stabilimento di Tolmezzo")</f>
        <v>Stabilimento di Tolmezzo</v>
      </c>
      <c r="B302" s="31">
        <f>IFERROR(__xludf.DUMMYFUNCTION("""COMPUTED_VALUE"""),46.3939)</f>
        <v>46.3939</v>
      </c>
      <c r="C302" s="31">
        <f>IFERROR(__xludf.DUMMYFUNCTION("""COMPUTED_VALUE"""),13.0169)</f>
        <v>13.0169</v>
      </c>
      <c r="D302" s="31" t="str">
        <f>IFERROR(__xludf.DUMMYFUNCTION("""COMPUTED_VALUE"""),"Paper, pulp and primary wood products")</f>
        <v>Paper, pulp and primary wood products</v>
      </c>
      <c r="E302" s="31">
        <f>IFERROR(__xludf.DUMMYFUNCTION("""COMPUTED_VALUE"""),0.05429107)</f>
        <v>0.05429107</v>
      </c>
    </row>
    <row r="303">
      <c r="A303" s="31" t="str">
        <f>IFERROR(__xludf.DUMMYFUNCTION("""COMPUTED_VALUE"""),"CEMEX Polska Sp. z o.o - Zakład Cementownia Chełm")</f>
        <v>CEMEX Polska Sp. z o.o - Zakład Cementownia Chełm</v>
      </c>
      <c r="B303" s="31">
        <f>IFERROR(__xludf.DUMMYFUNCTION("""COMPUTED_VALUE"""),51.1371727)</f>
        <v>51.1371727</v>
      </c>
      <c r="C303" s="31">
        <f>IFERROR(__xludf.DUMMYFUNCTION("""COMPUTED_VALUE"""),23.5443573)</f>
        <v>23.5443573</v>
      </c>
      <c r="D303" s="31" t="str">
        <f>IFERROR(__xludf.DUMMYFUNCTION("""COMPUTED_VALUE"""),"Other")</f>
        <v>Other</v>
      </c>
      <c r="E303" s="31">
        <f>IFERROR(__xludf.DUMMYFUNCTION("""COMPUTED_VALUE"""),0.053279209)</f>
        <v>0.053279209</v>
      </c>
    </row>
    <row r="304">
      <c r="A304" s="31" t="str">
        <f>IFERROR(__xludf.DUMMYFUNCTION("""COMPUTED_VALUE"""),"EGGER PANNEAUX &amp; DÉCORS")</f>
        <v>EGGER PANNEAUX &amp; DÉCORS</v>
      </c>
      <c r="B304" s="31">
        <f>IFERROR(__xludf.DUMMYFUNCTION("""COMPUTED_VALUE"""),43.91568)</f>
        <v>43.91568</v>
      </c>
      <c r="C304" s="31">
        <f>IFERROR(__xludf.DUMMYFUNCTION("""COMPUTED_VALUE"""),-0.91382)</f>
        <v>-0.91382</v>
      </c>
      <c r="D304" s="31" t="str">
        <f>IFERROR(__xludf.DUMMYFUNCTION("""COMPUTED_VALUE"""),"Paper, pulp and primary wood products")</f>
        <v>Paper, pulp and primary wood products</v>
      </c>
      <c r="E304" s="31">
        <f>IFERROR(__xludf.DUMMYFUNCTION("""COMPUTED_VALUE"""),0.053221614)</f>
        <v>0.053221614</v>
      </c>
    </row>
    <row r="305">
      <c r="A305" s="31" t="str">
        <f>IFERROR(__xludf.DUMMYFUNCTION("""COMPUTED_VALUE"""),"LKAB - Malmbergsgruvan")</f>
        <v>LKAB - Malmbergsgruvan</v>
      </c>
      <c r="B305" s="31">
        <f>IFERROR(__xludf.DUMMYFUNCTION("""COMPUTED_VALUE"""),67.19643)</f>
        <v>67.19643</v>
      </c>
      <c r="C305" s="31">
        <f>IFERROR(__xludf.DUMMYFUNCTION("""COMPUTED_VALUE"""),20.70867)</f>
        <v>20.70867</v>
      </c>
      <c r="D305" s="31" t="str">
        <f>IFERROR(__xludf.DUMMYFUNCTION("""COMPUTED_VALUE"""),"Other")</f>
        <v>Other</v>
      </c>
      <c r="E305" s="31">
        <f>IFERROR(__xludf.DUMMYFUNCTION("""COMPUTED_VALUE"""),0.0532)</f>
        <v>0.0532</v>
      </c>
    </row>
    <row r="306">
      <c r="A306" s="31" t="str">
        <f>IFERROR(__xludf.DUMMYFUNCTION("""COMPUTED_VALUE"""),"LA ROCHETTE  CARTONBOARD SAS")</f>
        <v>LA ROCHETTE  CARTONBOARD SAS</v>
      </c>
      <c r="B306" s="31">
        <f>IFERROR(__xludf.DUMMYFUNCTION("""COMPUTED_VALUE"""),45.4537)</f>
        <v>45.4537</v>
      </c>
      <c r="C306" s="31">
        <f>IFERROR(__xludf.DUMMYFUNCTION("""COMPUTED_VALUE"""),6.1185)</f>
        <v>6.1185</v>
      </c>
      <c r="D306" s="31" t="str">
        <f>IFERROR(__xludf.DUMMYFUNCTION("""COMPUTED_VALUE"""),"Paper, pulp and primary wood products")</f>
        <v>Paper, pulp and primary wood products</v>
      </c>
      <c r="E306" s="31">
        <f>IFERROR(__xludf.DUMMYFUNCTION("""COMPUTED_VALUE"""),0.052788918)</f>
        <v>0.052788918</v>
      </c>
    </row>
    <row r="307">
      <c r="A307" s="31" t="str">
        <f>IFERROR(__xludf.DUMMYFUNCTION("""COMPUTED_VALUE"""),"Pfleiderer MDF Grajewo Sp. z o.o.")</f>
        <v>Pfleiderer MDF Grajewo Sp. z o.o.</v>
      </c>
      <c r="B307" s="31">
        <f>IFERROR(__xludf.DUMMYFUNCTION("""COMPUTED_VALUE"""),53.63199997)</f>
        <v>53.63199997</v>
      </c>
      <c r="C307" s="31">
        <f>IFERROR(__xludf.DUMMYFUNCTION("""COMPUTED_VALUE"""),22.47702789)</f>
        <v>22.47702789</v>
      </c>
      <c r="D307" s="31" t="str">
        <f>IFERROR(__xludf.DUMMYFUNCTION("""COMPUTED_VALUE"""),"Paper, pulp and primary wood products")</f>
        <v>Paper, pulp and primary wood products</v>
      </c>
      <c r="E307" s="31">
        <f>IFERROR(__xludf.DUMMYFUNCTION("""COMPUTED_VALUE"""),0.052356222)</f>
        <v>0.052356222</v>
      </c>
    </row>
    <row r="308">
      <c r="A308" s="31" t="str">
        <f>IFERROR(__xludf.DUMMYFUNCTION("""COMPUTED_VALUE"""),"AB „Grigeo Grigiškės“")</f>
        <v>AB „Grigeo Grigiškės“</v>
      </c>
      <c r="B308" s="31">
        <f>IFERROR(__xludf.DUMMYFUNCTION("""COMPUTED_VALUE"""),54.678451)</f>
        <v>54.678451</v>
      </c>
      <c r="C308" s="31">
        <f>IFERROR(__xludf.DUMMYFUNCTION("""COMPUTED_VALUE"""),25.086705)</f>
        <v>25.086705</v>
      </c>
      <c r="D308" s="31" t="str">
        <f>IFERROR(__xludf.DUMMYFUNCTION("""COMPUTED_VALUE"""),"Paper, pulp and primary wood products")</f>
        <v>Paper, pulp and primary wood products</v>
      </c>
      <c r="E308" s="31">
        <f>IFERROR(__xludf.DUMMYFUNCTION("""COMPUTED_VALUE"""),0.051058134)</f>
        <v>0.051058134</v>
      </c>
    </row>
    <row r="309">
      <c r="A309" s="31" t="str">
        <f>IFERROR(__xludf.DUMMYFUNCTION("""COMPUTED_VALUE"""),"HOMANIT KROSNO ODRZAŃSKIE Sp. z o.o.")</f>
        <v>HOMANIT KROSNO ODRZAŃSKIE Sp. z o.o.</v>
      </c>
      <c r="B309" s="31">
        <f>IFERROR(__xludf.DUMMYFUNCTION("""COMPUTED_VALUE"""),52.02193451)</f>
        <v>52.02193451</v>
      </c>
      <c r="C309" s="31">
        <f>IFERROR(__xludf.DUMMYFUNCTION("""COMPUTED_VALUE"""),15.08318901)</f>
        <v>15.08318901</v>
      </c>
      <c r="D309" s="31" t="str">
        <f>IFERROR(__xludf.DUMMYFUNCTION("""COMPUTED_VALUE"""),"Paper, pulp and primary wood products")</f>
        <v>Paper, pulp and primary wood products</v>
      </c>
      <c r="E309" s="31">
        <f>IFERROR(__xludf.DUMMYFUNCTION("""COMPUTED_VALUE"""),0.050625438)</f>
        <v>0.050625438</v>
      </c>
    </row>
    <row r="310">
      <c r="A310" s="31" t="str">
        <f>IFERROR(__xludf.DUMMYFUNCTION("""COMPUTED_VALUE"""),"TANNE SP. Z O.O. UL DUBOWO I 60")</f>
        <v>TANNE SP. Z O.O. UL DUBOWO I 60</v>
      </c>
      <c r="B310" s="31">
        <f>IFERROR(__xludf.DUMMYFUNCTION("""COMPUTED_VALUE"""),54.04150009)</f>
        <v>54.04150009</v>
      </c>
      <c r="C310" s="31">
        <f>IFERROR(__xludf.DUMMYFUNCTION("""COMPUTED_VALUE"""),22.92900467)</f>
        <v>22.92900467</v>
      </c>
      <c r="D310" s="31" t="str">
        <f>IFERROR(__xludf.DUMMYFUNCTION("""COMPUTED_VALUE"""),"Paper, pulp and primary wood products")</f>
        <v>Paper, pulp and primary wood products</v>
      </c>
      <c r="E310" s="31">
        <f>IFERROR(__xludf.DUMMYFUNCTION("""COMPUTED_VALUE"""),0.050625438)</f>
        <v>0.050625438</v>
      </c>
    </row>
    <row r="311">
      <c r="A311" s="31" t="str">
        <f>IFERROR(__xludf.DUMMYFUNCTION("""COMPUTED_VALUE"""),"FÁBRICA DE MENGÍBAR (SMURFIT KAPPA ESPAÑA, S.A.)")</f>
        <v>FÁBRICA DE MENGÍBAR (SMURFIT KAPPA ESPAÑA, S.A.)</v>
      </c>
      <c r="B311" s="31">
        <f>IFERROR(__xludf.DUMMYFUNCTION("""COMPUTED_VALUE"""),37.978635)</f>
        <v>37.978635</v>
      </c>
      <c r="C311" s="31">
        <f>IFERROR(__xludf.DUMMYFUNCTION("""COMPUTED_VALUE"""),-3.799581)</f>
        <v>-3.799581</v>
      </c>
      <c r="D311" s="31" t="str">
        <f>IFERROR(__xludf.DUMMYFUNCTION("""COMPUTED_VALUE"""),"Paper, pulp and primary wood products")</f>
        <v>Paper, pulp and primary wood products</v>
      </c>
      <c r="E311" s="31">
        <f>IFERROR(__xludf.DUMMYFUNCTION("""COMPUTED_VALUE"""),0.049760046)</f>
        <v>0.049760046</v>
      </c>
    </row>
    <row r="312">
      <c r="A312" s="31" t="str">
        <f>IFERROR(__xludf.DUMMYFUNCTION("""COMPUTED_VALUE"""),"VIPAP VIDEM KRŠKO")</f>
        <v>VIPAP VIDEM KRŠKO</v>
      </c>
      <c r="B312" s="31">
        <f>IFERROR(__xludf.DUMMYFUNCTION("""COMPUTED_VALUE"""),45.954139)</f>
        <v>45.954139</v>
      </c>
      <c r="C312" s="31">
        <f>IFERROR(__xludf.DUMMYFUNCTION("""COMPUTED_VALUE"""),15.491861)</f>
        <v>15.491861</v>
      </c>
      <c r="D312" s="31" t="str">
        <f>IFERROR(__xludf.DUMMYFUNCTION("""COMPUTED_VALUE"""),"Paper, pulp and primary wood products")</f>
        <v>Paper, pulp and primary wood products</v>
      </c>
      <c r="E312" s="31">
        <f>IFERROR(__xludf.DUMMYFUNCTION("""COMPUTED_VALUE"""),0.049671)</f>
        <v>0.049671</v>
      </c>
    </row>
    <row r="313">
      <c r="A313" s="31" t="str">
        <f>IFERROR(__xludf.DUMMYFUNCTION("""COMPUTED_VALUE"""),"WIEN ENERGIE GmbH")</f>
        <v>WIEN ENERGIE GmbH</v>
      </c>
      <c r="B313" s="31">
        <f>IFERROR(__xludf.DUMMYFUNCTION("""COMPUTED_VALUE"""),48.173944)</f>
        <v>48.173944</v>
      </c>
      <c r="C313" s="31">
        <f>IFERROR(__xludf.DUMMYFUNCTION("""COMPUTED_VALUE"""),16.460528)</f>
        <v>16.460528</v>
      </c>
      <c r="D313" s="31" t="str">
        <f>IFERROR(__xludf.DUMMYFUNCTION("""COMPUTED_VALUE"""),"Waste management")</f>
        <v>Waste management</v>
      </c>
      <c r="E313" s="31">
        <f>IFERROR(__xludf.DUMMYFUNCTION("""COMPUTED_VALUE"""),0.049531369)</f>
        <v>0.049531369</v>
      </c>
    </row>
    <row r="314">
      <c r="A314" s="31" t="str">
        <f>IFERROR(__xludf.DUMMYFUNCTION("""COMPUTED_VALUE"""),"HERACLES G.C.Co, VOLOS PLANT")</f>
        <v>HERACLES G.C.Co, VOLOS PLANT</v>
      </c>
      <c r="B314" s="31">
        <f>IFERROR(__xludf.DUMMYFUNCTION("""COMPUTED_VALUE"""),39.35171)</f>
        <v>39.35171</v>
      </c>
      <c r="C314" s="31">
        <f>IFERROR(__xludf.DUMMYFUNCTION("""COMPUTED_VALUE"""),22.9845)</f>
        <v>22.9845</v>
      </c>
      <c r="D314" s="31" t="str">
        <f>IFERROR(__xludf.DUMMYFUNCTION("""COMPUTED_VALUE"""),"Other")</f>
        <v>Other</v>
      </c>
      <c r="E314" s="31">
        <f>IFERROR(__xludf.DUMMYFUNCTION("""COMPUTED_VALUE"""),0.04872543)</f>
        <v>0.04872543</v>
      </c>
    </row>
    <row r="315">
      <c r="A315" s="31" t="str">
        <f>IFERROR(__xludf.DUMMYFUNCTION("""COMPUTED_VALUE"""),"Cauldon Cement Plant")</f>
        <v>Cauldon Cement Plant</v>
      </c>
      <c r="B315" s="31">
        <f>IFERROR(__xludf.DUMMYFUNCTION("""COMPUTED_VALUE"""),53.043603)</f>
        <v>53.043603</v>
      </c>
      <c r="C315" s="31">
        <f>IFERROR(__xludf.DUMMYFUNCTION("""COMPUTED_VALUE"""),-1.8746695)</f>
        <v>-1.8746695</v>
      </c>
      <c r="D315" s="31" t="str">
        <f>IFERROR(__xludf.DUMMYFUNCTION("""COMPUTED_VALUE"""),"Other")</f>
        <v>Other</v>
      </c>
      <c r="E315" s="31">
        <f>IFERROR(__xludf.DUMMYFUNCTION("""COMPUTED_VALUE"""),0.048)</f>
        <v>0.048</v>
      </c>
    </row>
    <row r="316">
      <c r="A316" s="31" t="str">
        <f>IFERROR(__xludf.DUMMYFUNCTION("""COMPUTED_VALUE"""),"Dyckerhoff Polska Sp. z o.o.")</f>
        <v>Dyckerhoff Polska Sp. z o.o.</v>
      </c>
      <c r="B316" s="31">
        <f>IFERROR(__xludf.DUMMYFUNCTION("""COMPUTED_VALUE"""),50.80694199)</f>
        <v>50.80694199</v>
      </c>
      <c r="C316" s="31">
        <f>IFERROR(__xludf.DUMMYFUNCTION("""COMPUTED_VALUE"""),20.52222252)</f>
        <v>20.52222252</v>
      </c>
      <c r="D316" s="31" t="str">
        <f>IFERROR(__xludf.DUMMYFUNCTION("""COMPUTED_VALUE"""),"Other")</f>
        <v>Other</v>
      </c>
      <c r="E316" s="31">
        <f>IFERROR(__xludf.DUMMYFUNCTION("""COMPUTED_VALUE"""),0.047814675)</f>
        <v>0.047814675</v>
      </c>
    </row>
    <row r="317">
      <c r="A317" s="31" t="str">
        <f>IFERROR(__xludf.DUMMYFUNCTION("""COMPUTED_VALUE"""),"Isd Dunaferr Zrt.")</f>
        <v>Isd Dunaferr Zrt.</v>
      </c>
      <c r="B317" s="31">
        <f>IFERROR(__xludf.DUMMYFUNCTION("""COMPUTED_VALUE"""),46.943314)</f>
        <v>46.943314</v>
      </c>
      <c r="C317" s="31">
        <f>IFERROR(__xludf.DUMMYFUNCTION("""COMPUTED_VALUE"""),18.940529)</f>
        <v>18.940529</v>
      </c>
      <c r="D317" s="31" t="str">
        <f>IFERROR(__xludf.DUMMYFUNCTION("""COMPUTED_VALUE"""),"Other")</f>
        <v>Other</v>
      </c>
      <c r="E317" s="31">
        <f>IFERROR(__xludf.DUMMYFUNCTION("""COMPUTED_VALUE"""),0.046470744)</f>
        <v>0.046470744</v>
      </c>
    </row>
    <row r="318">
      <c r="A318" s="31" t="str">
        <f>IFERROR(__xludf.DUMMYFUNCTION("""COMPUTED_VALUE"""),"Centro de Produção de Alhandra (CI)")</f>
        <v>Centro de Produção de Alhandra (CI)</v>
      </c>
      <c r="B318" s="31">
        <f>IFERROR(__xludf.DUMMYFUNCTION("""COMPUTED_VALUE"""),38.92382)</f>
        <v>38.92382</v>
      </c>
      <c r="C318" s="31">
        <f>IFERROR(__xludf.DUMMYFUNCTION("""COMPUTED_VALUE"""),-9.00969)</f>
        <v>-9.00969</v>
      </c>
      <c r="D318" s="31" t="str">
        <f>IFERROR(__xludf.DUMMYFUNCTION("""COMPUTED_VALUE"""),"Other")</f>
        <v>Other</v>
      </c>
      <c r="E318" s="31">
        <f>IFERROR(__xludf.DUMMYFUNCTION("""COMPUTED_VALUE"""),0.046233214)</f>
        <v>0.046233214</v>
      </c>
    </row>
    <row r="319">
      <c r="A319" s="31" t="str">
        <f>IFERROR(__xludf.DUMMYFUNCTION("""COMPUTED_VALUE"""),"CBR sa - Site de Lixhe")</f>
        <v>CBR sa - Site de Lixhe</v>
      </c>
      <c r="B319" s="31">
        <f>IFERROR(__xludf.DUMMYFUNCTION("""COMPUTED_VALUE"""),50.76022)</f>
        <v>50.76022</v>
      </c>
      <c r="C319" s="31">
        <f>IFERROR(__xludf.DUMMYFUNCTION("""COMPUTED_VALUE"""),5.6725326)</f>
        <v>5.6725326</v>
      </c>
      <c r="D319" s="31" t="str">
        <f>IFERROR(__xludf.DUMMYFUNCTION("""COMPUTED_VALUE"""),"Other")</f>
        <v>Other</v>
      </c>
      <c r="E319" s="31">
        <f>IFERROR(__xludf.DUMMYFUNCTION("""COMPUTED_VALUE"""),0.045462661)</f>
        <v>0.045462661</v>
      </c>
    </row>
    <row r="320">
      <c r="A320" s="31" t="str">
        <f>IFERROR(__xludf.DUMMYFUNCTION("""COMPUTED_VALUE"""),"CCB - Site de Gaurain-Ramecroix")</f>
        <v>CCB - Site de Gaurain-Ramecroix</v>
      </c>
      <c r="B320" s="31">
        <f>IFERROR(__xludf.DUMMYFUNCTION("""COMPUTED_VALUE"""),50.600388)</f>
        <v>50.600388</v>
      </c>
      <c r="C320" s="31">
        <f>IFERROR(__xludf.DUMMYFUNCTION("""COMPUTED_VALUE"""),3.4877694)</f>
        <v>3.4877694</v>
      </c>
      <c r="D320" s="31" t="str">
        <f>IFERROR(__xludf.DUMMYFUNCTION("""COMPUTED_VALUE"""),"Other")</f>
        <v>Other</v>
      </c>
      <c r="E320" s="31">
        <f>IFERROR(__xludf.DUMMYFUNCTION("""COMPUTED_VALUE"""),0.044692107)</f>
        <v>0.044692107</v>
      </c>
    </row>
    <row r="321">
      <c r="A321" s="31" t="str">
        <f>IFERROR(__xludf.DUMMYFUNCTION("""COMPUTED_VALUE"""),"AB ""Akmenės cementas""")</f>
        <v>AB "Akmenės cementas"</v>
      </c>
      <c r="B321" s="31">
        <f>IFERROR(__xludf.DUMMYFUNCTION("""COMPUTED_VALUE"""),56.314417)</f>
        <v>56.314417</v>
      </c>
      <c r="C321" s="31">
        <f>IFERROR(__xludf.DUMMYFUNCTION("""COMPUTED_VALUE"""),22.911998)</f>
        <v>22.911998</v>
      </c>
      <c r="D321" s="31" t="str">
        <f>IFERROR(__xludf.DUMMYFUNCTION("""COMPUTED_VALUE"""),"Other")</f>
        <v>Other</v>
      </c>
      <c r="E321" s="31">
        <f>IFERROR(__xludf.DUMMYFUNCTION("""COMPUTED_VALUE"""),0.044199265)</f>
        <v>0.044199265</v>
      </c>
    </row>
    <row r="322">
      <c r="A322" s="31" t="str">
        <f>IFERROR(__xludf.DUMMYFUNCTION("""COMPUTED_VALUE"""),"Smurfit Kappa Zülpich Papier GmbH")</f>
        <v>Smurfit Kappa Zülpich Papier GmbH</v>
      </c>
      <c r="B322" s="31">
        <f>IFERROR(__xludf.DUMMYFUNCTION("""COMPUTED_VALUE"""),50.7065918471057)</f>
        <v>50.70659185</v>
      </c>
      <c r="C322" s="31">
        <f>IFERROR(__xludf.DUMMYFUNCTION("""COMPUTED_VALUE"""),6.6530059121098)</f>
        <v>6.653005912</v>
      </c>
      <c r="D322" s="31" t="str">
        <f>IFERROR(__xludf.DUMMYFUNCTION("""COMPUTED_VALUE"""),"Paper, pulp and primary wood products")</f>
        <v>Paper, pulp and primary wood products</v>
      </c>
      <c r="E322" s="31">
        <f>IFERROR(__xludf.DUMMYFUNCTION("""COMPUTED_VALUE"""),0.044)</f>
        <v>0.044</v>
      </c>
    </row>
    <row r="323">
      <c r="A323" s="31" t="str">
        <f>IFERROR(__xludf.DUMMYFUNCTION("""COMPUTED_VALUE"""),"Tvornica papira, ambalaže i energetika")</f>
        <v>Tvornica papira, ambalaže i energetika</v>
      </c>
      <c r="B323" s="31">
        <f>IFERROR(__xludf.DUMMYFUNCTION("""COMPUTED_VALUE"""),45.68608)</f>
        <v>45.68608</v>
      </c>
      <c r="C323" s="31">
        <f>IFERROR(__xludf.DUMMYFUNCTION("""COMPUTED_VALUE"""),18.41069)</f>
        <v>18.41069</v>
      </c>
      <c r="D323" s="31" t="str">
        <f>IFERROR(__xludf.DUMMYFUNCTION("""COMPUTED_VALUE"""),"Paper, pulp and primary wood products")</f>
        <v>Paper, pulp and primary wood products</v>
      </c>
      <c r="E323" s="31">
        <f>IFERROR(__xludf.DUMMYFUNCTION("""COMPUTED_VALUE"""),0.043702301)</f>
        <v>0.043702301</v>
      </c>
    </row>
    <row r="324">
      <c r="A324" s="31" t="str">
        <f>IFERROR(__xludf.DUMMYFUNCTION("""COMPUTED_VALUE"""),"Italcementi di Rezzato")</f>
        <v>Italcementi di Rezzato</v>
      </c>
      <c r="B324" s="31">
        <f>IFERROR(__xludf.DUMMYFUNCTION("""COMPUTED_VALUE"""),45.5153)</f>
        <v>45.5153</v>
      </c>
      <c r="C324" s="31">
        <f>IFERROR(__xludf.DUMMYFUNCTION("""COMPUTED_VALUE"""),10.3444)</f>
        <v>10.3444</v>
      </c>
      <c r="D324" s="31" t="str">
        <f>IFERROR(__xludf.DUMMYFUNCTION("""COMPUTED_VALUE"""),"Other")</f>
        <v>Other</v>
      </c>
      <c r="E324" s="31">
        <f>IFERROR(__xludf.DUMMYFUNCTION("""COMPUTED_VALUE"""),0.040933323)</f>
        <v>0.040933323</v>
      </c>
    </row>
    <row r="325">
      <c r="A325" s="31" t="str">
        <f>IFERROR(__xludf.DUMMYFUNCTION("""COMPUTED_VALUE"""),"ENCI BV (Maastricht)")</f>
        <v>ENCI BV (Maastricht)</v>
      </c>
      <c r="B325" s="31">
        <f>IFERROR(__xludf.DUMMYFUNCTION("""COMPUTED_VALUE"""),50.81815)</f>
        <v>50.81815</v>
      </c>
      <c r="C325" s="31">
        <f>IFERROR(__xludf.DUMMYFUNCTION("""COMPUTED_VALUE"""),5.68909)</f>
        <v>5.68909</v>
      </c>
      <c r="D325" s="31" t="str">
        <f>IFERROR(__xludf.DUMMYFUNCTION("""COMPUTED_VALUE"""),"Other")</f>
        <v>Other</v>
      </c>
      <c r="E325" s="31">
        <f>IFERROR(__xludf.DUMMYFUNCTION("""COMPUTED_VALUE"""),0.04)</f>
        <v>0.04</v>
      </c>
    </row>
    <row r="326">
      <c r="A326" s="31" t="str">
        <f>IFERROR(__xludf.DUMMYFUNCTION("""COMPUTED_VALUE"""),"Mannok Cement Limited")</f>
        <v>Mannok Cement Limited</v>
      </c>
      <c r="B326" s="31">
        <f>IFERROR(__xludf.DUMMYFUNCTION("""COMPUTED_VALUE"""),54.131276)</f>
        <v>54.131276</v>
      </c>
      <c r="C326" s="31">
        <f>IFERROR(__xludf.DUMMYFUNCTION("""COMPUTED_VALUE"""),-7.579216)</f>
        <v>-7.579216</v>
      </c>
      <c r="D326" s="31" t="str">
        <f>IFERROR(__xludf.DUMMYFUNCTION("""COMPUTED_VALUE"""),"Other")</f>
        <v>Other</v>
      </c>
      <c r="E326" s="31">
        <f>IFERROR(__xludf.DUMMYFUNCTION("""COMPUTED_VALUE"""),0.03977569)</f>
        <v>0.03977569</v>
      </c>
    </row>
    <row r="327">
      <c r="A327" s="31" t="str">
        <f>IFERROR(__xludf.DUMMYFUNCTION("""COMPUTED_VALUE"""),"PEC TREDI")</f>
        <v>PEC TREDI</v>
      </c>
      <c r="B327" s="31">
        <f>IFERROR(__xludf.DUMMYFUNCTION("""COMPUTED_VALUE"""),45.3425)</f>
        <v>45.3425</v>
      </c>
      <c r="C327" s="31">
        <f>IFERROR(__xludf.DUMMYFUNCTION("""COMPUTED_VALUE"""),4.79649)</f>
        <v>4.79649</v>
      </c>
      <c r="D327" s="31" t="str">
        <f>IFERROR(__xludf.DUMMYFUNCTION("""COMPUTED_VALUE"""),"Waste management")</f>
        <v>Waste management</v>
      </c>
      <c r="E327" s="31">
        <f>IFERROR(__xludf.DUMMYFUNCTION("""COMPUTED_VALUE"""),0.03797405)</f>
        <v>0.03797405</v>
      </c>
    </row>
    <row r="328">
      <c r="A328" s="31" t="str">
        <f>IFERROR(__xludf.DUMMYFUNCTION("""COMPUTED_VALUE"""),"HERACLES G.C.Co, MILAKI PLANT")</f>
        <v>HERACLES G.C.Co, MILAKI PLANT</v>
      </c>
      <c r="B328" s="31">
        <f>IFERROR(__xludf.DUMMYFUNCTION("""COMPUTED_VALUE"""),38.37488)</f>
        <v>38.37488</v>
      </c>
      <c r="C328" s="31">
        <f>IFERROR(__xludf.DUMMYFUNCTION("""COMPUTED_VALUE"""),24.06393)</f>
        <v>24.06393</v>
      </c>
      <c r="D328" s="31" t="str">
        <f>IFERROR(__xludf.DUMMYFUNCTION("""COMPUTED_VALUE"""),"Other")</f>
        <v>Other</v>
      </c>
      <c r="E328" s="31">
        <f>IFERROR(__xludf.DUMMYFUNCTION("""COMPUTED_VALUE"""),0.037295446)</f>
        <v>0.037295446</v>
      </c>
    </row>
    <row r="329">
      <c r="A329" s="31" t="str">
        <f>IFERROR(__xludf.DUMMYFUNCTION("""COMPUTED_VALUE"""),"LAFARGE CIMENTS")</f>
        <v>LAFARGE CIMENTS</v>
      </c>
      <c r="B329" s="31">
        <f>IFERROR(__xludf.DUMMYFUNCTION("""COMPUTED_VALUE"""),48.10872)</f>
        <v>48.10872</v>
      </c>
      <c r="C329" s="31">
        <f>IFERROR(__xludf.DUMMYFUNCTION("""COMPUTED_VALUE"""),-1.03588)</f>
        <v>-1.03588</v>
      </c>
      <c r="D329" s="31" t="str">
        <f>IFERROR(__xludf.DUMMYFUNCTION("""COMPUTED_VALUE"""),"Other")</f>
        <v>Other</v>
      </c>
      <c r="E329" s="31">
        <f>IFERROR(__xludf.DUMMYFUNCTION("""COMPUTED_VALUE"""),0.037063627)</f>
        <v>0.037063627</v>
      </c>
    </row>
    <row r="330">
      <c r="A330" s="31" t="str">
        <f>IFERROR(__xludf.DUMMYFUNCTION("""COMPUTED_VALUE"""),"BUZZI UNICEM SPA")</f>
        <v>BUZZI UNICEM SPA</v>
      </c>
      <c r="B330" s="31">
        <f>IFERROR(__xludf.DUMMYFUNCTION("""COMPUTED_VALUE"""),44.2833)</f>
        <v>44.2833</v>
      </c>
      <c r="C330" s="31">
        <f>IFERROR(__xludf.DUMMYFUNCTION("""COMPUTED_VALUE"""),7.5)</f>
        <v>7.5</v>
      </c>
      <c r="D330" s="31" t="str">
        <f>IFERROR(__xludf.DUMMYFUNCTION("""COMPUTED_VALUE"""),"Other")</f>
        <v>Other</v>
      </c>
      <c r="E330" s="31">
        <f>IFERROR(__xludf.DUMMYFUNCTION("""COMPUTED_VALUE"""),0.03631306)</f>
        <v>0.03631306</v>
      </c>
    </row>
    <row r="331">
      <c r="A331" s="31" t="str">
        <f>IFERROR(__xludf.DUMMYFUNCTION("""COMPUTED_VALUE"""),"Ribblesdale Cement Works")</f>
        <v>Ribblesdale Cement Works</v>
      </c>
      <c r="B331" s="31">
        <f>IFERROR(__xludf.DUMMYFUNCTION("""COMPUTED_VALUE"""),53.888327)</f>
        <v>53.888327</v>
      </c>
      <c r="C331" s="31">
        <f>IFERROR(__xludf.DUMMYFUNCTION("""COMPUTED_VALUE"""),-2.3844346)</f>
        <v>-2.3844346</v>
      </c>
      <c r="D331" s="31" t="str">
        <f>IFERROR(__xludf.DUMMYFUNCTION("""COMPUTED_VALUE"""),"Other")</f>
        <v>Other</v>
      </c>
      <c r="E331" s="31">
        <f>IFERROR(__xludf.DUMMYFUNCTION("""COMPUTED_VALUE"""),0.036)</f>
        <v>0.036</v>
      </c>
    </row>
    <row r="332">
      <c r="A332" s="31" t="str">
        <f>IFERROR(__xludf.DUMMYFUNCTION("""COMPUTED_VALUE"""),"CEMENTOS MOLINS INDUSTRIAL (SANT VICENÇ DELS HORTS)")</f>
        <v>CEMENTOS MOLINS INDUSTRIAL (SANT VICENÇ DELS HORTS)</v>
      </c>
      <c r="B332" s="31">
        <f>IFERROR(__xludf.DUMMYFUNCTION("""COMPUTED_VALUE"""),41.408723)</f>
        <v>41.408723</v>
      </c>
      <c r="C332" s="31">
        <f>IFERROR(__xludf.DUMMYFUNCTION("""COMPUTED_VALUE"""),1.999262)</f>
        <v>1.999262</v>
      </c>
      <c r="D332" s="31" t="str">
        <f>IFERROR(__xludf.DUMMYFUNCTION("""COMPUTED_VALUE"""),"Other")</f>
        <v>Other</v>
      </c>
      <c r="E332" s="31">
        <f>IFERROR(__xludf.DUMMYFUNCTION("""COMPUTED_VALUE"""),0.035984852)</f>
        <v>0.035984852</v>
      </c>
    </row>
    <row r="333">
      <c r="A333" s="31" t="str">
        <f>IFERROR(__xludf.DUMMYFUNCTION("""COMPUTED_VALUE"""),"CORSA PETFOOD (CARDONA)")</f>
        <v>CORSA PETFOOD (CARDONA)</v>
      </c>
      <c r="B333" s="31">
        <f>IFERROR(__xludf.DUMMYFUNCTION("""COMPUTED_VALUE"""),41.900239)</f>
        <v>41.900239</v>
      </c>
      <c r="C333" s="31">
        <f>IFERROR(__xludf.DUMMYFUNCTION("""COMPUTED_VALUE"""),1.713645)</f>
        <v>1.713645</v>
      </c>
      <c r="D333" s="31" t="str">
        <f>IFERROR(__xludf.DUMMYFUNCTION("""COMPUTED_VALUE"""),"Other")</f>
        <v>Other</v>
      </c>
      <c r="E333" s="31">
        <f>IFERROR(__xludf.DUMMYFUNCTION("""COMPUTED_VALUE"""),0.035766032)</f>
        <v>0.035766032</v>
      </c>
    </row>
    <row r="334">
      <c r="A334" s="31" t="str">
        <f>IFERROR(__xludf.DUMMYFUNCTION("""COMPUTED_VALUE"""),"CRH (Slovensko) a.s. - Výroba cementu")</f>
        <v>CRH (Slovensko) a.s. - Výroba cementu</v>
      </c>
      <c r="B334" s="31">
        <f>IFERROR(__xludf.DUMMYFUNCTION("""COMPUTED_VALUE"""),48.458203)</f>
        <v>48.458203</v>
      </c>
      <c r="C334" s="31">
        <f>IFERROR(__xludf.DUMMYFUNCTION("""COMPUTED_VALUE"""),17.189656)</f>
        <v>17.189656</v>
      </c>
      <c r="D334" s="31" t="str">
        <f>IFERROR(__xludf.DUMMYFUNCTION("""COMPUTED_VALUE"""),"Other")</f>
        <v>Other</v>
      </c>
      <c r="E334" s="31">
        <f>IFERROR(__xludf.DUMMYFUNCTION("""COMPUTED_VALUE"""),0.035715158)</f>
        <v>0.035715158</v>
      </c>
    </row>
    <row r="335">
      <c r="A335" s="31" t="str">
        <f>IFERROR(__xludf.DUMMYFUNCTION("""COMPUTED_VALUE"""),"CEMENTOS PORTLAND VALDERRIVAS (SANTA MARGARIDA I ELS MONJOS)")</f>
        <v>CEMENTOS PORTLAND VALDERRIVAS (SANTA MARGARIDA I ELS MONJOS)</v>
      </c>
      <c r="B335" s="31">
        <f>IFERROR(__xludf.DUMMYFUNCTION("""COMPUTED_VALUE"""),41.314665)</f>
        <v>41.314665</v>
      </c>
      <c r="C335" s="31">
        <f>IFERROR(__xludf.DUMMYFUNCTION("""COMPUTED_VALUE"""),1.663019)</f>
        <v>1.663019</v>
      </c>
      <c r="D335" s="31" t="str">
        <f>IFERROR(__xludf.DUMMYFUNCTION("""COMPUTED_VALUE"""),"Other")</f>
        <v>Other</v>
      </c>
      <c r="E335" s="31">
        <f>IFERROR(__xludf.DUMMYFUNCTION("""COMPUTED_VALUE"""),0.035715158)</f>
        <v>0.035715158</v>
      </c>
    </row>
    <row r="336">
      <c r="A336" s="31" t="str">
        <f>IFERROR(__xludf.DUMMYFUNCTION("""COMPUTED_VALUE"""),"závod Radotín")</f>
        <v>závod Radotín</v>
      </c>
      <c r="B336" s="31">
        <f>IFERROR(__xludf.DUMMYFUNCTION("""COMPUTED_VALUE"""),49.99618792)</f>
        <v>49.99618792</v>
      </c>
      <c r="C336" s="31">
        <f>IFERROR(__xludf.DUMMYFUNCTION("""COMPUTED_VALUE"""),14.33978782)</f>
        <v>14.33978782</v>
      </c>
      <c r="D336" s="31" t="str">
        <f>IFERROR(__xludf.DUMMYFUNCTION("""COMPUTED_VALUE"""),"Other")</f>
        <v>Other</v>
      </c>
      <c r="E336" s="31">
        <f>IFERROR(__xludf.DUMMYFUNCTION("""COMPUTED_VALUE"""),0.035411)</f>
        <v>0.035411</v>
      </c>
    </row>
    <row r="337">
      <c r="A337" s="31" t="str">
        <f>IFERROR(__xludf.DUMMYFUNCTION("""COMPUTED_VALUE"""),"VICAT")</f>
        <v>VICAT</v>
      </c>
      <c r="B337" s="31">
        <f>IFERROR(__xludf.DUMMYFUNCTION("""COMPUTED_VALUE"""),45.8081)</f>
        <v>45.8081</v>
      </c>
      <c r="C337" s="31">
        <f>IFERROR(__xludf.DUMMYFUNCTION("""COMPUTED_VALUE"""),5.40896)</f>
        <v>5.40896</v>
      </c>
      <c r="D337" s="31" t="str">
        <f>IFERROR(__xludf.DUMMYFUNCTION("""COMPUTED_VALUE"""),"Other")</f>
        <v>Other</v>
      </c>
      <c r="E337" s="31">
        <f>IFERROR(__xludf.DUMMYFUNCTION("""COMPUTED_VALUE"""),0.034405217)</f>
        <v>0.034405217</v>
      </c>
    </row>
    <row r="338">
      <c r="A338" s="31" t="str">
        <f>IFERROR(__xludf.DUMMYFUNCTION("""COMPUTED_VALUE"""),"VALO'MARNE (EX CIE)")</f>
        <v>VALO'MARNE (EX CIE)</v>
      </c>
      <c r="B338" s="31">
        <f>IFERROR(__xludf.DUMMYFUNCTION("""COMPUTED_VALUE"""),48.77821)</f>
        <v>48.77821</v>
      </c>
      <c r="C338" s="31">
        <f>IFERROR(__xludf.DUMMYFUNCTION("""COMPUTED_VALUE"""),2.43645)</f>
        <v>2.43645</v>
      </c>
      <c r="D338" s="31" t="str">
        <f>IFERROR(__xludf.DUMMYFUNCTION("""COMPUTED_VALUE"""),"Waste management")</f>
        <v>Waste management</v>
      </c>
      <c r="E338" s="31">
        <f>IFERROR(__xludf.DUMMYFUNCTION("""COMPUTED_VALUE"""),0.033681331)</f>
        <v>0.033681331</v>
      </c>
    </row>
    <row r="339">
      <c r="A339" s="31" t="str">
        <f>IFERROR(__xludf.DUMMYFUNCTION("""COMPUTED_VALUE"""),"Italcementi Calusco D'Adda")</f>
        <v>Italcementi Calusco D'Adda</v>
      </c>
      <c r="B339" s="31">
        <f>IFERROR(__xludf.DUMMYFUNCTION("""COMPUTED_VALUE"""),45.6847)</f>
        <v>45.6847</v>
      </c>
      <c r="C339" s="31">
        <f>IFERROR(__xludf.DUMMYFUNCTION("""COMPUTED_VALUE"""),9.4667)</f>
        <v>9.4667</v>
      </c>
      <c r="D339" s="31" t="str">
        <f>IFERROR(__xludf.DUMMYFUNCTION("""COMPUTED_VALUE"""),"Other")</f>
        <v>Other</v>
      </c>
      <c r="E339" s="31">
        <f>IFERROR(__xludf.DUMMYFUNCTION("""COMPUTED_VALUE"""),0.033488305)</f>
        <v>0.033488305</v>
      </c>
    </row>
    <row r="340">
      <c r="A340" s="31" t="str">
        <f>IFERROR(__xludf.DUMMYFUNCTION("""COMPUTED_VALUE"""),"CIMPOR - Industria de Cimentos, S.A. - C.P.Souselas (CI)")</f>
        <v>CIMPOR - Industria de Cimentos, S.A. - C.P.Souselas (CI)</v>
      </c>
      <c r="B340" s="31">
        <f>IFERROR(__xludf.DUMMYFUNCTION("""COMPUTED_VALUE"""),40.292873)</f>
        <v>40.292873</v>
      </c>
      <c r="C340" s="31">
        <f>IFERROR(__xludf.DUMMYFUNCTION("""COMPUTED_VALUE"""),-8.41955)</f>
        <v>-8.41955</v>
      </c>
      <c r="D340" s="31" t="str">
        <f>IFERROR(__xludf.DUMMYFUNCTION("""COMPUTED_VALUE"""),"Other")</f>
        <v>Other</v>
      </c>
      <c r="E340" s="31">
        <f>IFERROR(__xludf.DUMMYFUNCTION("""COMPUTED_VALUE"""),0.033442025)</f>
        <v>0.033442025</v>
      </c>
    </row>
    <row r="341">
      <c r="A341" s="31" t="str">
        <f>IFERROR(__xludf.DUMMYFUNCTION("""COMPUTED_VALUE"""),"CIMENTS CALCIA")</f>
        <v>CIMENTS CALCIA</v>
      </c>
      <c r="B341" s="31">
        <f>IFERROR(__xludf.DUMMYFUNCTION("""COMPUTED_VALUE"""),48.72431)</f>
        <v>48.72431</v>
      </c>
      <c r="C341" s="31">
        <f>IFERROR(__xludf.DUMMYFUNCTION("""COMPUTED_VALUE"""),4.58384)</f>
        <v>4.58384</v>
      </c>
      <c r="D341" s="31" t="str">
        <f>IFERROR(__xludf.DUMMYFUNCTION("""COMPUTED_VALUE"""),"Other")</f>
        <v>Other</v>
      </c>
      <c r="E341" s="31">
        <f>IFERROR(__xludf.DUMMYFUNCTION("""COMPUTED_VALUE"""),0.032941165)</f>
        <v>0.032941165</v>
      </c>
    </row>
    <row r="342">
      <c r="A342" s="31" t="str">
        <f>IFERROR(__xludf.DUMMYFUNCTION("""COMPUTED_VALUE"""),"CBR sa - Site d'Antoing")</f>
        <v>CBR sa - Site d'Antoing</v>
      </c>
      <c r="B342" s="31">
        <f>IFERROR(__xludf.DUMMYFUNCTION("""COMPUTED_VALUE"""),50.576035)</f>
        <v>50.576035</v>
      </c>
      <c r="C342" s="31">
        <f>IFERROR(__xludf.DUMMYFUNCTION("""COMPUTED_VALUE"""),3.442585)</f>
        <v>3.442585</v>
      </c>
      <c r="D342" s="31" t="str">
        <f>IFERROR(__xludf.DUMMYFUNCTION("""COMPUTED_VALUE"""),"Other")</f>
        <v>Other</v>
      </c>
      <c r="E342" s="31">
        <f>IFERROR(__xludf.DUMMYFUNCTION("""COMPUTED_VALUE"""),0.032555888)</f>
        <v>0.032555888</v>
      </c>
    </row>
    <row r="343">
      <c r="A343" s="31" t="str">
        <f>IFERROR(__xludf.DUMMYFUNCTION("""COMPUTED_VALUE"""),"SOLVAY OPERATIONS FRANCE")</f>
        <v>SOLVAY OPERATIONS FRANCE</v>
      </c>
      <c r="B343" s="31">
        <f>IFERROR(__xludf.DUMMYFUNCTION("""COMPUTED_VALUE"""),48.6196)</f>
        <v>48.6196</v>
      </c>
      <c r="C343" s="31">
        <f>IFERROR(__xludf.DUMMYFUNCTION("""COMPUTED_VALUE"""),6.35778)</f>
        <v>6.35778</v>
      </c>
      <c r="D343" s="31" t="str">
        <f>IFERROR(__xludf.DUMMYFUNCTION("""COMPUTED_VALUE"""),"Other")</f>
        <v>Other</v>
      </c>
      <c r="E343" s="31">
        <f>IFERROR(__xludf.DUMMYFUNCTION("""COMPUTED_VALUE"""),0.031888502)</f>
        <v>0.031888502</v>
      </c>
    </row>
    <row r="344">
      <c r="A344" s="31" t="str">
        <f>IFERROR(__xludf.DUMMYFUNCTION("""COMPUTED_VALUE"""),"HOLCIM Belgique - Usine d'OBOURG")</f>
        <v>HOLCIM Belgique - Usine d'OBOURG</v>
      </c>
      <c r="B344" s="31">
        <f>IFERROR(__xludf.DUMMYFUNCTION("""COMPUTED_VALUE"""),50.4723)</f>
        <v>50.4723</v>
      </c>
      <c r="C344" s="31">
        <f>IFERROR(__xludf.DUMMYFUNCTION("""COMPUTED_VALUE"""),3.9938896)</f>
        <v>3.9938896</v>
      </c>
      <c r="D344" s="31" t="str">
        <f>IFERROR(__xludf.DUMMYFUNCTION("""COMPUTED_VALUE"""),"Other")</f>
        <v>Other</v>
      </c>
      <c r="E344" s="31">
        <f>IFERROR(__xludf.DUMMYFUNCTION("""COMPUTED_VALUE"""),0.031823862)</f>
        <v>0.031823862</v>
      </c>
    </row>
    <row r="345">
      <c r="A345" s="31" t="str">
        <f>IFERROR(__xludf.DUMMYFUNCTION("""COMPUTED_VALUE"""),"Fábrica Secil - Outão (CI)")</f>
        <v>Fábrica Secil - Outão (CI)</v>
      </c>
      <c r="B345" s="31">
        <f>IFERROR(__xludf.DUMMYFUNCTION("""COMPUTED_VALUE"""),38.500542)</f>
        <v>38.500542</v>
      </c>
      <c r="C345" s="31">
        <f>IFERROR(__xludf.DUMMYFUNCTION("""COMPUTED_VALUE"""),-8.935265)</f>
        <v>-8.935265</v>
      </c>
      <c r="D345" s="31" t="str">
        <f>IFERROR(__xludf.DUMMYFUNCTION("""COMPUTED_VALUE"""),"Other")</f>
        <v>Other</v>
      </c>
      <c r="E345" s="31">
        <f>IFERROR(__xludf.DUMMYFUNCTION("""COMPUTED_VALUE"""),0.031631224)</f>
        <v>0.031631224</v>
      </c>
    </row>
    <row r="346">
      <c r="A346" s="31" t="str">
        <f>IFERROR(__xludf.DUMMYFUNCTION("""COMPUTED_VALUE"""),"ALUMINA ESPAÑOLA S.A.")</f>
        <v>ALUMINA ESPAÑOLA S.A.</v>
      </c>
      <c r="B346" s="31">
        <f>IFERROR(__xludf.DUMMYFUNCTION("""COMPUTED_VALUE"""),43.697515)</f>
        <v>43.697515</v>
      </c>
      <c r="C346" s="31">
        <f>IFERROR(__xludf.DUMMYFUNCTION("""COMPUTED_VALUE"""),-7.454929)</f>
        <v>-7.454929</v>
      </c>
      <c r="D346" s="31" t="str">
        <f>IFERROR(__xludf.DUMMYFUNCTION("""COMPUTED_VALUE"""),"Other")</f>
        <v>Other</v>
      </c>
      <c r="E346" s="31">
        <f>IFERROR(__xludf.DUMMYFUNCTION("""COMPUTED_VALUE"""),0.031554007)</f>
        <v>0.031554007</v>
      </c>
    </row>
    <row r="347">
      <c r="A347" s="31" t="str">
        <f>IFERROR(__xludf.DUMMYFUNCTION("""COMPUTED_VALUE"""),"CRISTAL UNION")</f>
        <v>CRISTAL UNION</v>
      </c>
      <c r="B347" s="31">
        <f>IFERROR(__xludf.DUMMYFUNCTION("""COMPUTED_VALUE"""),49.34907)</f>
        <v>49.34907</v>
      </c>
      <c r="C347" s="31">
        <f>IFERROR(__xludf.DUMMYFUNCTION("""COMPUTED_VALUE"""),4.1634)</f>
        <v>4.1634</v>
      </c>
      <c r="D347" s="31" t="str">
        <f>IFERROR(__xludf.DUMMYFUNCTION("""COMPUTED_VALUE"""),"Other")</f>
        <v>Other</v>
      </c>
      <c r="E347" s="31">
        <f>IFERROR(__xludf.DUMMYFUNCTION("""COMPUTED_VALUE"""),0.031426771)</f>
        <v>0.031426771</v>
      </c>
    </row>
    <row r="348">
      <c r="A348" s="31" t="str">
        <f>IFERROR(__xludf.DUMMYFUNCTION("""COMPUTED_VALUE"""),"Norðurál Grundartangi ehf.")</f>
        <v>Norðurál Grundartangi ehf.</v>
      </c>
      <c r="B348" s="31">
        <f>IFERROR(__xludf.DUMMYFUNCTION("""COMPUTED_VALUE"""),64.363836)</f>
        <v>64.363836</v>
      </c>
      <c r="C348" s="31">
        <f>IFERROR(__xludf.DUMMYFUNCTION("""COMPUTED_VALUE"""),-21.773782)</f>
        <v>-21.773782</v>
      </c>
      <c r="D348" s="31" t="str">
        <f>IFERROR(__xludf.DUMMYFUNCTION("""COMPUTED_VALUE"""),"Other")</f>
        <v>Other</v>
      </c>
      <c r="E348" s="31">
        <f>IFERROR(__xludf.DUMMYFUNCTION("""COMPUTED_VALUE"""),0.031411949)</f>
        <v>0.031411949</v>
      </c>
    </row>
    <row r="349">
      <c r="A349" s="31" t="str">
        <f>IFERROR(__xludf.DUMMYFUNCTION("""COMPUTED_VALUE"""),"ITPOK Poznań")</f>
        <v>ITPOK Poznań</v>
      </c>
      <c r="B349" s="31">
        <f>IFERROR(__xludf.DUMMYFUNCTION("""COMPUTED_VALUE"""),52.43334579)</f>
        <v>52.43334579</v>
      </c>
      <c r="C349" s="31">
        <f>IFERROR(__xludf.DUMMYFUNCTION("""COMPUTED_VALUE"""),16.98545074)</f>
        <v>16.98545074</v>
      </c>
      <c r="D349" s="31" t="str">
        <f>IFERROR(__xludf.DUMMYFUNCTION("""COMPUTED_VALUE"""),"Waste management")</f>
        <v>Waste management</v>
      </c>
      <c r="E349" s="31">
        <f>IFERROR(__xludf.DUMMYFUNCTION("""COMPUTED_VALUE"""),0.03037924)</f>
        <v>0.03037924</v>
      </c>
    </row>
    <row r="350">
      <c r="A350" s="31" t="str">
        <f>IFERROR(__xludf.DUMMYFUNCTION("""COMPUTED_VALUE"""),"COLACEM S.P.A.")</f>
        <v>COLACEM S.P.A.</v>
      </c>
      <c r="B350" s="31">
        <f>IFERROR(__xludf.DUMMYFUNCTION("""COMPUTED_VALUE"""),41.4456)</f>
        <v>41.4456</v>
      </c>
      <c r="C350" s="31">
        <f>IFERROR(__xludf.DUMMYFUNCTION("""COMPUTED_VALUE"""),14.0658)</f>
        <v>14.0658</v>
      </c>
      <c r="D350" s="31" t="str">
        <f>IFERROR(__xludf.DUMMYFUNCTION("""COMPUTED_VALUE"""),"Other")</f>
        <v>Other</v>
      </c>
      <c r="E350" s="31">
        <f>IFERROR(__xludf.DUMMYFUNCTION("""COMPUTED_VALUE"""),0.030164138)</f>
        <v>0.030164138</v>
      </c>
    </row>
    <row r="351">
      <c r="A351" s="31" t="str">
        <f>IFERROR(__xludf.DUMMYFUNCTION("""COMPUTED_VALUE"""),"EQIOM CIMENTERIE DE LUMBRES")</f>
        <v>EQIOM CIMENTERIE DE LUMBRES</v>
      </c>
      <c r="B351" s="31">
        <f>IFERROR(__xludf.DUMMYFUNCTION("""COMPUTED_VALUE"""),50.6999)</f>
        <v>50.6999</v>
      </c>
      <c r="C351" s="31">
        <f>IFERROR(__xludf.DUMMYFUNCTION("""COMPUTED_VALUE"""),2.11075)</f>
        <v>2.11075</v>
      </c>
      <c r="D351" s="31" t="str">
        <f>IFERROR(__xludf.DUMMYFUNCTION("""COMPUTED_VALUE"""),"Other")</f>
        <v>Other</v>
      </c>
      <c r="E351" s="31">
        <f>IFERROR(__xludf.DUMMYFUNCTION("""COMPUTED_VALUE"""),0.029508485)</f>
        <v>0.029508485</v>
      </c>
    </row>
    <row r="352">
      <c r="A352" s="31" t="str">
        <f>IFERROR(__xludf.DUMMYFUNCTION("""COMPUTED_VALUE"""),"ALUMINIUM DUNKERQUE SAS")</f>
        <v>ALUMINIUM DUNKERQUE SAS</v>
      </c>
      <c r="B352" s="31">
        <f>IFERROR(__xludf.DUMMYFUNCTION("""COMPUTED_VALUE"""),51.0011)</f>
        <v>51.0011</v>
      </c>
      <c r="C352" s="31">
        <f>IFERROR(__xludf.DUMMYFUNCTION("""COMPUTED_VALUE"""),2.22)</f>
        <v>2.22</v>
      </c>
      <c r="D352" s="31" t="str">
        <f>IFERROR(__xludf.DUMMYFUNCTION("""COMPUTED_VALUE"""),"Other")</f>
        <v>Other</v>
      </c>
      <c r="E352" s="31">
        <f>IFERROR(__xludf.DUMMYFUNCTION("""COMPUTED_VALUE"""),0.029415896)</f>
        <v>0.029415896</v>
      </c>
    </row>
    <row r="353">
      <c r="A353" s="31" t="str">
        <f>IFERROR(__xludf.DUMMYFUNCTION("""COMPUTED_VALUE"""),"SIA ""SCHWENK Latvija"", Brocēnu cementa rūpnīca")</f>
        <v>SIA "SCHWENK Latvija", Brocēnu cementa rūpnīca</v>
      </c>
      <c r="B353" s="31">
        <f>IFERROR(__xludf.DUMMYFUNCTION("""COMPUTED_VALUE"""),56.68722222)</f>
        <v>56.68722222</v>
      </c>
      <c r="C353" s="31">
        <f>IFERROR(__xludf.DUMMYFUNCTION("""COMPUTED_VALUE"""),22.59472222)</f>
        <v>22.59472222</v>
      </c>
      <c r="D353" s="31" t="str">
        <f>IFERROR(__xludf.DUMMYFUNCTION("""COMPUTED_VALUE"""),"Other")</f>
        <v>Other</v>
      </c>
      <c r="E353" s="31">
        <f>IFERROR(__xludf.DUMMYFUNCTION("""COMPUTED_VALUE"""),0.028895759)</f>
        <v>0.028895759</v>
      </c>
    </row>
    <row r="354">
      <c r="A354" s="31" t="str">
        <f>IFERROR(__xludf.DUMMYFUNCTION("""COMPUTED_VALUE"""),"Portlandzementwerk -Wittekind- Hugo Miebach Söhne KG")</f>
        <v>Portlandzementwerk -Wittekind- Hugo Miebach Söhne KG</v>
      </c>
      <c r="B354" s="31">
        <f>IFERROR(__xludf.DUMMYFUNCTION("""COMPUTED_VALUE"""),51.5944766435112)</f>
        <v>51.59447664</v>
      </c>
      <c r="C354" s="31">
        <f>IFERROR(__xludf.DUMMYFUNCTION("""COMPUTED_VALUE"""),8.334678573)</f>
        <v>8.334678573</v>
      </c>
      <c r="D354" s="31" t="str">
        <f>IFERROR(__xludf.DUMMYFUNCTION("""COMPUTED_VALUE"""),"Other")</f>
        <v>Other</v>
      </c>
      <c r="E354" s="31">
        <f>IFERROR(__xludf.DUMMYFUNCTION("""COMPUTED_VALUE"""),0.028)</f>
        <v>0.028</v>
      </c>
    </row>
    <row r="355">
      <c r="A355" s="31" t="str">
        <f>IFERROR(__xludf.DUMMYFUNCTION("""COMPUTED_VALUE"""),"Holcim (Österreich) GmbH")</f>
        <v>Holcim (Österreich) GmbH</v>
      </c>
      <c r="B355" s="31">
        <f>IFERROR(__xludf.DUMMYFUNCTION("""COMPUTED_VALUE"""),47.983333)</f>
        <v>47.983333</v>
      </c>
      <c r="C355" s="31">
        <f>IFERROR(__xludf.DUMMYFUNCTION("""COMPUTED_VALUE"""),16.6)</f>
        <v>16.6</v>
      </c>
      <c r="D355" s="31" t="str">
        <f>IFERROR(__xludf.DUMMYFUNCTION("""COMPUTED_VALUE"""),"Other")</f>
        <v>Other</v>
      </c>
      <c r="E355" s="31">
        <f>IFERROR(__xludf.DUMMYFUNCTION("""COMPUTED_VALUE"""),0.027504822)</f>
        <v>0.027504822</v>
      </c>
    </row>
    <row r="356">
      <c r="A356" s="31" t="str">
        <f>IFERROR(__xludf.DUMMYFUNCTION("""COMPUTED_VALUE"""),"CEMENTOS PORTLAND VALDERRIVAS (FÁBRICA EL ALTO)")</f>
        <v>CEMENTOS PORTLAND VALDERRIVAS (FÁBRICA EL ALTO)</v>
      </c>
      <c r="B356" s="31">
        <f>IFERROR(__xludf.DUMMYFUNCTION("""COMPUTED_VALUE"""),40.24483)</f>
        <v>40.24483</v>
      </c>
      <c r="C356" s="31">
        <f>IFERROR(__xludf.DUMMYFUNCTION("""COMPUTED_VALUE"""),-3.47434)</f>
        <v>-3.47434</v>
      </c>
      <c r="D356" s="31" t="str">
        <f>IFERROR(__xludf.DUMMYFUNCTION("""COMPUTED_VALUE"""),"Other")</f>
        <v>Other</v>
      </c>
      <c r="E356" s="31">
        <f>IFERROR(__xludf.DUMMYFUNCTION("""COMPUTED_VALUE"""),0.027277596)</f>
        <v>0.027277596</v>
      </c>
    </row>
    <row r="357">
      <c r="A357" s="31" t="str">
        <f>IFERROR(__xludf.DUMMYFUNCTION("""COMPUTED_VALUE"""),"TITAN CEMENT S.A. - THESSALONIKI PLANT")</f>
        <v>TITAN CEMENT S.A. - THESSALONIKI PLANT</v>
      </c>
      <c r="B357" s="31">
        <f>IFERROR(__xludf.DUMMYFUNCTION("""COMPUTED_VALUE"""),40.6991)</f>
        <v>40.6991</v>
      </c>
      <c r="C357" s="31">
        <f>IFERROR(__xludf.DUMMYFUNCTION("""COMPUTED_VALUE"""),22.9532)</f>
        <v>22.9532</v>
      </c>
      <c r="D357" s="31" t="str">
        <f>IFERROR(__xludf.DUMMYFUNCTION("""COMPUTED_VALUE"""),"Other")</f>
        <v>Other</v>
      </c>
      <c r="E357" s="31">
        <f>IFERROR(__xludf.DUMMYFUNCTION("""COMPUTED_VALUE"""),0.027186058)</f>
        <v>0.027186058</v>
      </c>
    </row>
    <row r="358">
      <c r="A358" s="31" t="str">
        <f>IFERROR(__xludf.DUMMYFUNCTION("""COMPUTED_VALUE"""),"NEXE d.o.o.")</f>
        <v>NEXE d.o.o.</v>
      </c>
      <c r="B358" s="31">
        <f>IFERROR(__xludf.DUMMYFUNCTION("""COMPUTED_VALUE"""),45.45294)</f>
        <v>45.45294</v>
      </c>
      <c r="C358" s="31">
        <f>IFERROR(__xludf.DUMMYFUNCTION("""COMPUTED_VALUE"""),18.03978)</f>
        <v>18.03978</v>
      </c>
      <c r="D358" s="31" t="str">
        <f>IFERROR(__xludf.DUMMYFUNCTION("""COMPUTED_VALUE"""),"Other")</f>
        <v>Other</v>
      </c>
      <c r="E358" s="31">
        <f>IFERROR(__xludf.DUMMYFUNCTION("""COMPUTED_VALUE"""),0.02704643)</f>
        <v>0.02704643</v>
      </c>
    </row>
    <row r="359">
      <c r="A359" s="31" t="str">
        <f>IFERROR(__xludf.DUMMYFUNCTION("""COMPUTED_VALUE"""),"FÁBRICA DE ALCALÁ DE GUADAIRA (CEMENTOS PORTLAND VALDERRIVAS, S.A.)")</f>
        <v>FÁBRICA DE ALCALÁ DE GUADAIRA (CEMENTOS PORTLAND VALDERRIVAS, S.A.)</v>
      </c>
      <c r="B359" s="31">
        <f>IFERROR(__xludf.DUMMYFUNCTION("""COMPUTED_VALUE"""),37.353682)</f>
        <v>37.353682</v>
      </c>
      <c r="C359" s="31">
        <f>IFERROR(__xludf.DUMMYFUNCTION("""COMPUTED_VALUE"""),-6.204397)</f>
        <v>-6.204397</v>
      </c>
      <c r="D359" s="31" t="str">
        <f>IFERROR(__xludf.DUMMYFUNCTION("""COMPUTED_VALUE"""),"Other")</f>
        <v>Other</v>
      </c>
      <c r="E359" s="31">
        <f>IFERROR(__xludf.DUMMYFUNCTION("""COMPUTED_VALUE"""),0.026083238)</f>
        <v>0.026083238</v>
      </c>
    </row>
    <row r="360">
      <c r="A360" s="31" t="str">
        <f>IFERROR(__xludf.DUMMYFUNCTION("""COMPUTED_VALUE"""),"TITAN CEMENT S.A. - DREPANO PLANT")</f>
        <v>TITAN CEMENT S.A. - DREPANO PLANT</v>
      </c>
      <c r="B360" s="31">
        <f>IFERROR(__xludf.DUMMYFUNCTION("""COMPUTED_VALUE"""),38.33557)</f>
        <v>38.33557</v>
      </c>
      <c r="C360" s="31">
        <f>IFERROR(__xludf.DUMMYFUNCTION("""COMPUTED_VALUE"""),21.84543)</f>
        <v>21.84543</v>
      </c>
      <c r="D360" s="31" t="str">
        <f>IFERROR(__xludf.DUMMYFUNCTION("""COMPUTED_VALUE"""),"Other")</f>
        <v>Other</v>
      </c>
      <c r="E360" s="31">
        <f>IFERROR(__xludf.DUMMYFUNCTION("""COMPUTED_VALUE"""),0.026047613)</f>
        <v>0.026047613</v>
      </c>
    </row>
    <row r="361">
      <c r="A361" s="31" t="str">
        <f>IFERROR(__xludf.DUMMYFUNCTION("""COMPUTED_VALUE"""),"LAFARGE CIMENTS")</f>
        <v>LAFARGE CIMENTS</v>
      </c>
      <c r="B361" s="31">
        <f>IFERROR(__xludf.DUMMYFUNCTION("""COMPUTED_VALUE"""),44.54496)</f>
        <v>44.54496</v>
      </c>
      <c r="C361" s="31">
        <f>IFERROR(__xludf.DUMMYFUNCTION("""COMPUTED_VALUE"""),4.68191)</f>
        <v>4.68191</v>
      </c>
      <c r="D361" s="31" t="str">
        <f>IFERROR(__xludf.DUMMYFUNCTION("""COMPUTED_VALUE"""),"Other")</f>
        <v>Other</v>
      </c>
      <c r="E361" s="31">
        <f>IFERROR(__xludf.DUMMYFUNCTION("""COMPUTED_VALUE"""),0.026044711)</f>
        <v>0.026044711</v>
      </c>
    </row>
    <row r="362">
      <c r="A362" s="31" t="str">
        <f>IFERROR(__xludf.DUMMYFUNCTION("""COMPUTED_VALUE"""),"Wacker Chemicals Norway")</f>
        <v>Wacker Chemicals Norway</v>
      </c>
      <c r="B362" s="31">
        <f>IFERROR(__xludf.DUMMYFUNCTION("""COMPUTED_VALUE"""),63.3178329)</f>
        <v>63.3178329</v>
      </c>
      <c r="C362" s="31">
        <f>IFERROR(__xludf.DUMMYFUNCTION("""COMPUTED_VALUE"""),9.143573)</f>
        <v>9.143573</v>
      </c>
      <c r="D362" s="31" t="str">
        <f>IFERROR(__xludf.DUMMYFUNCTION("""COMPUTED_VALUE"""),"Other")</f>
        <v>Other</v>
      </c>
      <c r="E362" s="31">
        <f>IFERROR(__xludf.DUMMYFUNCTION("""COMPUTED_VALUE"""),0.026)</f>
        <v>0.026</v>
      </c>
    </row>
    <row r="363">
      <c r="A363" s="31" t="str">
        <f>IFERROR(__xludf.DUMMYFUNCTION("""COMPUTED_VALUE"""),"TEREOS  STARCH &amp; SWEETENER EUROPE")</f>
        <v>TEREOS  STARCH &amp; SWEETENER EUROPE</v>
      </c>
      <c r="B363" s="31">
        <f>IFERROR(__xludf.DUMMYFUNCTION("""COMPUTED_VALUE"""),49.76945)</f>
        <v>49.76945</v>
      </c>
      <c r="C363" s="31">
        <f>IFERROR(__xludf.DUMMYFUNCTION("""COMPUTED_VALUE"""),2.90924)</f>
        <v>2.90924</v>
      </c>
      <c r="D363" s="31" t="str">
        <f>IFERROR(__xludf.DUMMYFUNCTION("""COMPUTED_VALUE"""),"Other")</f>
        <v>Other</v>
      </c>
      <c r="E363" s="31">
        <f>IFERROR(__xludf.DUMMYFUNCTION("""COMPUTED_VALUE"""),0.025509596)</f>
        <v>0.025509596</v>
      </c>
    </row>
    <row r="364">
      <c r="A364" s="31" t="str">
        <f>IFERROR(__xludf.DUMMYFUNCTION("""COMPUTED_VALUE"""),"NOVACARB")</f>
        <v>NOVACARB</v>
      </c>
      <c r="B364" s="31">
        <f>IFERROR(__xludf.DUMMYFUNCTION("""COMPUTED_VALUE"""),48.6394)</f>
        <v>48.6394</v>
      </c>
      <c r="C364" s="31">
        <f>IFERROR(__xludf.DUMMYFUNCTION("""COMPUTED_VALUE"""),6.26553)</f>
        <v>6.26553</v>
      </c>
      <c r="D364" s="31" t="str">
        <f>IFERROR(__xludf.DUMMYFUNCTION("""COMPUTED_VALUE"""),"Other")</f>
        <v>Other</v>
      </c>
      <c r="E364" s="31">
        <f>IFERROR(__xludf.DUMMYFUNCTION("""COMPUTED_VALUE"""),0.025477352)</f>
        <v>0.025477352</v>
      </c>
    </row>
    <row r="365">
      <c r="A365" s="31" t="str">
        <f>IFERROR(__xludf.DUMMYFUNCTION("""COMPUTED_VALUE"""),"CARRIERES ET FOURS A CHAUX DUMONT WAUTIER")</f>
        <v>CARRIERES ET FOURS A CHAUX DUMONT WAUTIER</v>
      </c>
      <c r="B365" s="31">
        <f>IFERROR(__xludf.DUMMYFUNCTION("""COMPUTED_VALUE"""),50.570454)</f>
        <v>50.570454</v>
      </c>
      <c r="C365" s="31">
        <f>IFERROR(__xludf.DUMMYFUNCTION("""COMPUTED_VALUE"""),5.3703413)</f>
        <v>5.3703413</v>
      </c>
      <c r="D365" s="31" t="str">
        <f>IFERROR(__xludf.DUMMYFUNCTION("""COMPUTED_VALUE"""),"Other")</f>
        <v>Other</v>
      </c>
      <c r="E365" s="31">
        <f>IFERROR(__xludf.DUMMYFUNCTION("""COMPUTED_VALUE"""),0.02509132)</f>
        <v>0.02509132</v>
      </c>
    </row>
    <row r="366">
      <c r="A366" s="31" t="str">
        <f>IFERROR(__xludf.DUMMYFUNCTION("""COMPUTED_VALUE"""),"FÁBRICA DE CARBONERAS (LAFARGEHOLCIM ESPAÑA SAU)")</f>
        <v>FÁBRICA DE CARBONERAS (LAFARGEHOLCIM ESPAÑA SAU)</v>
      </c>
      <c r="B366" s="31">
        <f>IFERROR(__xludf.DUMMYFUNCTION("""COMPUTED_VALUE"""),36.9665)</f>
        <v>36.9665</v>
      </c>
      <c r="C366" s="31">
        <f>IFERROR(__xludf.DUMMYFUNCTION("""COMPUTED_VALUE"""),-1.9029)</f>
        <v>-1.9029</v>
      </c>
      <c r="D366" s="31" t="str">
        <f>IFERROR(__xludf.DUMMYFUNCTION("""COMPUTED_VALUE"""),"Other")</f>
        <v>Other</v>
      </c>
      <c r="E366" s="31">
        <f>IFERROR(__xludf.DUMMYFUNCTION("""COMPUTED_VALUE"""),0.025004463)</f>
        <v>0.025004463</v>
      </c>
    </row>
    <row r="367">
      <c r="A367" s="31" t="str">
        <f>IFERROR(__xludf.DUMMYFUNCTION("""COMPUTED_VALUE"""),"TEREOS STARCH &amp; SWEETENERS EUROPE")</f>
        <v>TEREOS STARCH &amp; SWEETENERS EUROPE</v>
      </c>
      <c r="B367" s="31">
        <f>IFERROR(__xludf.DUMMYFUNCTION("""COMPUTED_VALUE"""),48.1668)</f>
        <v>48.1668</v>
      </c>
      <c r="C367" s="31">
        <f>IFERROR(__xludf.DUMMYFUNCTION("""COMPUTED_VALUE"""),7.59363)</f>
        <v>7.59363</v>
      </c>
      <c r="D367" s="31" t="str">
        <f>IFERROR(__xludf.DUMMYFUNCTION("""COMPUTED_VALUE"""),"Other")</f>
        <v>Other</v>
      </c>
      <c r="E367" s="31">
        <f>IFERROR(__xludf.DUMMYFUNCTION("""COMPUTED_VALUE"""),0.024983625)</f>
        <v>0.024983625</v>
      </c>
    </row>
    <row r="368">
      <c r="A368" s="31" t="str">
        <f>IFERROR(__xludf.DUMMYFUNCTION("""COMPUTED_VALUE"""),"TUDELA VEGUIN - FÁBRICA DE CALES Y CEMENTOS DE TUDELA VEGUÍN")</f>
        <v>TUDELA VEGUIN - FÁBRICA DE CALES Y CEMENTOS DE TUDELA VEGUÍN</v>
      </c>
      <c r="B368" s="31">
        <f>IFERROR(__xludf.DUMMYFUNCTION("""COMPUTED_VALUE"""),43.330897)</f>
        <v>43.330897</v>
      </c>
      <c r="C368" s="31">
        <f>IFERROR(__xludf.DUMMYFUNCTION("""COMPUTED_VALUE"""),-5.773367)</f>
        <v>-5.773367</v>
      </c>
      <c r="D368" s="31" t="str">
        <f>IFERROR(__xludf.DUMMYFUNCTION("""COMPUTED_VALUE"""),"Other")</f>
        <v>Other</v>
      </c>
      <c r="E368" s="31">
        <f>IFERROR(__xludf.DUMMYFUNCTION("""COMPUTED_VALUE"""),0.024620161)</f>
        <v>0.024620161</v>
      </c>
    </row>
    <row r="369">
      <c r="A369" s="31" t="str">
        <f>IFERROR(__xludf.DUMMYFUNCTION("""COMPUTED_VALUE"""),"Lafarge Cement Magyarország Gyártó és Kereskedelmi Kft.")</f>
        <v>Lafarge Cement Magyarország Gyártó és Kereskedelmi Kft.</v>
      </c>
      <c r="B369" s="31">
        <f>IFERROR(__xludf.DUMMYFUNCTION("""COMPUTED_VALUE"""),46.016013)</f>
        <v>46.016013</v>
      </c>
      <c r="C369" s="31">
        <f>IFERROR(__xludf.DUMMYFUNCTION("""COMPUTED_VALUE"""),17.98419)</f>
        <v>17.98419</v>
      </c>
      <c r="D369" s="31" t="str">
        <f>IFERROR(__xludf.DUMMYFUNCTION("""COMPUTED_VALUE"""),"Other")</f>
        <v>Other</v>
      </c>
      <c r="E369" s="31">
        <f>IFERROR(__xludf.DUMMYFUNCTION("""COMPUTED_VALUE"""),0.024489037)</f>
        <v>0.024489037</v>
      </c>
    </row>
    <row r="370">
      <c r="A370" s="31" t="str">
        <f>IFERROR(__xludf.DUMMYFUNCTION("""COMPUTED_VALUE"""),"CHAUX ET DOLOMIES DU BOULONNAIS")</f>
        <v>CHAUX ET DOLOMIES DU BOULONNAIS</v>
      </c>
      <c r="B370" s="31">
        <f>IFERROR(__xludf.DUMMYFUNCTION("""COMPUTED_VALUE"""),50.8137)</f>
        <v>50.8137</v>
      </c>
      <c r="C370" s="31">
        <f>IFERROR(__xludf.DUMMYFUNCTION("""COMPUTED_VALUE"""),1.78231)</f>
        <v>1.78231</v>
      </c>
      <c r="D370" s="31" t="str">
        <f>IFERROR(__xludf.DUMMYFUNCTION("""COMPUTED_VALUE"""),"Other")</f>
        <v>Other</v>
      </c>
      <c r="E370" s="31">
        <f>IFERROR(__xludf.DUMMYFUNCTION("""COMPUTED_VALUE"""),0.024317177)</f>
        <v>0.024317177</v>
      </c>
    </row>
    <row r="371">
      <c r="A371" s="31" t="str">
        <f>IFERROR(__xludf.DUMMYFUNCTION("""COMPUTED_VALUE"""),"Fortum Waste Solutions AB, Norrtorp")</f>
        <v>Fortum Waste Solutions AB, Norrtorp</v>
      </c>
      <c r="B371" s="31">
        <f>IFERROR(__xludf.DUMMYFUNCTION("""COMPUTED_VALUE"""),59.11531)</f>
        <v>59.11531</v>
      </c>
      <c r="C371" s="31">
        <f>IFERROR(__xludf.DUMMYFUNCTION("""COMPUTED_VALUE"""),15.27978)</f>
        <v>15.27978</v>
      </c>
      <c r="D371" s="31" t="str">
        <f>IFERROR(__xludf.DUMMYFUNCTION("""COMPUTED_VALUE"""),"Waste management")</f>
        <v>Waste management</v>
      </c>
      <c r="E371" s="31">
        <f>IFERROR(__xludf.DUMMYFUNCTION("""COMPUTED_VALUE"""),0.024)</f>
        <v>0.024</v>
      </c>
    </row>
    <row r="372">
      <c r="A372" s="31" t="str">
        <f>IFERROR(__xludf.DUMMYFUNCTION("""COMPUTED_VALUE"""),"Confidential")</f>
        <v>Confidential</v>
      </c>
      <c r="B372" s="31">
        <f>IFERROR(__xludf.DUMMYFUNCTION("""COMPUTED_VALUE"""),0.0)</f>
        <v>0</v>
      </c>
      <c r="C372" s="31">
        <f>IFERROR(__xludf.DUMMYFUNCTION("""COMPUTED_VALUE"""),0.0)</f>
        <v>0</v>
      </c>
      <c r="D372" s="31" t="str">
        <f>IFERROR(__xludf.DUMMYFUNCTION("""COMPUTED_VALUE"""),"Other")</f>
        <v>Other</v>
      </c>
      <c r="E372" s="31">
        <f>IFERROR(__xludf.DUMMYFUNCTION("""COMPUTED_VALUE"""),0.023697727)</f>
        <v>0.023697727</v>
      </c>
    </row>
    <row r="373">
      <c r="A373" s="31" t="str">
        <f>IFERROR(__xludf.DUMMYFUNCTION("""COMPUTED_VALUE"""),"TEREOS STARCH &amp; SWEETENERS BELGIUM")</f>
        <v>TEREOS STARCH &amp; SWEETENERS BELGIUM</v>
      </c>
      <c r="B373" s="31">
        <f>IFERROR(__xludf.DUMMYFUNCTION("""COMPUTED_VALUE"""),50.93764)</f>
        <v>50.93764</v>
      </c>
      <c r="C373" s="31">
        <f>IFERROR(__xludf.DUMMYFUNCTION("""COMPUTED_VALUE"""),4.0448)</f>
        <v>4.0448</v>
      </c>
      <c r="D373" s="31" t="str">
        <f>IFERROR(__xludf.DUMMYFUNCTION("""COMPUTED_VALUE"""),"Other")</f>
        <v>Other</v>
      </c>
      <c r="E373" s="31">
        <f>IFERROR(__xludf.DUMMYFUNCTION("""COMPUTED_VALUE"""),0.023668698)</f>
        <v>0.023668698</v>
      </c>
    </row>
    <row r="374">
      <c r="A374" s="31" t="str">
        <f>IFERROR(__xludf.DUMMYFUNCTION("""COMPUTED_VALUE"""),"FÁBRICA DE CEMENTOS DE LA ROBLA")</f>
        <v>FÁBRICA DE CEMENTOS DE LA ROBLA</v>
      </c>
      <c r="B374" s="31">
        <f>IFERROR(__xludf.DUMMYFUNCTION("""COMPUTED_VALUE"""),42.799394)</f>
        <v>42.799394</v>
      </c>
      <c r="C374" s="31">
        <f>IFERROR(__xludf.DUMMYFUNCTION("""COMPUTED_VALUE"""),-5.619827)</f>
        <v>-5.619827</v>
      </c>
      <c r="D374" s="31" t="str">
        <f>IFERROR(__xludf.DUMMYFUNCTION("""COMPUTED_VALUE"""),"Other")</f>
        <v>Other</v>
      </c>
      <c r="E374" s="31">
        <f>IFERROR(__xludf.DUMMYFUNCTION("""COMPUTED_VALUE"""),0.023617467)</f>
        <v>0.023617467</v>
      </c>
    </row>
    <row r="375">
      <c r="A375" s="31" t="str">
        <f>IFERROR(__xludf.DUMMYFUNCTION("""COMPUTED_VALUE"""),"TVORNICA CEMENTA ""SVETI JURAJ""")</f>
        <v>TVORNICA CEMENTA "SVETI JURAJ"</v>
      </c>
      <c r="B375" s="31">
        <f>IFERROR(__xludf.DUMMYFUNCTION("""COMPUTED_VALUE"""),43.54171)</f>
        <v>43.54171</v>
      </c>
      <c r="C375" s="31">
        <f>IFERROR(__xludf.DUMMYFUNCTION("""COMPUTED_VALUE"""),16.44352)</f>
        <v>16.44352</v>
      </c>
      <c r="D375" s="31" t="str">
        <f>IFERROR(__xludf.DUMMYFUNCTION("""COMPUTED_VALUE"""),"Other")</f>
        <v>Other</v>
      </c>
      <c r="E375" s="31">
        <f>IFERROR(__xludf.DUMMYFUNCTION("""COMPUTED_VALUE"""),0.023540412)</f>
        <v>0.023540412</v>
      </c>
    </row>
    <row r="376">
      <c r="A376" s="31" t="str">
        <f>IFERROR(__xludf.DUMMYFUNCTION("""COMPUTED_VALUE"""),"Cimo SA")</f>
        <v>Cimo SA</v>
      </c>
      <c r="B376" s="31">
        <f>IFERROR(__xludf.DUMMYFUNCTION("""COMPUTED_VALUE"""),46.2529)</f>
        <v>46.2529</v>
      </c>
      <c r="C376" s="31">
        <f>IFERROR(__xludf.DUMMYFUNCTION("""COMPUTED_VALUE"""),6.9653)</f>
        <v>6.9653</v>
      </c>
      <c r="D376" s="31" t="str">
        <f>IFERROR(__xludf.DUMMYFUNCTION("""COMPUTED_VALUE"""),"Waste management")</f>
        <v>Waste management</v>
      </c>
      <c r="E376" s="31">
        <f>IFERROR(__xludf.DUMMYFUNCTION("""COMPUTED_VALUE"""),0.023444848)</f>
        <v>0.023444848</v>
      </c>
    </row>
    <row r="377">
      <c r="A377" s="31" t="str">
        <f>IFERROR(__xludf.DUMMYFUNCTION("""COMPUTED_VALUE"""),"Alpacem Zement Austria GmbH")</f>
        <v>Alpacem Zement Austria GmbH</v>
      </c>
      <c r="B377" s="31">
        <f>IFERROR(__xludf.DUMMYFUNCTION("""COMPUTED_VALUE"""),46.849889)</f>
        <v>46.849889</v>
      </c>
      <c r="C377" s="31">
        <f>IFERROR(__xludf.DUMMYFUNCTION("""COMPUTED_VALUE"""),14.533667)</f>
        <v>14.533667</v>
      </c>
      <c r="D377" s="31" t="str">
        <f>IFERROR(__xludf.DUMMYFUNCTION("""COMPUTED_VALUE"""),"Other")</f>
        <v>Other</v>
      </c>
      <c r="E377" s="31">
        <f>IFERROR(__xludf.DUMMYFUNCTION("""COMPUTED_VALUE"""),0.023360884)</f>
        <v>0.023360884</v>
      </c>
    </row>
    <row r="378">
      <c r="A378" s="31" t="str">
        <f>IFERROR(__xludf.DUMMYFUNCTION("""COMPUTED_VALUE"""),"LAT NITROGEN FRANCE")</f>
        <v>LAT NITROGEN FRANCE</v>
      </c>
      <c r="B378" s="31">
        <f>IFERROR(__xludf.DUMMYFUNCTION("""COMPUTED_VALUE"""),49.4238)</f>
        <v>49.4238</v>
      </c>
      <c r="C378" s="31">
        <f>IFERROR(__xludf.DUMMYFUNCTION("""COMPUTED_VALUE"""),1.03675)</f>
        <v>1.03675</v>
      </c>
      <c r="D378" s="31" t="str">
        <f>IFERROR(__xludf.DUMMYFUNCTION("""COMPUTED_VALUE"""),"Other")</f>
        <v>Other</v>
      </c>
      <c r="E378" s="31">
        <f>IFERROR(__xludf.DUMMYFUNCTION("""COMPUTED_VALUE"""),0.023247387)</f>
        <v>0.023247387</v>
      </c>
    </row>
    <row r="379">
      <c r="A379" s="31" t="str">
        <f>IFERROR(__xludf.DUMMYFUNCTION("""COMPUTED_VALUE"""),"SYSFEED (LA VALL D´EN BAS)")</f>
        <v>SYSFEED (LA VALL D´EN BAS)</v>
      </c>
      <c r="B379" s="31">
        <f>IFERROR(__xludf.DUMMYFUNCTION("""COMPUTED_VALUE"""),42.131137)</f>
        <v>42.131137</v>
      </c>
      <c r="C379" s="31">
        <f>IFERROR(__xludf.DUMMYFUNCTION("""COMPUTED_VALUE"""),2.452918)</f>
        <v>2.452918</v>
      </c>
      <c r="D379" s="31" t="str">
        <f>IFERROR(__xludf.DUMMYFUNCTION("""COMPUTED_VALUE"""),"Waste management")</f>
        <v>Waste management</v>
      </c>
      <c r="E379" s="31">
        <f>IFERROR(__xludf.DUMMYFUNCTION("""COMPUTED_VALUE"""),0.02310143)</f>
        <v>0.02310143</v>
      </c>
    </row>
    <row r="380">
      <c r="A380" s="31" t="str">
        <f>IFERROR(__xludf.DUMMYFUNCTION("""COMPUTED_VALUE"""),"Cimalux S.A.")</f>
        <v>Cimalux S.A.</v>
      </c>
      <c r="B380" s="31">
        <f>IFERROR(__xludf.DUMMYFUNCTION("""COMPUTED_VALUE"""),49.46619)</f>
        <v>49.46619</v>
      </c>
      <c r="C380" s="31">
        <f>IFERROR(__xludf.DUMMYFUNCTION("""COMPUTED_VALUE"""),6.00588)</f>
        <v>6.00588</v>
      </c>
      <c r="D380" s="31" t="str">
        <f>IFERROR(__xludf.DUMMYFUNCTION("""COMPUTED_VALUE"""),"Other")</f>
        <v>Other</v>
      </c>
      <c r="E380" s="31">
        <f>IFERROR(__xludf.DUMMYFUNCTION("""COMPUTED_VALUE"""),0.023078079)</f>
        <v>0.023078079</v>
      </c>
    </row>
    <row r="381">
      <c r="A381" s="31" t="str">
        <f>IFERROR(__xludf.DUMMYFUNCTION("""COMPUTED_VALUE"""),"Holcim (Italia) S.p.A. - unità produttiva di Ternate")</f>
        <v>Holcim (Italia) S.p.A. - unità produttiva di Ternate</v>
      </c>
      <c r="B381" s="31">
        <f>IFERROR(__xludf.DUMMYFUNCTION("""COMPUTED_VALUE"""),45.7794)</f>
        <v>45.7794</v>
      </c>
      <c r="C381" s="31">
        <f>IFERROR(__xludf.DUMMYFUNCTION("""COMPUTED_VALUE"""),8.6794)</f>
        <v>8.6794</v>
      </c>
      <c r="D381" s="31" t="str">
        <f>IFERROR(__xludf.DUMMYFUNCTION("""COMPUTED_VALUE"""),"Other")</f>
        <v>Other</v>
      </c>
      <c r="E381" s="31">
        <f>IFERROR(__xludf.DUMMYFUNCTION("""COMPUTED_VALUE"""),0.022876999)</f>
        <v>0.022876999</v>
      </c>
    </row>
    <row r="382">
      <c r="A382" s="31" t="str">
        <f>IFERROR(__xludf.DUMMYFUNCTION("""COMPUTED_VALUE"""),"SUEZ RR IWS CHEMICALS FRANCE")</f>
        <v>SUEZ RR IWS CHEMICALS FRANCE</v>
      </c>
      <c r="B382" s="31">
        <f>IFERROR(__xludf.DUMMYFUNCTION("""COMPUTED_VALUE"""),45.36192)</f>
        <v>45.36192</v>
      </c>
      <c r="C382" s="31">
        <f>IFERROR(__xludf.DUMMYFUNCTION("""COMPUTED_VALUE"""),4.79411)</f>
        <v>4.79411</v>
      </c>
      <c r="D382" s="31" t="str">
        <f>IFERROR(__xludf.DUMMYFUNCTION("""COMPUTED_VALUE"""),"Waste management")</f>
        <v>Waste management</v>
      </c>
      <c r="E382" s="31">
        <f>IFERROR(__xludf.DUMMYFUNCTION("""COMPUTED_VALUE"""),0.02278443)</f>
        <v>0.02278443</v>
      </c>
    </row>
    <row r="383">
      <c r="A383" s="31" t="str">
        <f>IFERROR(__xludf.DUMMYFUNCTION("""COMPUTED_VALUE"""),"Stabilimento di Gubbio CEMENTERIE ALDO BARBETTI S.p.A.")</f>
        <v>Stabilimento di Gubbio CEMENTERIE ALDO BARBETTI S.p.A.</v>
      </c>
      <c r="B383" s="31">
        <f>IFERROR(__xludf.DUMMYFUNCTION("""COMPUTED_VALUE"""),43.3636)</f>
        <v>43.3636</v>
      </c>
      <c r="C383" s="31">
        <f>IFERROR(__xludf.DUMMYFUNCTION("""COMPUTED_VALUE"""),12.5467)</f>
        <v>12.5467</v>
      </c>
      <c r="D383" s="31" t="str">
        <f>IFERROR(__xludf.DUMMYFUNCTION("""COMPUTED_VALUE"""),"Other")</f>
        <v>Other</v>
      </c>
      <c r="E383" s="31">
        <f>IFERROR(__xludf.DUMMYFUNCTION("""COMPUTED_VALUE"""),0.022698036)</f>
        <v>0.022698036</v>
      </c>
    </row>
    <row r="384">
      <c r="A384" s="31" t="str">
        <f>IFERROR(__xludf.DUMMYFUNCTION("""COMPUTED_VALUE"""),"CIMENTS CALCIA SAS (CIMENTERIE)")</f>
        <v>CIMENTS CALCIA SAS (CIMENTERIE)</v>
      </c>
      <c r="B384" s="31">
        <f>IFERROR(__xludf.DUMMYFUNCTION("""COMPUTED_VALUE"""),46.80699)</f>
        <v>46.80699</v>
      </c>
      <c r="C384" s="31">
        <f>IFERROR(__xludf.DUMMYFUNCTION("""COMPUTED_VALUE"""),-0.14459)</f>
        <v>-0.14459</v>
      </c>
      <c r="D384" s="31" t="str">
        <f>IFERROR(__xludf.DUMMYFUNCTION("""COMPUTED_VALUE"""),"Other")</f>
        <v>Other</v>
      </c>
      <c r="E384" s="31">
        <f>IFERROR(__xludf.DUMMYFUNCTION("""COMPUTED_VALUE"""),0.02257722)</f>
        <v>0.02257722</v>
      </c>
    </row>
    <row r="385">
      <c r="A385" s="31" t="str">
        <f>IFERROR(__xludf.DUMMYFUNCTION("""COMPUTED_VALUE"""),"GETEC PARK.SWISS AG / Health, Safety, Environment and Quality")</f>
        <v>GETEC PARK.SWISS AG / Health, Safety, Environment and Quality</v>
      </c>
      <c r="B385" s="31">
        <f>IFERROR(__xludf.DUMMYFUNCTION("""COMPUTED_VALUE"""),47.5325)</f>
        <v>47.5325</v>
      </c>
      <c r="C385" s="31">
        <f>IFERROR(__xludf.DUMMYFUNCTION("""COMPUTED_VALUE"""),7.6647)</f>
        <v>7.6647</v>
      </c>
      <c r="D385" s="31" t="str">
        <f>IFERROR(__xludf.DUMMYFUNCTION("""COMPUTED_VALUE"""),"Waste management")</f>
        <v>Waste management</v>
      </c>
      <c r="E385" s="31">
        <f>IFERROR(__xludf.DUMMYFUNCTION("""COMPUTED_VALUE"""),0.022124012)</f>
        <v>0.022124012</v>
      </c>
    </row>
    <row r="386">
      <c r="A386" s="31" t="str">
        <f>IFERROR(__xludf.DUMMYFUNCTION("""COMPUTED_VALUE"""),"Baumit GmbH")</f>
        <v>Baumit GmbH</v>
      </c>
      <c r="B386" s="31">
        <f>IFERROR(__xludf.DUMMYFUNCTION("""COMPUTED_VALUE"""),47.87225)</f>
        <v>47.87225</v>
      </c>
      <c r="C386" s="31">
        <f>IFERROR(__xludf.DUMMYFUNCTION("""COMPUTED_VALUE"""),16.085917)</f>
        <v>16.085917</v>
      </c>
      <c r="D386" s="31" t="str">
        <f>IFERROR(__xludf.DUMMYFUNCTION("""COMPUTED_VALUE"""),"Other")</f>
        <v>Other</v>
      </c>
      <c r="E386" s="31">
        <f>IFERROR(__xludf.DUMMYFUNCTION("""COMPUTED_VALUE"""),0.022040288)</f>
        <v>0.022040288</v>
      </c>
    </row>
    <row r="387">
      <c r="A387" s="31" t="str">
        <f>IFERROR(__xludf.DUMMYFUNCTION("""COMPUTED_VALUE"""),"CEMENTERIA DI GUIDONIA")</f>
        <v>CEMENTERIA DI GUIDONIA</v>
      </c>
      <c r="B387" s="31">
        <f>IFERROR(__xludf.DUMMYFUNCTION("""COMPUTED_VALUE"""),42.0001)</f>
        <v>42.0001</v>
      </c>
      <c r="C387" s="31">
        <f>IFERROR(__xludf.DUMMYFUNCTION("""COMPUTED_VALUE"""),12.7167)</f>
        <v>12.7167</v>
      </c>
      <c r="D387" s="31" t="str">
        <f>IFERROR(__xludf.DUMMYFUNCTION("""COMPUTED_VALUE"""),"Other")</f>
        <v>Other</v>
      </c>
      <c r="E387" s="31">
        <f>IFERROR(__xludf.DUMMYFUNCTION("""COMPUTED_VALUE"""),0.021718382)</f>
        <v>0.021718382</v>
      </c>
    </row>
    <row r="388">
      <c r="A388" s="31" t="str">
        <f>IFERROR(__xludf.DUMMYFUNCTION("""COMPUTED_VALUE"""),"BUZZI UNICEM S.p.A.")</f>
        <v>BUZZI UNICEM S.p.A.</v>
      </c>
      <c r="B388" s="31">
        <f>IFERROR(__xludf.DUMMYFUNCTION("""COMPUTED_VALUE"""),44.7667)</f>
        <v>44.7667</v>
      </c>
      <c r="C388" s="31">
        <f>IFERROR(__xludf.DUMMYFUNCTION("""COMPUTED_VALUE"""),9.81)</f>
        <v>9.81</v>
      </c>
      <c r="D388" s="31" t="str">
        <f>IFERROR(__xludf.DUMMYFUNCTION("""COMPUTED_VALUE"""),"Other")</f>
        <v>Other</v>
      </c>
      <c r="E388" s="31">
        <f>IFERROR(__xludf.DUMMYFUNCTION("""COMPUTED_VALUE"""),0.021539919)</f>
        <v>0.021539919</v>
      </c>
    </row>
    <row r="389">
      <c r="A389" s="31" t="str">
        <f>IFERROR(__xludf.DUMMYFUNCTION("""COMPUTED_VALUE"""),"ROQUETTE FRERES")</f>
        <v>ROQUETTE FRERES</v>
      </c>
      <c r="B389" s="31">
        <f>IFERROR(__xludf.DUMMYFUNCTION("""COMPUTED_VALUE"""),48.85791)</f>
        <v>48.85791</v>
      </c>
      <c r="C389" s="31">
        <f>IFERROR(__xludf.DUMMYFUNCTION("""COMPUTED_VALUE"""),8.10269)</f>
        <v>8.10269</v>
      </c>
      <c r="D389" s="31" t="str">
        <f>IFERROR(__xludf.DUMMYFUNCTION("""COMPUTED_VALUE"""),"Other")</f>
        <v>Other</v>
      </c>
      <c r="E389" s="31">
        <f>IFERROR(__xludf.DUMMYFUNCTION("""COMPUTED_VALUE"""),0.021433321)</f>
        <v>0.021433321</v>
      </c>
    </row>
    <row r="390">
      <c r="A390" s="31" t="str">
        <f>IFERROR(__xludf.DUMMYFUNCTION("""COMPUTED_VALUE"""),"Považská cementáreň, a.s. - Výroba cementu")</f>
        <v>Považská cementáreň, a.s. - Výroba cementu</v>
      </c>
      <c r="B390" s="31">
        <f>IFERROR(__xludf.DUMMYFUNCTION("""COMPUTED_VALUE"""),49.033025)</f>
        <v>49.033025</v>
      </c>
      <c r="C390" s="31">
        <f>IFERROR(__xludf.DUMMYFUNCTION("""COMPUTED_VALUE"""),18.292761)</f>
        <v>18.292761</v>
      </c>
      <c r="D390" s="31" t="str">
        <f>IFERROR(__xludf.DUMMYFUNCTION("""COMPUTED_VALUE"""),"Other")</f>
        <v>Other</v>
      </c>
      <c r="E390" s="31">
        <f>IFERROR(__xludf.DUMMYFUNCTION("""COMPUTED_VALUE"""),0.021382862)</f>
        <v>0.021382862</v>
      </c>
    </row>
    <row r="391">
      <c r="A391" s="31" t="str">
        <f>IFERROR(__xludf.DUMMYFUNCTION("""COMPUTED_VALUE"""),"ELKEM ASA AVD BJØLVEFOSSEN")</f>
        <v>ELKEM ASA AVD BJØLVEFOSSEN</v>
      </c>
      <c r="B391" s="31">
        <f>IFERROR(__xludf.DUMMYFUNCTION("""COMPUTED_VALUE"""),60.43092)</f>
        <v>60.43092</v>
      </c>
      <c r="C391" s="31">
        <f>IFERROR(__xludf.DUMMYFUNCTION("""COMPUTED_VALUE"""),6.430421)</f>
        <v>6.430421</v>
      </c>
      <c r="D391" s="31" t="str">
        <f>IFERROR(__xludf.DUMMYFUNCTION("""COMPUTED_VALUE"""),"Other")</f>
        <v>Other</v>
      </c>
      <c r="E391" s="31">
        <f>IFERROR(__xludf.DUMMYFUNCTION("""COMPUTED_VALUE"""),0.021)</f>
        <v>0.021</v>
      </c>
    </row>
    <row r="392">
      <c r="A392" s="31" t="str">
        <f>IFERROR(__xludf.DUMMYFUNCTION("""COMPUTED_VALUE"""),"Celsa ""Huta Ostrowiec"" Sp.o.o.")</f>
        <v>Celsa "Huta Ostrowiec" Sp.o.o.</v>
      </c>
      <c r="B392" s="31">
        <f>IFERROR(__xludf.DUMMYFUNCTION("""COMPUTED_VALUE"""),50.94822311)</f>
        <v>50.94822311</v>
      </c>
      <c r="C392" s="31">
        <f>IFERROR(__xludf.DUMMYFUNCTION("""COMPUTED_VALUE"""),21.44509125)</f>
        <v>21.44509125</v>
      </c>
      <c r="D392" s="31" t="str">
        <f>IFERROR(__xludf.DUMMYFUNCTION("""COMPUTED_VALUE"""),"Waste management")</f>
        <v>Waste management</v>
      </c>
      <c r="E392" s="31">
        <f>IFERROR(__xludf.DUMMYFUNCTION("""COMPUTED_VALUE"""),0.020952459)</f>
        <v>0.020952459</v>
      </c>
    </row>
    <row r="393">
      <c r="A393" s="31" t="str">
        <f>IFERROR(__xludf.DUMMYFUNCTION("""COMPUTED_VALUE"""),"TEREOS FRANCE")</f>
        <v>TEREOS FRANCE</v>
      </c>
      <c r="B393" s="31">
        <f>IFERROR(__xludf.DUMMYFUNCTION("""COMPUTED_VALUE"""),49.39425)</f>
        <v>49.39425</v>
      </c>
      <c r="C393" s="31">
        <f>IFERROR(__xludf.DUMMYFUNCTION("""COMPUTED_VALUE"""),3.36945)</f>
        <v>3.36945</v>
      </c>
      <c r="D393" s="31" t="str">
        <f>IFERROR(__xludf.DUMMYFUNCTION("""COMPUTED_VALUE"""),"Other")</f>
        <v>Other</v>
      </c>
      <c r="E393" s="31">
        <f>IFERROR(__xludf.DUMMYFUNCTION("""COMPUTED_VALUE"""),0.02090735)</f>
        <v>0.02090735</v>
      </c>
    </row>
    <row r="394">
      <c r="A394" s="31" t="str">
        <f>IFERROR(__xludf.DUMMYFUNCTION("""COMPUTED_VALUE"""),"VICAT SA")</f>
        <v>VICAT SA</v>
      </c>
      <c r="B394" s="31">
        <f>IFERROR(__xludf.DUMMYFUNCTION("""COMPUTED_VALUE"""),43.7908)</f>
        <v>43.7908</v>
      </c>
      <c r="C394" s="31">
        <f>IFERROR(__xludf.DUMMYFUNCTION("""COMPUTED_VALUE"""),7.37527)</f>
        <v>7.37527</v>
      </c>
      <c r="D394" s="31" t="str">
        <f>IFERROR(__xludf.DUMMYFUNCTION("""COMPUTED_VALUE"""),"Other")</f>
        <v>Other</v>
      </c>
      <c r="E394" s="31">
        <f>IFERROR(__xludf.DUMMYFUNCTION("""COMPUTED_VALUE"""),0.020650836)</f>
        <v>0.020650836</v>
      </c>
    </row>
    <row r="395">
      <c r="A395" s="31" t="str">
        <f>IFERROR(__xludf.DUMMYFUNCTION("""COMPUTED_VALUE"""),"CARMEUSE - Site d'Aisemont")</f>
        <v>CARMEUSE - Site d'Aisemont</v>
      </c>
      <c r="B395" s="31">
        <f>IFERROR(__xludf.DUMMYFUNCTION("""COMPUTED_VALUE"""),50.409557)</f>
        <v>50.409557</v>
      </c>
      <c r="C395" s="31">
        <f>IFERROR(__xludf.DUMMYFUNCTION("""COMPUTED_VALUE"""),4.641672)</f>
        <v>4.641672</v>
      </c>
      <c r="D395" s="31" t="str">
        <f>IFERROR(__xludf.DUMMYFUNCTION("""COMPUTED_VALUE"""),"Other")</f>
        <v>Other</v>
      </c>
      <c r="E395" s="31">
        <f>IFERROR(__xludf.DUMMYFUNCTION("""COMPUTED_VALUE"""),0.020628617)</f>
        <v>0.020628617</v>
      </c>
    </row>
    <row r="396">
      <c r="A396" s="31" t="str">
        <f>IFERROR(__xludf.DUMMYFUNCTION("""COMPUTED_VALUE"""),"SEDIBEX")</f>
        <v>SEDIBEX</v>
      </c>
      <c r="B396" s="31">
        <f>IFERROR(__xludf.DUMMYFUNCTION("""COMPUTED_VALUE"""),49.4983)</f>
        <v>49.4983</v>
      </c>
      <c r="C396" s="31">
        <f>IFERROR(__xludf.DUMMYFUNCTION("""COMPUTED_VALUE"""),0.31926)</f>
        <v>0.31926</v>
      </c>
      <c r="D396" s="31" t="str">
        <f>IFERROR(__xludf.DUMMYFUNCTION("""COMPUTED_VALUE"""),"Waste management")</f>
        <v>Waste management</v>
      </c>
      <c r="E396" s="31">
        <f>IFERROR(__xludf.DUMMYFUNCTION("""COMPUTED_VALUE"""),0.020307861)</f>
        <v>0.020307861</v>
      </c>
    </row>
    <row r="397">
      <c r="A397" s="31" t="str">
        <f>IFERROR(__xludf.DUMMYFUNCTION("""COMPUTED_VALUE"""),"Duna-Dráva Cement Kft.")</f>
        <v>Duna-Dráva Cement Kft.</v>
      </c>
      <c r="B397" s="31">
        <f>IFERROR(__xludf.DUMMYFUNCTION("""COMPUTED_VALUE"""),47.811315)</f>
        <v>47.811315</v>
      </c>
      <c r="C397" s="31">
        <f>IFERROR(__xludf.DUMMYFUNCTION("""COMPUTED_VALUE"""),19.104605)</f>
        <v>19.104605</v>
      </c>
      <c r="D397" s="31" t="str">
        <f>IFERROR(__xludf.DUMMYFUNCTION("""COMPUTED_VALUE"""),"Other")</f>
        <v>Other</v>
      </c>
      <c r="E397" s="31">
        <f>IFERROR(__xludf.DUMMYFUNCTION("""COMPUTED_VALUE"""),0.020000742)</f>
        <v>0.020000742</v>
      </c>
    </row>
    <row r="398">
      <c r="A398" s="31" t="str">
        <f>IFERROR(__xludf.DUMMYFUNCTION("""COMPUTED_VALUE"""),"Holcim (Schweiz) AG")</f>
        <v>Holcim (Schweiz) AG</v>
      </c>
      <c r="B398" s="31">
        <f>IFERROR(__xludf.DUMMYFUNCTION("""COMPUTED_VALUE"""),47.5217)</f>
        <v>47.5217</v>
      </c>
      <c r="C398" s="31">
        <f>IFERROR(__xludf.DUMMYFUNCTION("""COMPUTED_VALUE"""),8.2391)</f>
        <v>8.2391</v>
      </c>
      <c r="D398" s="31" t="str">
        <f>IFERROR(__xludf.DUMMYFUNCTION("""COMPUTED_VALUE"""),"Other")</f>
        <v>Other</v>
      </c>
      <c r="E398" s="31">
        <f>IFERROR(__xludf.DUMMYFUNCTION("""COMPUTED_VALUE"""),0.019880282)</f>
        <v>0.019880282</v>
      </c>
    </row>
    <row r="399">
      <c r="A399" s="31" t="str">
        <f>IFERROR(__xludf.DUMMYFUNCTION("""COMPUTED_VALUE"""),"Slovalco, a.s.")</f>
        <v>Slovalco, a.s.</v>
      </c>
      <c r="B399" s="31">
        <f>IFERROR(__xludf.DUMMYFUNCTION("""COMPUTED_VALUE"""),48.564183)</f>
        <v>48.564183</v>
      </c>
      <c r="C399" s="31">
        <f>IFERROR(__xludf.DUMMYFUNCTION("""COMPUTED_VALUE"""),18.846948)</f>
        <v>18.846948</v>
      </c>
      <c r="D399" s="31" t="str">
        <f>IFERROR(__xludf.DUMMYFUNCTION("""COMPUTED_VALUE"""),"Other")</f>
        <v>Other</v>
      </c>
      <c r="E399" s="31">
        <f>IFERROR(__xludf.DUMMYFUNCTION("""COMPUTED_VALUE"""),0.019879236)</f>
        <v>0.019879236</v>
      </c>
    </row>
    <row r="400">
      <c r="A400" s="31" t="str">
        <f>IFERROR(__xludf.DUMMYFUNCTION("""COMPUTED_VALUE"""),"OFZ a.s. Istebné - prevádzka Široká")</f>
        <v>OFZ a.s. Istebné - prevádzka Široká</v>
      </c>
      <c r="B400" s="31">
        <f>IFERROR(__xludf.DUMMYFUNCTION("""COMPUTED_VALUE"""),49.246894)</f>
        <v>49.246894</v>
      </c>
      <c r="C400" s="31">
        <f>IFERROR(__xludf.DUMMYFUNCTION("""COMPUTED_VALUE"""),19.340795)</f>
        <v>19.340795</v>
      </c>
      <c r="D400" s="31" t="str">
        <f>IFERROR(__xludf.DUMMYFUNCTION("""COMPUTED_VALUE"""),"Other")</f>
        <v>Other</v>
      </c>
      <c r="E400" s="31">
        <f>IFERROR(__xludf.DUMMYFUNCTION("""COMPUTED_VALUE"""),0.019744917)</f>
        <v>0.019744917</v>
      </c>
    </row>
    <row r="401">
      <c r="A401" s="31" t="str">
        <f>IFERROR(__xludf.DUMMYFUNCTION("""COMPUTED_VALUE"""),"Duna-Dráva Cement Kft.")</f>
        <v>Duna-Dráva Cement Kft.</v>
      </c>
      <c r="B401" s="31">
        <f>IFERROR(__xludf.DUMMYFUNCTION("""COMPUTED_VALUE"""),45.811201)</f>
        <v>45.811201</v>
      </c>
      <c r="C401" s="31">
        <f>IFERROR(__xludf.DUMMYFUNCTION("""COMPUTED_VALUE"""),18.398833)</f>
        <v>18.398833</v>
      </c>
      <c r="D401" s="31" t="str">
        <f>IFERROR(__xludf.DUMMYFUNCTION("""COMPUTED_VALUE"""),"Other")</f>
        <v>Other</v>
      </c>
      <c r="E401" s="31">
        <f>IFERROR(__xludf.DUMMYFUNCTION("""COMPUTED_VALUE"""),0.019632842)</f>
        <v>0.019632842</v>
      </c>
    </row>
    <row r="402">
      <c r="A402" s="31" t="str">
        <f>IFERROR(__xludf.DUMMYFUNCTION("""COMPUTED_VALUE"""),"FABRICA DE VILLALUENGA (LAFARGEHOLCIM ESPAÑA SAU)")</f>
        <v>FABRICA DE VILLALUENGA (LAFARGEHOLCIM ESPAÑA SAU)</v>
      </c>
      <c r="B402" s="31">
        <f>IFERROR(__xludf.DUMMYFUNCTION("""COMPUTED_VALUE"""),40.011)</f>
        <v>40.011</v>
      </c>
      <c r="C402" s="31">
        <f>IFERROR(__xludf.DUMMYFUNCTION("""COMPUTED_VALUE"""),-3.9)</f>
        <v>-3.9</v>
      </c>
      <c r="D402" s="31" t="str">
        <f>IFERROR(__xludf.DUMMYFUNCTION("""COMPUTED_VALUE"""),"Other")</f>
        <v>Other</v>
      </c>
      <c r="E402" s="31">
        <f>IFERROR(__xludf.DUMMYFUNCTION("""COMPUTED_VALUE"""),0.019572061)</f>
        <v>0.019572061</v>
      </c>
    </row>
    <row r="403">
      <c r="A403" s="31" t="str">
        <f>IFERROR(__xludf.DUMMYFUNCTION("""COMPUTED_VALUE"""),"LAFARGE HOLCIM")</f>
        <v>LAFARGE HOLCIM</v>
      </c>
      <c r="B403" s="31">
        <f>IFERROR(__xludf.DUMMYFUNCTION("""COMPUTED_VALUE"""),43.0221)</f>
        <v>43.0221</v>
      </c>
      <c r="C403" s="31">
        <f>IFERROR(__xludf.DUMMYFUNCTION("""COMPUTED_VALUE"""),3.03251)</f>
        <v>3.03251</v>
      </c>
      <c r="D403" s="31" t="str">
        <f>IFERROR(__xludf.DUMMYFUNCTION("""COMPUTED_VALUE"""),"Other")</f>
        <v>Other</v>
      </c>
      <c r="E403" s="31">
        <f>IFERROR(__xludf.DUMMYFUNCTION("""COMPUTED_VALUE"""),0.01941795)</f>
        <v>0.01941795</v>
      </c>
    </row>
    <row r="404">
      <c r="A404" s="31" t="str">
        <f>IFERROR(__xludf.DUMMYFUNCTION("""COMPUTED_VALUE"""),"SOCIÉTÉ DES CIMENTS CALCIA")</f>
        <v>SOCIÉTÉ DES CIMENTS CALCIA</v>
      </c>
      <c r="B404" s="31">
        <f>IFERROR(__xludf.DUMMYFUNCTION("""COMPUTED_VALUE"""),43.80428)</f>
        <v>43.80428</v>
      </c>
      <c r="C404" s="31">
        <f>IFERROR(__xludf.DUMMYFUNCTION("""COMPUTED_VALUE"""),4.62159)</f>
        <v>4.62159</v>
      </c>
      <c r="D404" s="31" t="str">
        <f>IFERROR(__xludf.DUMMYFUNCTION("""COMPUTED_VALUE"""),"Other")</f>
        <v>Other</v>
      </c>
      <c r="E404" s="31">
        <f>IFERROR(__xludf.DUMMYFUNCTION("""COMPUTED_VALUE"""),0.019109729)</f>
        <v>0.019109729</v>
      </c>
    </row>
    <row r="405">
      <c r="A405" s="31" t="str">
        <f>IFERROR(__xludf.DUMMYFUNCTION("""COMPUTED_VALUE"""),"CEMENTERIA DI AUGUSTA")</f>
        <v>CEMENTERIA DI AUGUSTA</v>
      </c>
      <c r="B405" s="31">
        <f>IFERROR(__xludf.DUMMYFUNCTION("""COMPUTED_VALUE"""),37.194444)</f>
        <v>37.194444</v>
      </c>
      <c r="C405" s="31">
        <f>IFERROR(__xludf.DUMMYFUNCTION("""COMPUTED_VALUE"""),15.180555)</f>
        <v>15.180555</v>
      </c>
      <c r="D405" s="31" t="str">
        <f>IFERROR(__xludf.DUMMYFUNCTION("""COMPUTED_VALUE"""),"Other")</f>
        <v>Other</v>
      </c>
      <c r="E405" s="31">
        <f>IFERROR(__xludf.DUMMYFUNCTION("""COMPUTED_VALUE"""),0.019105332)</f>
        <v>0.019105332</v>
      </c>
    </row>
    <row r="406">
      <c r="A406" s="31" t="str">
        <f>IFERROR(__xludf.DUMMYFUNCTION("""COMPUTED_VALUE"""),"Jura Cement Fabriken")</f>
        <v>Jura Cement Fabriken</v>
      </c>
      <c r="B406" s="31">
        <f>IFERROR(__xludf.DUMMYFUNCTION("""COMPUTED_VALUE"""),47.4147)</f>
        <v>47.4147</v>
      </c>
      <c r="C406" s="31">
        <f>IFERROR(__xludf.DUMMYFUNCTION("""COMPUTED_VALUE"""),8.1568)</f>
        <v>8.1568</v>
      </c>
      <c r="D406" s="31" t="str">
        <f>IFERROR(__xludf.DUMMYFUNCTION("""COMPUTED_VALUE"""),"Other")</f>
        <v>Other</v>
      </c>
      <c r="E406" s="31">
        <f>IFERROR(__xludf.DUMMYFUNCTION("""COMPUTED_VALUE"""),0.018840035)</f>
        <v>0.018840035</v>
      </c>
    </row>
    <row r="407">
      <c r="A407" s="31" t="str">
        <f>IFERROR(__xludf.DUMMYFUNCTION("""COMPUTED_VALUE"""),"Rio Tinto á Íslandi hf.")</f>
        <v>Rio Tinto á Íslandi hf.</v>
      </c>
      <c r="B407" s="31">
        <f>IFERROR(__xludf.DUMMYFUNCTION("""COMPUTED_VALUE"""),64.046185)</f>
        <v>64.046185</v>
      </c>
      <c r="C407" s="31">
        <f>IFERROR(__xludf.DUMMYFUNCTION("""COMPUTED_VALUE"""),-22.02865)</f>
        <v>-22.02865</v>
      </c>
      <c r="D407" s="31" t="str">
        <f>IFERROR(__xludf.DUMMYFUNCTION("""COMPUTED_VALUE"""),"Other")</f>
        <v>Other</v>
      </c>
      <c r="E407" s="31">
        <f>IFERROR(__xludf.DUMMYFUNCTION("""COMPUTED_VALUE"""),0.018281073)</f>
        <v>0.018281073</v>
      </c>
    </row>
    <row r="408">
      <c r="A408" s="31" t="str">
        <f>IFERROR(__xludf.DUMMYFUNCTION("""COMPUTED_VALUE"""),"CEMEX Polska Sp. z o.o. - Zakład Cementownia Rudniki")</f>
        <v>CEMEX Polska Sp. z o.o. - Zakład Cementownia Rudniki</v>
      </c>
      <c r="B408" s="31">
        <f>IFERROR(__xludf.DUMMYFUNCTION("""COMPUTED_VALUE"""),50.87509155)</f>
        <v>50.87509155</v>
      </c>
      <c r="C408" s="31">
        <f>IFERROR(__xludf.DUMMYFUNCTION("""COMPUTED_VALUE"""),19.25732994)</f>
        <v>19.25732994</v>
      </c>
      <c r="D408" s="31" t="str">
        <f>IFERROR(__xludf.DUMMYFUNCTION("""COMPUTED_VALUE"""),"Other")</f>
        <v>Other</v>
      </c>
      <c r="E408" s="31">
        <f>IFERROR(__xludf.DUMMYFUNCTION("""COMPUTED_VALUE"""),0.018215114)</f>
        <v>0.018215114</v>
      </c>
    </row>
    <row r="409">
      <c r="A409" s="31" t="str">
        <f>IFERROR(__xludf.DUMMYFUNCTION("""COMPUTED_VALUE"""),"LAFARGE CIMENTS")</f>
        <v>LAFARGE CIMENTS</v>
      </c>
      <c r="B409" s="31">
        <f>IFERROR(__xludf.DUMMYFUNCTION("""COMPUTED_VALUE"""),43.18562)</f>
        <v>43.18562</v>
      </c>
      <c r="C409" s="31">
        <f>IFERROR(__xludf.DUMMYFUNCTION("""COMPUTED_VALUE"""),0.99013)</f>
        <v>0.99013</v>
      </c>
      <c r="D409" s="31" t="str">
        <f>IFERROR(__xludf.DUMMYFUNCTION("""COMPUTED_VALUE"""),"Other")</f>
        <v>Other</v>
      </c>
      <c r="E409" s="31">
        <f>IFERROR(__xludf.DUMMYFUNCTION("""COMPUTED_VALUE"""),0.018185064)</f>
        <v>0.018185064</v>
      </c>
    </row>
    <row r="410">
      <c r="A410" s="31" t="str">
        <f>IFERROR(__xludf.DUMMYFUNCTION("""COMPUTED_VALUE"""),"COLACEM S.P.A. - CEMENTERIA DI RASSINA")</f>
        <v>COLACEM S.P.A. - CEMENTERIA DI RASSINA</v>
      </c>
      <c r="B410" s="31">
        <f>IFERROR(__xludf.DUMMYFUNCTION("""COMPUTED_VALUE"""),43.6581)</f>
        <v>43.6581</v>
      </c>
      <c r="C410" s="31">
        <f>IFERROR(__xludf.DUMMYFUNCTION("""COMPUTED_VALUE"""),11.8367)</f>
        <v>11.8367</v>
      </c>
      <c r="D410" s="31" t="str">
        <f>IFERROR(__xludf.DUMMYFUNCTION("""COMPUTED_VALUE"""),"Other")</f>
        <v>Other</v>
      </c>
      <c r="E410" s="31">
        <f>IFERROR(__xludf.DUMMYFUNCTION("""COMPUTED_VALUE"""),0.018121944)</f>
        <v>0.018121944</v>
      </c>
    </row>
    <row r="411">
      <c r="A411" s="31" t="str">
        <f>IFERROR(__xludf.DUMMYFUNCTION("""COMPUTED_VALUE"""),"CEMEX ESPAÑA-ALICANTE (CEMENTO BLANCO)")</f>
        <v>CEMEX ESPAÑA-ALICANTE (CEMENTO BLANCO)</v>
      </c>
      <c r="B411" s="31">
        <f>IFERROR(__xludf.DUMMYFUNCTION("""COMPUTED_VALUE"""),38.378608)</f>
        <v>38.378608</v>
      </c>
      <c r="C411" s="31">
        <f>IFERROR(__xludf.DUMMYFUNCTION("""COMPUTED_VALUE"""),-0.541845)</f>
        <v>-0.541845</v>
      </c>
      <c r="D411" s="31" t="str">
        <f>IFERROR(__xludf.DUMMYFUNCTION("""COMPUTED_VALUE"""),"Other")</f>
        <v>Other</v>
      </c>
      <c r="E411" s="31">
        <f>IFERROR(__xludf.DUMMYFUNCTION("""COMPUTED_VALUE"""),0.018069481)</f>
        <v>0.018069481</v>
      </c>
    </row>
    <row r="412">
      <c r="A412" s="31" t="str">
        <f>IFERROR(__xludf.DUMMYFUNCTION("""COMPUTED_VALUE"""),"Cement company Zlatna Panega Ciment")</f>
        <v>Cement company Zlatna Panega Ciment</v>
      </c>
      <c r="B412" s="31">
        <f>IFERROR(__xludf.DUMMYFUNCTION("""COMPUTED_VALUE"""),43.088184)</f>
        <v>43.088184</v>
      </c>
      <c r="C412" s="31">
        <f>IFERROR(__xludf.DUMMYFUNCTION("""COMPUTED_VALUE"""),24.170937)</f>
        <v>24.170937</v>
      </c>
      <c r="D412" s="31" t="str">
        <f>IFERROR(__xludf.DUMMYFUNCTION("""COMPUTED_VALUE"""),"Other")</f>
        <v>Other</v>
      </c>
      <c r="E412" s="31">
        <f>IFERROR(__xludf.DUMMYFUNCTION("""COMPUTED_VALUE"""),0.018)</f>
        <v>0.018</v>
      </c>
    </row>
    <row r="413">
      <c r="A413" s="31" t="str">
        <f>IFERROR(__xludf.DUMMYFUNCTION("""COMPUTED_VALUE"""),"Heidelberg Materials Cement Sverige AB")</f>
        <v>Heidelberg Materials Cement Sverige AB</v>
      </c>
      <c r="B413" s="31">
        <f>IFERROR(__xludf.DUMMYFUNCTION("""COMPUTED_VALUE"""),58.38436)</f>
        <v>58.38436</v>
      </c>
      <c r="C413" s="31">
        <f>IFERROR(__xludf.DUMMYFUNCTION("""COMPUTED_VALUE"""),13.82477)</f>
        <v>13.82477</v>
      </c>
      <c r="D413" s="31" t="str">
        <f>IFERROR(__xludf.DUMMYFUNCTION("""COMPUTED_VALUE"""),"Other")</f>
        <v>Other</v>
      </c>
      <c r="E413" s="31">
        <f>IFERROR(__xludf.DUMMYFUNCTION("""COMPUTED_VALUE"""),0.018)</f>
        <v>0.018</v>
      </c>
    </row>
    <row r="414">
      <c r="A414" s="31" t="str">
        <f>IFERROR(__xludf.DUMMYFUNCTION("""COMPUTED_VALUE"""),"Italcementi di  Matera")</f>
        <v>Italcementi di  Matera</v>
      </c>
      <c r="B414" s="31">
        <f>IFERROR(__xludf.DUMMYFUNCTION("""COMPUTED_VALUE"""),40.6753)</f>
        <v>40.6753</v>
      </c>
      <c r="C414" s="31">
        <f>IFERROR(__xludf.DUMMYFUNCTION("""COMPUTED_VALUE"""),16.6569)</f>
        <v>16.6569</v>
      </c>
      <c r="D414" s="31" t="str">
        <f>IFERROR(__xludf.DUMMYFUNCTION("""COMPUTED_VALUE"""),"Other")</f>
        <v>Other</v>
      </c>
      <c r="E414" s="31">
        <f>IFERROR(__xludf.DUMMYFUNCTION("""COMPUTED_VALUE"""),0.017967981)</f>
        <v>0.017967981</v>
      </c>
    </row>
    <row r="415">
      <c r="A415" s="31" t="str">
        <f>IFERROR(__xludf.DUMMYFUNCTION("""COMPUTED_VALUE"""),"Leube Zement GmbH")</f>
        <v>Leube Zement GmbH</v>
      </c>
      <c r="B415" s="31">
        <f>IFERROR(__xludf.DUMMYFUNCTION("""COMPUTED_VALUE"""),47.721444)</f>
        <v>47.721444</v>
      </c>
      <c r="C415" s="31">
        <f>IFERROR(__xludf.DUMMYFUNCTION("""COMPUTED_VALUE"""),13.052528)</f>
        <v>13.052528</v>
      </c>
      <c r="D415" s="31" t="str">
        <f>IFERROR(__xludf.DUMMYFUNCTION("""COMPUTED_VALUE"""),"Other")</f>
        <v>Other</v>
      </c>
      <c r="E415" s="31">
        <f>IFERROR(__xludf.DUMMYFUNCTION("""COMPUTED_VALUE"""),0.017577585)</f>
        <v>0.017577585</v>
      </c>
    </row>
    <row r="416">
      <c r="A416" s="31" t="str">
        <f>IFERROR(__xludf.DUMMYFUNCTION("""COMPUTED_VALUE"""),"Carmeuse Slovakia, s.r.o. - Závod Vápenka Košice")</f>
        <v>Carmeuse Slovakia, s.r.o. - Závod Vápenka Košice</v>
      </c>
      <c r="B416" s="31">
        <f>IFERROR(__xludf.DUMMYFUNCTION("""COMPUTED_VALUE"""),48.60596805)</f>
        <v>48.60596805</v>
      </c>
      <c r="C416" s="31">
        <f>IFERROR(__xludf.DUMMYFUNCTION("""COMPUTED_VALUE"""),21.18369522)</f>
        <v>21.18369522</v>
      </c>
      <c r="D416" s="31" t="str">
        <f>IFERROR(__xludf.DUMMYFUNCTION("""COMPUTED_VALUE"""),"Other")</f>
        <v>Other</v>
      </c>
      <c r="E416" s="31">
        <f>IFERROR(__xludf.DUMMYFUNCTION("""COMPUTED_VALUE"""),0.01755368)</f>
        <v>0.01755368</v>
      </c>
    </row>
    <row r="417">
      <c r="A417" s="31" t="str">
        <f>IFERROR(__xludf.DUMMYFUNCTION("""COMPUTED_VALUE"""),"Fábrica Maceira-Liz (CI)")</f>
        <v>Fábrica Maceira-Liz (CI)</v>
      </c>
      <c r="B417" s="31">
        <f>IFERROR(__xludf.DUMMYFUNCTION("""COMPUTED_VALUE"""),39.686559)</f>
        <v>39.686559</v>
      </c>
      <c r="C417" s="31">
        <f>IFERROR(__xludf.DUMMYFUNCTION("""COMPUTED_VALUE"""),-8.903386)</f>
        <v>-8.903386</v>
      </c>
      <c r="D417" s="31" t="str">
        <f>IFERROR(__xludf.DUMMYFUNCTION("""COMPUTED_VALUE"""),"Other")</f>
        <v>Other</v>
      </c>
      <c r="E417" s="31">
        <f>IFERROR(__xludf.DUMMYFUNCTION("""COMPUTED_VALUE"""),0.017491566)</f>
        <v>0.017491566</v>
      </c>
    </row>
    <row r="418">
      <c r="A418" s="31" t="str">
        <f>IFERROR(__xludf.DUMMYFUNCTION("""COMPUTED_VALUE"""),"EQIOM")</f>
        <v>EQIOM</v>
      </c>
      <c r="B418" s="31">
        <f>IFERROR(__xludf.DUMMYFUNCTION("""COMPUTED_VALUE"""),48.6902)</f>
        <v>48.6902</v>
      </c>
      <c r="C418" s="31">
        <f>IFERROR(__xludf.DUMMYFUNCTION("""COMPUTED_VALUE"""),6.96899)</f>
        <v>6.96899</v>
      </c>
      <c r="D418" s="31" t="str">
        <f>IFERROR(__xludf.DUMMYFUNCTION("""COMPUTED_VALUE"""),"Other")</f>
        <v>Other</v>
      </c>
      <c r="E418" s="31">
        <f>IFERROR(__xludf.DUMMYFUNCTION("""COMPUTED_VALUE"""),0.017453038)</f>
        <v>0.017453038</v>
      </c>
    </row>
    <row r="419">
      <c r="A419" s="31" t="str">
        <f>IFERROR(__xludf.DUMMYFUNCTION("""COMPUTED_VALUE"""),"INDUSTRIA CEMENTI GIOVANNI ROSSI S.P.A.")</f>
        <v>INDUSTRIA CEMENTI GIOVANNI ROSSI S.P.A.</v>
      </c>
      <c r="B419" s="31">
        <f>IFERROR(__xludf.DUMMYFUNCTION("""COMPUTED_VALUE"""),45.0497)</f>
        <v>45.0497</v>
      </c>
      <c r="C419" s="31">
        <f>IFERROR(__xludf.DUMMYFUNCTION("""COMPUTED_VALUE"""),9.7186)</f>
        <v>9.7186</v>
      </c>
      <c r="D419" s="31" t="str">
        <f>IFERROR(__xludf.DUMMYFUNCTION("""COMPUTED_VALUE"""),"Other")</f>
        <v>Other</v>
      </c>
      <c r="E419" s="31">
        <f>IFERROR(__xludf.DUMMYFUNCTION("""COMPUTED_VALUE"""),0.017404496)</f>
        <v>0.017404496</v>
      </c>
    </row>
    <row r="420">
      <c r="A420" s="31" t="str">
        <f>IFERROR(__xludf.DUMMYFUNCTION("""COMPUTED_VALUE"""),"AB „Roquette Amilina“")</f>
        <v>AB „Roquette Amilina“</v>
      </c>
      <c r="B420" s="31">
        <f>IFERROR(__xludf.DUMMYFUNCTION("""COMPUTED_VALUE"""),55.742176)</f>
        <v>55.742176</v>
      </c>
      <c r="C420" s="31">
        <f>IFERROR(__xludf.DUMMYFUNCTION("""COMPUTED_VALUE"""),24.324309)</f>
        <v>24.324309</v>
      </c>
      <c r="D420" s="31" t="str">
        <f>IFERROR(__xludf.DUMMYFUNCTION("""COMPUTED_VALUE"""),"Other")</f>
        <v>Other</v>
      </c>
      <c r="E420" s="31">
        <f>IFERROR(__xludf.DUMMYFUNCTION("""COMPUTED_VALUE"""),0.017357045)</f>
        <v>0.017357045</v>
      </c>
    </row>
    <row r="421">
      <c r="A421" s="31" t="str">
        <f>IFERROR(__xludf.DUMMYFUNCTION("""COMPUTED_VALUE"""),"SARP INDUSTRIES")</f>
        <v>SARP INDUSTRIES</v>
      </c>
      <c r="B421" s="31">
        <f>IFERROR(__xludf.DUMMYFUNCTION("""COMPUTED_VALUE"""),48.97513)</f>
        <v>48.97513</v>
      </c>
      <c r="C421" s="31">
        <f>IFERROR(__xludf.DUMMYFUNCTION("""COMPUTED_VALUE"""),1.75043)</f>
        <v>1.75043</v>
      </c>
      <c r="D421" s="31" t="str">
        <f>IFERROR(__xludf.DUMMYFUNCTION("""COMPUTED_VALUE"""),"Waste management")</f>
        <v>Waste management</v>
      </c>
      <c r="E421" s="31">
        <f>IFERROR(__xludf.DUMMYFUNCTION("""COMPUTED_VALUE"""),0.017335979)</f>
        <v>0.017335979</v>
      </c>
    </row>
    <row r="422">
      <c r="A422" s="31" t="str">
        <f>IFERROR(__xludf.DUMMYFUNCTION("""COMPUTED_VALUE"""),"Kunda Nordic Tsement AS, Kunda tsemenditehas")</f>
        <v>Kunda Nordic Tsement AS, Kunda tsemenditehas</v>
      </c>
      <c r="B422" s="31">
        <f>IFERROR(__xludf.DUMMYFUNCTION("""COMPUTED_VALUE"""),59.49644087)</f>
        <v>59.49644087</v>
      </c>
      <c r="C422" s="31">
        <f>IFERROR(__xludf.DUMMYFUNCTION("""COMPUTED_VALUE"""),26.5310908)</f>
        <v>26.5310908</v>
      </c>
      <c r="D422" s="31" t="str">
        <f>IFERROR(__xludf.DUMMYFUNCTION("""COMPUTED_VALUE"""),"Other")</f>
        <v>Other</v>
      </c>
      <c r="E422" s="31">
        <f>IFERROR(__xludf.DUMMYFUNCTION("""COMPUTED_VALUE"""),0.017)</f>
        <v>0.017</v>
      </c>
    </row>
    <row r="423">
      <c r="A423" s="31" t="str">
        <f>IFERROR(__xludf.DUMMYFUNCTION("""COMPUTED_VALUE"""),"Dyckerhoff GmbH Werksgruppe Nord-Werk Geseke-")</f>
        <v>Dyckerhoff GmbH Werksgruppe Nord-Werk Geseke-</v>
      </c>
      <c r="B423" s="31">
        <f>IFERROR(__xludf.DUMMYFUNCTION("""COMPUTED_VALUE"""),51.6225605185145)</f>
        <v>51.62256052</v>
      </c>
      <c r="C423" s="31">
        <f>IFERROR(__xludf.DUMMYFUNCTION("""COMPUTED_VALUE"""),8.50439288084779)</f>
        <v>8.504392881</v>
      </c>
      <c r="D423" s="31" t="str">
        <f>IFERROR(__xludf.DUMMYFUNCTION("""COMPUTED_VALUE"""),"Other")</f>
        <v>Other</v>
      </c>
      <c r="E423" s="31">
        <f>IFERROR(__xludf.DUMMYFUNCTION("""COMPUTED_VALUE"""),0.017)</f>
        <v>0.017</v>
      </c>
    </row>
    <row r="424">
      <c r="A424" s="31" t="str">
        <f>IFERROR(__xludf.DUMMYFUNCTION("""COMPUTED_VALUE"""),"Elkem Rana AS")</f>
        <v>Elkem Rana AS</v>
      </c>
      <c r="B424" s="31">
        <f>IFERROR(__xludf.DUMMYFUNCTION("""COMPUTED_VALUE"""),66.31336)</f>
        <v>66.31336</v>
      </c>
      <c r="C424" s="31">
        <f>IFERROR(__xludf.DUMMYFUNCTION("""COMPUTED_VALUE"""),14.16755)</f>
        <v>14.16755</v>
      </c>
      <c r="D424" s="31" t="str">
        <f>IFERROR(__xludf.DUMMYFUNCTION("""COMPUTED_VALUE"""),"Other")</f>
        <v>Other</v>
      </c>
      <c r="E424" s="31">
        <f>IFERROR(__xludf.DUMMYFUNCTION("""COMPUTED_VALUE"""),0.017)</f>
        <v>0.017</v>
      </c>
    </row>
    <row r="425">
      <c r="A425" s="31" t="str">
        <f>IFERROR(__xludf.DUMMYFUNCTION("""COMPUTED_VALUE"""),"CRISTAL UNION")</f>
        <v>CRISTAL UNION</v>
      </c>
      <c r="B425" s="31">
        <f>IFERROR(__xludf.DUMMYFUNCTION("""COMPUTED_VALUE"""),48.53215)</f>
        <v>48.53215</v>
      </c>
      <c r="C425" s="31">
        <f>IFERROR(__xludf.DUMMYFUNCTION("""COMPUTED_VALUE"""),4.11336)</f>
        <v>4.11336</v>
      </c>
      <c r="D425" s="31" t="str">
        <f>IFERROR(__xludf.DUMMYFUNCTION("""COMPUTED_VALUE"""),"Other")</f>
        <v>Other</v>
      </c>
      <c r="E425" s="31">
        <f>IFERROR(__xludf.DUMMYFUNCTION("""COMPUTED_VALUE"""),0.016962567)</f>
        <v>0.016962567</v>
      </c>
    </row>
    <row r="426">
      <c r="A426" s="31" t="str">
        <f>IFERROR(__xludf.DUMMYFUNCTION("""COMPUTED_VALUE"""),"ERZ KHKW Josefstrasse")</f>
        <v>ERZ KHKW Josefstrasse</v>
      </c>
      <c r="B426" s="31">
        <f>IFERROR(__xludf.DUMMYFUNCTION("""COMPUTED_VALUE"""),47.3867)</f>
        <v>47.3867</v>
      </c>
      <c r="C426" s="31">
        <f>IFERROR(__xludf.DUMMYFUNCTION("""COMPUTED_VALUE"""),8.5222)</f>
        <v>8.5222</v>
      </c>
      <c r="D426" s="31" t="str">
        <f>IFERROR(__xludf.DUMMYFUNCTION("""COMPUTED_VALUE"""),"Waste management")</f>
        <v>Waste management</v>
      </c>
      <c r="E426" s="31">
        <f>IFERROR(__xludf.DUMMYFUNCTION("""COMPUTED_VALUE"""),0.01683)</f>
        <v>0.01683</v>
      </c>
    </row>
    <row r="427">
      <c r="A427" s="31" t="str">
        <f>IFERROR(__xludf.DUMMYFUNCTION("""COMPUTED_VALUE"""),"Holcim (Schweiz) AG")</f>
        <v>Holcim (Schweiz) AG</v>
      </c>
      <c r="B427" s="31">
        <f>IFERROR(__xludf.DUMMYFUNCTION("""COMPUTED_VALUE"""),46.9155)</f>
        <v>46.9155</v>
      </c>
      <c r="C427" s="31">
        <f>IFERROR(__xludf.DUMMYFUNCTION("""COMPUTED_VALUE"""),9.5529)</f>
        <v>9.5529</v>
      </c>
      <c r="D427" s="31" t="str">
        <f>IFERROR(__xludf.DUMMYFUNCTION("""COMPUTED_VALUE"""),"Other")</f>
        <v>Other</v>
      </c>
      <c r="E427" s="31">
        <f>IFERROR(__xludf.DUMMYFUNCTION("""COMPUTED_VALUE"""),0.016798068)</f>
        <v>0.016798068</v>
      </c>
    </row>
    <row r="428">
      <c r="A428" s="31" t="str">
        <f>IFERROR(__xludf.DUMMYFUNCTION("""COMPUTED_VALUE"""),"LHOIST INDUSTRIE - Site de On")</f>
        <v>LHOIST INDUSTRIE - Site de On</v>
      </c>
      <c r="B428" s="31">
        <f>IFERROR(__xludf.DUMMYFUNCTION("""COMPUTED_VALUE"""),50.164894)</f>
        <v>50.164894</v>
      </c>
      <c r="C428" s="31">
        <f>IFERROR(__xludf.DUMMYFUNCTION("""COMPUTED_VALUE"""),5.2680287)</f>
        <v>5.2680287</v>
      </c>
      <c r="D428" s="31" t="str">
        <f>IFERROR(__xludf.DUMMYFUNCTION("""COMPUTED_VALUE"""),"Other")</f>
        <v>Other</v>
      </c>
      <c r="E428" s="31">
        <f>IFERROR(__xludf.DUMMYFUNCTION("""COMPUTED_VALUE"""),0.016788519)</f>
        <v>0.016788519</v>
      </c>
    </row>
    <row r="429">
      <c r="A429" s="31" t="str">
        <f>IFERROR(__xludf.DUMMYFUNCTION("""COMPUTED_VALUE"""),"TRIMET")</f>
        <v>TRIMET</v>
      </c>
      <c r="B429" s="31">
        <f>IFERROR(__xludf.DUMMYFUNCTION("""COMPUTED_VALUE"""),45.2767)</f>
        <v>45.2767</v>
      </c>
      <c r="C429" s="31">
        <f>IFERROR(__xludf.DUMMYFUNCTION("""COMPUTED_VALUE"""),6.35903)</f>
        <v>6.35903</v>
      </c>
      <c r="D429" s="31" t="str">
        <f>IFERROR(__xludf.DUMMYFUNCTION("""COMPUTED_VALUE"""),"Other")</f>
        <v>Other</v>
      </c>
      <c r="E429" s="31">
        <f>IFERROR(__xludf.DUMMYFUNCTION("""COMPUTED_VALUE"""),0.016655576)</f>
        <v>0.016655576</v>
      </c>
    </row>
    <row r="430">
      <c r="A430" s="31" t="str">
        <f>IFERROR(__xludf.DUMMYFUNCTION("""COMPUTED_VALUE"""),"TEREOS FRANCE")</f>
        <v>TEREOS FRANCE</v>
      </c>
      <c r="B430" s="31">
        <f>IFERROR(__xludf.DUMMYFUNCTION("""COMPUTED_VALUE"""),48.09094)</f>
        <v>48.09094</v>
      </c>
      <c r="C430" s="31">
        <f>IFERROR(__xludf.DUMMYFUNCTION("""COMPUTED_VALUE"""),1.88441)</f>
        <v>1.88441</v>
      </c>
      <c r="D430" s="31" t="str">
        <f>IFERROR(__xludf.DUMMYFUNCTION("""COMPUTED_VALUE"""),"Other")</f>
        <v>Other</v>
      </c>
      <c r="E430" s="31">
        <f>IFERROR(__xludf.DUMMYFUNCTION("""COMPUTED_VALUE"""),0.016568088)</f>
        <v>0.016568088</v>
      </c>
    </row>
    <row r="431">
      <c r="A431" s="31" t="str">
        <f>IFERROR(__xludf.DUMMYFUNCTION("""COMPUTED_VALUE"""),"FÁBRICA DE MONTCADA (LAFARGEHOLCIM ESPAÑA SAU)")</f>
        <v>FÁBRICA DE MONTCADA (LAFARGEHOLCIM ESPAÑA SAU)</v>
      </c>
      <c r="B431" s="31">
        <f>IFERROR(__xludf.DUMMYFUNCTION("""COMPUTED_VALUE"""),41.477659)</f>
        <v>41.477659</v>
      </c>
      <c r="C431" s="31">
        <f>IFERROR(__xludf.DUMMYFUNCTION("""COMPUTED_VALUE"""),2.186544)</f>
        <v>2.186544</v>
      </c>
      <c r="D431" s="31" t="str">
        <f>IFERROR(__xludf.DUMMYFUNCTION("""COMPUTED_VALUE"""),"Other")</f>
        <v>Other</v>
      </c>
      <c r="E431" s="31">
        <f>IFERROR(__xludf.DUMMYFUNCTION("""COMPUTED_VALUE"""),0.016412791)</f>
        <v>0.016412791</v>
      </c>
    </row>
    <row r="432">
      <c r="A432" s="31" t="str">
        <f>IFERROR(__xludf.DUMMYFUNCTION("""COMPUTED_VALUE"""),"Holcim (Österreich) GmbH")</f>
        <v>Holcim (Österreich) GmbH</v>
      </c>
      <c r="B432" s="31">
        <f>IFERROR(__xludf.DUMMYFUNCTION("""COMPUTED_VALUE"""),46.744722)</f>
        <v>46.744722</v>
      </c>
      <c r="C432" s="31">
        <f>IFERROR(__xludf.DUMMYFUNCTION("""COMPUTED_VALUE"""),15.58)</f>
        <v>15.58</v>
      </c>
      <c r="D432" s="31" t="str">
        <f>IFERROR(__xludf.DUMMYFUNCTION("""COMPUTED_VALUE"""),"Other")</f>
        <v>Other</v>
      </c>
      <c r="E432" s="31">
        <f>IFERROR(__xludf.DUMMYFUNCTION("""COMPUTED_VALUE"""),0.016302527)</f>
        <v>0.016302527</v>
      </c>
    </row>
    <row r="433">
      <c r="A433" s="31" t="str">
        <f>IFERROR(__xludf.DUMMYFUNCTION("""COMPUTED_VALUE"""),"SOLVAY CHIMICA ITALIA S.P.A. ROSIGNANO")</f>
        <v>SOLVAY CHIMICA ITALIA S.P.A. ROSIGNANO</v>
      </c>
      <c r="B433" s="31">
        <f>IFERROR(__xludf.DUMMYFUNCTION("""COMPUTED_VALUE"""),43.4089)</f>
        <v>43.4089</v>
      </c>
      <c r="C433" s="31">
        <f>IFERROR(__xludf.DUMMYFUNCTION("""COMPUTED_VALUE"""),10.4739)</f>
        <v>10.4739</v>
      </c>
      <c r="D433" s="31" t="str">
        <f>IFERROR(__xludf.DUMMYFUNCTION("""COMPUTED_VALUE"""),"Other")</f>
        <v>Other</v>
      </c>
      <c r="E433" s="31">
        <f>IFERROR(__xludf.DUMMYFUNCTION("""COMPUTED_VALUE"""),0.016273895)</f>
        <v>0.016273895</v>
      </c>
    </row>
    <row r="434">
      <c r="A434" s="31" t="str">
        <f>IFERROR(__xludf.DUMMYFUNCTION("""COMPUTED_VALUE"""),"CARRIERES ET FOURS A CHAUX DE DUGNY")</f>
        <v>CARRIERES ET FOURS A CHAUX DE DUGNY</v>
      </c>
      <c r="B434" s="31">
        <f>IFERROR(__xludf.DUMMYFUNCTION("""COMPUTED_VALUE"""),49.1132)</f>
        <v>49.1132</v>
      </c>
      <c r="C434" s="31">
        <f>IFERROR(__xludf.DUMMYFUNCTION("""COMPUTED_VALUE"""),5.38547)</f>
        <v>5.38547</v>
      </c>
      <c r="D434" s="31" t="str">
        <f>IFERROR(__xludf.DUMMYFUNCTION("""COMPUTED_VALUE"""),"Other")</f>
        <v>Other</v>
      </c>
      <c r="E434" s="31">
        <f>IFERROR(__xludf.DUMMYFUNCTION("""COMPUTED_VALUE"""),0.016120376)</f>
        <v>0.016120376</v>
      </c>
    </row>
    <row r="435">
      <c r="A435" s="31" t="str">
        <f>IFERROR(__xludf.DUMMYFUNCTION("""COMPUTED_VALUE"""),"Finnfjord")</f>
        <v>Finnfjord</v>
      </c>
      <c r="B435" s="31">
        <f>IFERROR(__xludf.DUMMYFUNCTION("""COMPUTED_VALUE"""),69.2225952)</f>
        <v>69.2225952</v>
      </c>
      <c r="C435" s="31">
        <f>IFERROR(__xludf.DUMMYFUNCTION("""COMPUTED_VALUE"""),18.0821819)</f>
        <v>18.0821819</v>
      </c>
      <c r="D435" s="31" t="str">
        <f>IFERROR(__xludf.DUMMYFUNCTION("""COMPUTED_VALUE"""),"Other")</f>
        <v>Other</v>
      </c>
      <c r="E435" s="31">
        <f>IFERROR(__xludf.DUMMYFUNCTION("""COMPUTED_VALUE"""),0.016)</f>
        <v>0.016</v>
      </c>
    </row>
    <row r="436">
      <c r="A436" s="31" t="str">
        <f>IFERROR(__xludf.DUMMYFUNCTION("""COMPUTED_VALUE"""),"Stabilimento di Monselice")</f>
        <v>Stabilimento di Monselice</v>
      </c>
      <c r="B436" s="31">
        <f>IFERROR(__xludf.DUMMYFUNCTION("""COMPUTED_VALUE"""),45.2542)</f>
        <v>45.2542</v>
      </c>
      <c r="C436" s="31">
        <f>IFERROR(__xludf.DUMMYFUNCTION("""COMPUTED_VALUE"""),11.7517)</f>
        <v>11.7517</v>
      </c>
      <c r="D436" s="31" t="str">
        <f>IFERROR(__xludf.DUMMYFUNCTION("""COMPUTED_VALUE"""),"Other")</f>
        <v>Other</v>
      </c>
      <c r="E436" s="31">
        <f>IFERROR(__xludf.DUMMYFUNCTION("""COMPUTED_VALUE"""),0.015875747)</f>
        <v>0.015875747</v>
      </c>
    </row>
    <row r="437">
      <c r="A437" s="31" t="str">
        <f>IFERROR(__xludf.DUMMYFUNCTION("""COMPUTED_VALUE"""),"Stabilimento di Portovesme")</f>
        <v>Stabilimento di Portovesme</v>
      </c>
      <c r="B437" s="31">
        <f>IFERROR(__xludf.DUMMYFUNCTION("""COMPUTED_VALUE"""),39.2091)</f>
        <v>39.2091</v>
      </c>
      <c r="C437" s="31">
        <f>IFERROR(__xludf.DUMMYFUNCTION("""COMPUTED_VALUE"""),8.4079)</f>
        <v>8.4079</v>
      </c>
      <c r="D437" s="31" t="str">
        <f>IFERROR(__xludf.DUMMYFUNCTION("""COMPUTED_VALUE"""),"Other")</f>
        <v>Other</v>
      </c>
      <c r="E437" s="31">
        <f>IFERROR(__xludf.DUMMYFUNCTION("""COMPUTED_VALUE"""),0.015810373)</f>
        <v>0.015810373</v>
      </c>
    </row>
    <row r="438">
      <c r="A438" s="31" t="str">
        <f>IFERROR(__xludf.DUMMYFUNCTION("""COMPUTED_VALUE"""),"VICAT (USINE DE XEUILLEY)")</f>
        <v>VICAT (USINE DE XEUILLEY)</v>
      </c>
      <c r="B438" s="31">
        <f>IFERROR(__xludf.DUMMYFUNCTION("""COMPUTED_VALUE"""),48.5674)</f>
        <v>48.5674</v>
      </c>
      <c r="C438" s="31">
        <f>IFERROR(__xludf.DUMMYFUNCTION("""COMPUTED_VALUE"""),6.10325)</f>
        <v>6.10325</v>
      </c>
      <c r="D438" s="31" t="str">
        <f>IFERROR(__xludf.DUMMYFUNCTION("""COMPUTED_VALUE"""),"Other")</f>
        <v>Other</v>
      </c>
      <c r="E438" s="31">
        <f>IFERROR(__xludf.DUMMYFUNCTION("""COMPUTED_VALUE"""),0.015757821)</f>
        <v>0.015757821</v>
      </c>
    </row>
    <row r="439">
      <c r="A439" s="31" t="str">
        <f>IFERROR(__xludf.DUMMYFUNCTION("""COMPUTED_VALUE"""),"SOCIETE DES FOURS A CHAUX DE SORCY")</f>
        <v>SOCIETE DES FOURS A CHAUX DE SORCY</v>
      </c>
      <c r="B439" s="31">
        <f>IFERROR(__xludf.DUMMYFUNCTION("""COMPUTED_VALUE"""),48.7112)</f>
        <v>48.7112</v>
      </c>
      <c r="C439" s="31">
        <f>IFERROR(__xludf.DUMMYFUNCTION("""COMPUTED_VALUE"""),5.63152)</f>
        <v>5.63152</v>
      </c>
      <c r="D439" s="31" t="str">
        <f>IFERROR(__xludf.DUMMYFUNCTION("""COMPUTED_VALUE"""),"Other")</f>
        <v>Other</v>
      </c>
      <c r="E439" s="31">
        <f>IFERROR(__xludf.DUMMYFUNCTION("""COMPUTED_VALUE"""),0.015528255)</f>
        <v>0.015528255</v>
      </c>
    </row>
    <row r="440">
      <c r="A440" s="31" t="str">
        <f>IFERROR(__xludf.DUMMYFUNCTION("""COMPUTED_VALUE"""),"Huta Miedzi ""Legnica""")</f>
        <v>Huta Miedzi "Legnica"</v>
      </c>
      <c r="B440" s="31">
        <f>IFERROR(__xludf.DUMMYFUNCTION("""COMPUTED_VALUE"""),51.18238449)</f>
        <v>51.18238449</v>
      </c>
      <c r="C440" s="31">
        <f>IFERROR(__xludf.DUMMYFUNCTION("""COMPUTED_VALUE"""),16.11762047)</f>
        <v>16.11762047</v>
      </c>
      <c r="D440" s="31" t="str">
        <f>IFERROR(__xludf.DUMMYFUNCTION("""COMPUTED_VALUE"""),"Other")</f>
        <v>Other</v>
      </c>
      <c r="E440" s="31">
        <f>IFERROR(__xludf.DUMMYFUNCTION("""COMPUTED_VALUE"""),0.015446704)</f>
        <v>0.015446704</v>
      </c>
    </row>
    <row r="441">
      <c r="A441" s="31" t="str">
        <f>IFERROR(__xludf.DUMMYFUNCTION("""COMPUTED_VALUE"""),"VOTORANTIM CEMENTOS ESPAÑA, (TORAL DE LOS VADOS)")</f>
        <v>VOTORANTIM CEMENTOS ESPAÑA, (TORAL DE LOS VADOS)</v>
      </c>
      <c r="B441" s="31">
        <f>IFERROR(__xludf.DUMMYFUNCTION("""COMPUTED_VALUE"""),42.553611)</f>
        <v>42.553611</v>
      </c>
      <c r="C441" s="31">
        <f>IFERROR(__xludf.DUMMYFUNCTION("""COMPUTED_VALUE"""),-6.768889)</f>
        <v>-6.768889</v>
      </c>
      <c r="D441" s="31" t="str">
        <f>IFERROR(__xludf.DUMMYFUNCTION("""COMPUTED_VALUE"""),"Other")</f>
        <v>Other</v>
      </c>
      <c r="E441" s="31">
        <f>IFERROR(__xludf.DUMMYFUNCTION("""COMPUTED_VALUE"""),0.015295488)</f>
        <v>0.015295488</v>
      </c>
    </row>
    <row r="442">
      <c r="A442" s="31" t="str">
        <f>IFERROR(__xludf.DUMMYFUNCTION("""COMPUTED_VALUE"""),"TEREOS FRANCE")</f>
        <v>TEREOS FRANCE</v>
      </c>
      <c r="B442" s="31">
        <f>IFERROR(__xludf.DUMMYFUNCTION("""COMPUTED_VALUE"""),50.56043)</f>
        <v>50.56043</v>
      </c>
      <c r="C442" s="31">
        <f>IFERROR(__xludf.DUMMYFUNCTION("""COMPUTED_VALUE"""),2.49422)</f>
        <v>2.49422</v>
      </c>
      <c r="D442" s="31" t="str">
        <f>IFERROR(__xludf.DUMMYFUNCTION("""COMPUTED_VALUE"""),"Other")</f>
        <v>Other</v>
      </c>
      <c r="E442" s="31">
        <f>IFERROR(__xludf.DUMMYFUNCTION("""COMPUTED_VALUE"""),0.015253161)</f>
        <v>0.015253161</v>
      </c>
    </row>
    <row r="443">
      <c r="A443" s="31" t="str">
        <f>IFERROR(__xludf.DUMMYFUNCTION("""COMPUTED_VALUE"""),"CEMENTERIA DI PEDEROBBA")</f>
        <v>CEMENTERIA DI PEDEROBBA</v>
      </c>
      <c r="B443" s="31">
        <f>IFERROR(__xludf.DUMMYFUNCTION("""COMPUTED_VALUE"""),45.877777)</f>
        <v>45.877777</v>
      </c>
      <c r="C443" s="31">
        <f>IFERROR(__xludf.DUMMYFUNCTION("""COMPUTED_VALUE"""),11.966666)</f>
        <v>11.966666</v>
      </c>
      <c r="D443" s="31" t="str">
        <f>IFERROR(__xludf.DUMMYFUNCTION("""COMPUTED_VALUE"""),"Other")</f>
        <v>Other</v>
      </c>
      <c r="E443" s="31">
        <f>IFERROR(__xludf.DUMMYFUNCTION("""COMPUTED_VALUE"""),0.015207116)</f>
        <v>0.015207116</v>
      </c>
    </row>
    <row r="444">
      <c r="A444" s="31" t="str">
        <f>IFERROR(__xludf.DUMMYFUNCTION("""COMPUTED_VALUE"""),"TEREOS FRANCE")</f>
        <v>TEREOS FRANCE</v>
      </c>
      <c r="B444" s="31">
        <f>IFERROR(__xludf.DUMMYFUNCTION("""COMPUTED_VALUE"""),48.7222)</f>
        <v>48.7222</v>
      </c>
      <c r="C444" s="31">
        <f>IFERROR(__xludf.DUMMYFUNCTION("""COMPUTED_VALUE"""),3.92123)</f>
        <v>3.92123</v>
      </c>
      <c r="D444" s="31" t="str">
        <f>IFERROR(__xludf.DUMMYFUNCTION("""COMPUTED_VALUE"""),"Other")</f>
        <v>Other</v>
      </c>
      <c r="E444" s="31">
        <f>IFERROR(__xludf.DUMMYFUNCTION("""COMPUTED_VALUE"""),0.015121668)</f>
        <v>0.015121668</v>
      </c>
    </row>
    <row r="445">
      <c r="A445" s="31" t="str">
        <f>IFERROR(__xludf.DUMMYFUNCTION("""COMPUTED_VALUE"""),"S.A.T. NUFRI 1956")</f>
        <v>S.A.T. NUFRI 1956</v>
      </c>
      <c r="B445" s="31">
        <f>IFERROR(__xludf.DUMMYFUNCTION("""COMPUTED_VALUE"""),41.641266)</f>
        <v>41.641266</v>
      </c>
      <c r="C445" s="31">
        <f>IFERROR(__xludf.DUMMYFUNCTION("""COMPUTED_VALUE"""),0.889134)</f>
        <v>0.889134</v>
      </c>
      <c r="D445" s="31" t="str">
        <f>IFERROR(__xludf.DUMMYFUNCTION("""COMPUTED_VALUE"""),"Other")</f>
        <v>Other</v>
      </c>
      <c r="E445" s="31">
        <f>IFERROR(__xludf.DUMMYFUNCTION("""COMPUTED_VALUE"""),0.015121668)</f>
        <v>0.015121668</v>
      </c>
    </row>
    <row r="446">
      <c r="A446" s="31" t="str">
        <f>IFERROR(__xludf.DUMMYFUNCTION("""COMPUTED_VALUE"""),"LEMONA INDUSTRIAL, S.A. (LEMONA INDUSTRIAL, S.A)")</f>
        <v>LEMONA INDUSTRIAL, S.A. (LEMONA INDUSTRIAL, S.A)</v>
      </c>
      <c r="B446" s="31">
        <f>IFERROR(__xludf.DUMMYFUNCTION("""COMPUTED_VALUE"""),43.206875)</f>
        <v>43.206875</v>
      </c>
      <c r="C446" s="31">
        <f>IFERROR(__xludf.DUMMYFUNCTION("""COMPUTED_VALUE"""),-2.771422)</f>
        <v>-2.771422</v>
      </c>
      <c r="D446" s="31" t="str">
        <f>IFERROR(__xludf.DUMMYFUNCTION("""COMPUTED_VALUE"""),"Other")</f>
        <v>Other</v>
      </c>
      <c r="E446" s="31">
        <f>IFERROR(__xludf.DUMMYFUNCTION("""COMPUTED_VALUE"""),0.014910212)</f>
        <v>0.014910212</v>
      </c>
    </row>
    <row r="447">
      <c r="A447" s="31" t="str">
        <f>IFERROR(__xludf.DUMMYFUNCTION("""COMPUTED_VALUE"""),"Italcementi di Colleferro")</f>
        <v>Italcementi di Colleferro</v>
      </c>
      <c r="B447" s="31">
        <f>IFERROR(__xludf.DUMMYFUNCTION("""COMPUTED_VALUE"""),41.7367)</f>
        <v>41.7367</v>
      </c>
      <c r="C447" s="31">
        <f>IFERROR(__xludf.DUMMYFUNCTION("""COMPUTED_VALUE"""),13.0042)</f>
        <v>13.0042</v>
      </c>
      <c r="D447" s="31" t="str">
        <f>IFERROR(__xludf.DUMMYFUNCTION("""COMPUTED_VALUE"""),"Other")</f>
        <v>Other</v>
      </c>
      <c r="E447" s="31">
        <f>IFERROR(__xludf.DUMMYFUNCTION("""COMPUTED_VALUE"""),0.014901011)</f>
        <v>0.014901011</v>
      </c>
    </row>
    <row r="448">
      <c r="A448" s="31" t="str">
        <f>IFERROR(__xludf.DUMMYFUNCTION("""COMPUTED_VALUE"""),"AZUCARERA DE JEREZ - CENTRO DE GUADALETE")</f>
        <v>AZUCARERA DE JEREZ - CENTRO DE GUADALETE</v>
      </c>
      <c r="B448" s="31">
        <f>IFERROR(__xludf.DUMMYFUNCTION("""COMPUTED_VALUE"""),36.658576)</f>
        <v>36.658576</v>
      </c>
      <c r="C448" s="31">
        <f>IFERROR(__xludf.DUMMYFUNCTION("""COMPUTED_VALUE"""),-6.12817)</f>
        <v>-6.12817</v>
      </c>
      <c r="D448" s="31" t="str">
        <f>IFERROR(__xludf.DUMMYFUNCTION("""COMPUTED_VALUE"""),"Other")</f>
        <v>Other</v>
      </c>
      <c r="E448" s="31">
        <f>IFERROR(__xludf.DUMMYFUNCTION("""COMPUTED_VALUE"""),0.01472719)</f>
        <v>0.01472719</v>
      </c>
    </row>
    <row r="449">
      <c r="A449" s="31" t="str">
        <f>IFERROR(__xludf.DUMMYFUNCTION("""COMPUTED_VALUE"""),"YARA ITALIA SPA - STABILIMENTO DI FERRARA")</f>
        <v>YARA ITALIA SPA - STABILIMENTO DI FERRARA</v>
      </c>
      <c r="B449" s="31">
        <f>IFERROR(__xludf.DUMMYFUNCTION("""COMPUTED_VALUE"""),44.856)</f>
        <v>44.856</v>
      </c>
      <c r="C449" s="31">
        <f>IFERROR(__xludf.DUMMYFUNCTION("""COMPUTED_VALUE"""),11.5921)</f>
        <v>11.5921</v>
      </c>
      <c r="D449" s="31" t="str">
        <f>IFERROR(__xludf.DUMMYFUNCTION("""COMPUTED_VALUE"""),"Other")</f>
        <v>Other</v>
      </c>
      <c r="E449" s="31">
        <f>IFERROR(__xludf.DUMMYFUNCTION("""COMPUTED_VALUE"""),0.014720334)</f>
        <v>0.014720334</v>
      </c>
    </row>
    <row r="450">
      <c r="A450" s="31" t="str">
        <f>IFERROR(__xludf.DUMMYFUNCTION("""COMPUTED_VALUE"""),"Ragusa Cementi")</f>
        <v>Ragusa Cementi</v>
      </c>
      <c r="B450" s="31">
        <f>IFERROR(__xludf.DUMMYFUNCTION("""COMPUTED_VALUE"""),36.903056)</f>
        <v>36.903056</v>
      </c>
      <c r="C450" s="31">
        <f>IFERROR(__xludf.DUMMYFUNCTION("""COMPUTED_VALUE"""),14.725278)</f>
        <v>14.725278</v>
      </c>
      <c r="D450" s="31" t="str">
        <f>IFERROR(__xludf.DUMMYFUNCTION("""COMPUTED_VALUE"""),"Other")</f>
        <v>Other</v>
      </c>
      <c r="E450" s="31">
        <f>IFERROR(__xludf.DUMMYFUNCTION("""COMPUTED_VALUE"""),0.014666947)</f>
        <v>0.014666947</v>
      </c>
    </row>
    <row r="451">
      <c r="A451" s="31" t="str">
        <f>IFERROR(__xludf.DUMMYFUNCTION("""COMPUTED_VALUE"""),"CRISTAL UNION ÉTABLISSEMENT CRISTANOL")</f>
        <v>CRISTAL UNION ÉTABLISSEMENT CRISTANOL</v>
      </c>
      <c r="B451" s="31">
        <f>IFERROR(__xludf.DUMMYFUNCTION("""COMPUTED_VALUE"""),49.35026)</f>
        <v>49.35026</v>
      </c>
      <c r="C451" s="31">
        <f>IFERROR(__xludf.DUMMYFUNCTION("""COMPUTED_VALUE"""),4.16283)</f>
        <v>4.16283</v>
      </c>
      <c r="D451" s="31" t="str">
        <f>IFERROR(__xludf.DUMMYFUNCTION("""COMPUTED_VALUE"""),"Other")</f>
        <v>Other</v>
      </c>
      <c r="E451" s="31">
        <f>IFERROR(__xludf.DUMMYFUNCTION("""COMPUTED_VALUE"""),0.014595697)</f>
        <v>0.014595697</v>
      </c>
    </row>
    <row r="452">
      <c r="A452" s="31" t="str">
        <f>IFERROR(__xludf.DUMMYFUNCTION("""COMPUTED_VALUE"""),"FERROPEM")</f>
        <v>FERROPEM</v>
      </c>
      <c r="B452" s="31">
        <f>IFERROR(__xludf.DUMMYFUNCTION("""COMPUTED_VALUE"""),45.9061)</f>
        <v>45.9061</v>
      </c>
      <c r="C452" s="31">
        <f>IFERROR(__xludf.DUMMYFUNCTION("""COMPUTED_VALUE"""),5.81144)</f>
        <v>5.81144</v>
      </c>
      <c r="D452" s="31" t="str">
        <f>IFERROR(__xludf.DUMMYFUNCTION("""COMPUTED_VALUE"""),"Other")</f>
        <v>Other</v>
      </c>
      <c r="E452" s="31">
        <f>IFERROR(__xludf.DUMMYFUNCTION("""COMPUTED_VALUE"""),0.014573629)</f>
        <v>0.014573629</v>
      </c>
    </row>
    <row r="453">
      <c r="A453" s="31" t="str">
        <f>IFERROR(__xludf.DUMMYFUNCTION("""COMPUTED_VALUE"""),"Holcim (Suisse) SA")</f>
        <v>Holcim (Suisse) SA</v>
      </c>
      <c r="B453" s="31">
        <f>IFERROR(__xludf.DUMMYFUNCTION("""COMPUTED_VALUE"""),46.6557)</f>
        <v>46.6557</v>
      </c>
      <c r="C453" s="31">
        <f>IFERROR(__xludf.DUMMYFUNCTION("""COMPUTED_VALUE"""),6.5464)</f>
        <v>6.5464</v>
      </c>
      <c r="D453" s="31" t="str">
        <f>IFERROR(__xludf.DUMMYFUNCTION("""COMPUTED_VALUE"""),"Other")</f>
        <v>Other</v>
      </c>
      <c r="E453" s="31">
        <f>IFERROR(__xludf.DUMMYFUNCTION("""COMPUTED_VALUE"""),0.014524935)</f>
        <v>0.014524935</v>
      </c>
    </row>
    <row r="454">
      <c r="A454" s="31" t="str">
        <f>IFERROR(__xludf.DUMMYFUNCTION("""COMPUTED_VALUE"""),"Cementeria di Fanna")</f>
        <v>Cementeria di Fanna</v>
      </c>
      <c r="B454" s="31">
        <f>IFERROR(__xludf.DUMMYFUNCTION("""COMPUTED_VALUE"""),46.1778)</f>
        <v>46.1778</v>
      </c>
      <c r="C454" s="31">
        <f>IFERROR(__xludf.DUMMYFUNCTION("""COMPUTED_VALUE"""),12.7394)</f>
        <v>12.7394</v>
      </c>
      <c r="D454" s="31" t="str">
        <f>IFERROR(__xludf.DUMMYFUNCTION("""COMPUTED_VALUE"""),"Other")</f>
        <v>Other</v>
      </c>
      <c r="E454" s="31">
        <f>IFERROR(__xludf.DUMMYFUNCTION("""COMPUTED_VALUE"""),0.014345632)</f>
        <v>0.014345632</v>
      </c>
    </row>
    <row r="455">
      <c r="A455" s="31" t="str">
        <f>IFERROR(__xludf.DUMMYFUNCTION("""COMPUTED_VALUE"""),"LUSICAL, Companhia Lusitana de Cal  SA (CI)")</f>
        <v>LUSICAL, Companhia Lusitana de Cal  SA (CI)</v>
      </c>
      <c r="B455" s="31">
        <f>IFERROR(__xludf.DUMMYFUNCTION("""COMPUTED_VALUE"""),39.44757)</f>
        <v>39.44757</v>
      </c>
      <c r="C455" s="31">
        <f>IFERROR(__xludf.DUMMYFUNCTION("""COMPUTED_VALUE"""),-8.84746)</f>
        <v>-8.84746</v>
      </c>
      <c r="D455" s="31" t="str">
        <f>IFERROR(__xludf.DUMMYFUNCTION("""COMPUTED_VALUE"""),"Other")</f>
        <v>Other</v>
      </c>
      <c r="E455" s="31">
        <f>IFERROR(__xludf.DUMMYFUNCTION("""COMPUTED_VALUE"""),0.014222981)</f>
        <v>0.014222981</v>
      </c>
    </row>
    <row r="456">
      <c r="A456" s="31" t="str">
        <f>IFERROR(__xludf.DUMMYFUNCTION("""COMPUTED_VALUE"""),"LAFARGE CIMENTS")</f>
        <v>LAFARGE CIMENTS</v>
      </c>
      <c r="B456" s="31">
        <f>IFERROR(__xludf.DUMMYFUNCTION("""COMPUTED_VALUE"""),43.42341)</f>
        <v>43.42341</v>
      </c>
      <c r="C456" s="31">
        <f>IFERROR(__xludf.DUMMYFUNCTION("""COMPUTED_VALUE"""),5.39075)</f>
        <v>5.39075</v>
      </c>
      <c r="D456" s="31" t="str">
        <f>IFERROR(__xludf.DUMMYFUNCTION("""COMPUTED_VALUE"""),"Other")</f>
        <v>Other</v>
      </c>
      <c r="E456" s="31">
        <f>IFERROR(__xludf.DUMMYFUNCTION("""COMPUTED_VALUE"""),0.014178186)</f>
        <v>0.014178186</v>
      </c>
    </row>
    <row r="457">
      <c r="A457" s="31" t="str">
        <f>IFERROR(__xludf.DUMMYFUNCTION("""COMPUTED_VALUE"""),"CRH (Slovensko) a.s. Cementáreň Turňa nad Bodvou")</f>
        <v>CRH (Slovensko) a.s. Cementáreň Turňa nad Bodvou</v>
      </c>
      <c r="B457" s="31">
        <f>IFERROR(__xludf.DUMMYFUNCTION("""COMPUTED_VALUE"""),48.592156)</f>
        <v>48.592156</v>
      </c>
      <c r="C457" s="31">
        <f>IFERROR(__xludf.DUMMYFUNCTION("""COMPUTED_VALUE"""),20.842372)</f>
        <v>20.842372</v>
      </c>
      <c r="D457" s="31" t="str">
        <f>IFERROR(__xludf.DUMMYFUNCTION("""COMPUTED_VALUE"""),"Other")</f>
        <v>Other</v>
      </c>
      <c r="E457" s="31">
        <f>IFERROR(__xludf.DUMMYFUNCTION("""COMPUTED_VALUE"""),0.014178186)</f>
        <v>0.014178186</v>
      </c>
    </row>
    <row r="458">
      <c r="A458" s="31" t="str">
        <f>IFERROR(__xludf.DUMMYFUNCTION("""COMPUTED_VALUE"""),"Lhoist Bukowa Sp.zo.o.")</f>
        <v>Lhoist Bukowa Sp.zo.o.</v>
      </c>
      <c r="B458" s="31">
        <f>IFERROR(__xludf.DUMMYFUNCTION("""COMPUTED_VALUE"""),50.85796738)</f>
        <v>50.85796738</v>
      </c>
      <c r="C458" s="31">
        <f>IFERROR(__xludf.DUMMYFUNCTION("""COMPUTED_VALUE"""),20.2093277)</f>
        <v>20.2093277</v>
      </c>
      <c r="D458" s="31" t="str">
        <f>IFERROR(__xludf.DUMMYFUNCTION("""COMPUTED_VALUE"""),"Other")</f>
        <v>Other</v>
      </c>
      <c r="E458" s="31">
        <f>IFERROR(__xludf.DUMMYFUNCTION("""COMPUTED_VALUE"""),0.014162251)</f>
        <v>0.014162251</v>
      </c>
    </row>
    <row r="459">
      <c r="A459" s="31" t="str">
        <f>IFERROR(__xludf.DUMMYFUNCTION("""COMPUTED_VALUE"""),"Bunge Zrt.")</f>
        <v>Bunge Zrt.</v>
      </c>
      <c r="B459" s="31">
        <f>IFERROR(__xludf.DUMMYFUNCTION("""COMPUTED_VALUE"""),47.040111)</f>
        <v>47.040111</v>
      </c>
      <c r="C459" s="31">
        <f>IFERROR(__xludf.DUMMYFUNCTION("""COMPUTED_VALUE"""),20.29166)</f>
        <v>20.29166</v>
      </c>
      <c r="D459" s="31" t="str">
        <f>IFERROR(__xludf.DUMMYFUNCTION("""COMPUTED_VALUE"""),"Other")</f>
        <v>Other</v>
      </c>
      <c r="E459" s="31">
        <f>IFERROR(__xludf.DUMMYFUNCTION("""COMPUTED_VALUE"""),0.014106857)</f>
        <v>0.014106857</v>
      </c>
    </row>
    <row r="460">
      <c r="A460" s="31" t="str">
        <f>IFERROR(__xludf.DUMMYFUNCTION("""COMPUTED_VALUE"""),"FABRICA DE MATAPORQUERA (CEMENTOS ALFA)")</f>
        <v>FABRICA DE MATAPORQUERA (CEMENTOS ALFA)</v>
      </c>
      <c r="B460" s="31">
        <f>IFERROR(__xludf.DUMMYFUNCTION("""COMPUTED_VALUE"""),42.874835)</f>
        <v>42.874835</v>
      </c>
      <c r="C460" s="31">
        <f>IFERROR(__xludf.DUMMYFUNCTION("""COMPUTED_VALUE"""),-4.162595)</f>
        <v>-4.162595</v>
      </c>
      <c r="D460" s="31" t="str">
        <f>IFERROR(__xludf.DUMMYFUNCTION("""COMPUTED_VALUE"""),"Other")</f>
        <v>Other</v>
      </c>
      <c r="E460" s="31">
        <f>IFERROR(__xludf.DUMMYFUNCTION("""COMPUTED_VALUE"""),0.01410113)</f>
        <v>0.01410113</v>
      </c>
    </row>
    <row r="461">
      <c r="A461" s="31" t="str">
        <f>IFERROR(__xludf.DUMMYFUNCTION("""COMPUTED_VALUE"""),"Papierfabrik A. Jass GmbH &amp; Co.KG")</f>
        <v>Papierfabrik A. Jass GmbH &amp; Co.KG</v>
      </c>
      <c r="B461" s="31">
        <f>IFERROR(__xludf.DUMMYFUNCTION("""COMPUTED_VALUE"""),50.5675105604299)</f>
        <v>50.56751056</v>
      </c>
      <c r="C461" s="31">
        <f>IFERROR(__xludf.DUMMYFUNCTION("""COMPUTED_VALUE"""),9.68161925929006)</f>
        <v>9.681619259</v>
      </c>
      <c r="D461" s="31" t="str">
        <f>IFERROR(__xludf.DUMMYFUNCTION("""COMPUTED_VALUE"""),"Paper, pulp and primary wood products")</f>
        <v>Paper, pulp and primary wood products</v>
      </c>
      <c r="E461" s="31">
        <f>IFERROR(__xludf.DUMMYFUNCTION("""COMPUTED_VALUE"""),0.014)</f>
        <v>0.014</v>
      </c>
    </row>
    <row r="462">
      <c r="A462" s="31" t="str">
        <f>IFERROR(__xludf.DUMMYFUNCTION("""COMPUTED_VALUE"""),"Vigier Cement AG")</f>
        <v>Vigier Cement AG</v>
      </c>
      <c r="B462" s="31">
        <f>IFERROR(__xludf.DUMMYFUNCTION("""COMPUTED_VALUE"""),47.1848)</f>
        <v>47.1848</v>
      </c>
      <c r="C462" s="31">
        <f>IFERROR(__xludf.DUMMYFUNCTION("""COMPUTED_VALUE"""),7.2493)</f>
        <v>7.2493</v>
      </c>
      <c r="D462" s="31" t="str">
        <f>IFERROR(__xludf.DUMMYFUNCTION("""COMPUTED_VALUE"""),"Other")</f>
        <v>Other</v>
      </c>
      <c r="E462" s="31">
        <f>IFERROR(__xludf.DUMMYFUNCTION("""COMPUTED_VALUE"""),0.013869964)</f>
        <v>0.013869964</v>
      </c>
    </row>
    <row r="463">
      <c r="A463" s="31" t="str">
        <f>IFERROR(__xludf.DUMMYFUNCTION("""COMPUTED_VALUE"""),"CIMSA CEMENTOS ESPAÑA, SAU")</f>
        <v>CIMSA CEMENTOS ESPAÑA, SAU</v>
      </c>
      <c r="B463" s="31">
        <f>IFERROR(__xludf.DUMMYFUNCTION("""COMPUTED_VALUE"""),39.437751)</f>
        <v>39.437751</v>
      </c>
      <c r="C463" s="31">
        <f>IFERROR(__xludf.DUMMYFUNCTION("""COMPUTED_VALUE"""),-0.776613)</f>
        <v>-0.776613</v>
      </c>
      <c r="D463" s="31" t="str">
        <f>IFERROR(__xludf.DUMMYFUNCTION("""COMPUTED_VALUE"""),"Other")</f>
        <v>Other</v>
      </c>
      <c r="E463" s="31">
        <f>IFERROR(__xludf.DUMMYFUNCTION("""COMPUTED_VALUE"""),0.013831437)</f>
        <v>0.013831437</v>
      </c>
    </row>
    <row r="464">
      <c r="A464" s="31" t="str">
        <f>IFERROR(__xludf.DUMMYFUNCTION("""COMPUTED_VALUE"""),"FERROGLOBE MANGANÈSE FRANCE SAS")</f>
        <v>FERROGLOBE MANGANÈSE FRANCE SAS</v>
      </c>
      <c r="B464" s="31">
        <f>IFERROR(__xludf.DUMMYFUNCTION("""COMPUTED_VALUE"""),51.0382)</f>
        <v>51.0382</v>
      </c>
      <c r="C464" s="31">
        <f>IFERROR(__xludf.DUMMYFUNCTION("""COMPUTED_VALUE"""),2.27132)</f>
        <v>2.27132</v>
      </c>
      <c r="D464" s="31" t="str">
        <f>IFERROR(__xludf.DUMMYFUNCTION("""COMPUTED_VALUE"""),"Other")</f>
        <v>Other</v>
      </c>
      <c r="E464" s="31">
        <f>IFERROR(__xludf.DUMMYFUNCTION("""COMPUTED_VALUE"""),0.013767714)</f>
        <v>0.013767714</v>
      </c>
    </row>
    <row r="465">
      <c r="A465" s="31" t="str">
        <f>IFERROR(__xludf.DUMMYFUNCTION("""COMPUTED_VALUE"""),"COLACEM S.P.A. - CEMENTERIA DI GHIGIANO")</f>
        <v>COLACEM S.P.A. - CEMENTERIA DI GHIGIANO</v>
      </c>
      <c r="B465" s="31">
        <f>IFERROR(__xludf.DUMMYFUNCTION("""COMPUTED_VALUE"""),43.2844)</f>
        <v>43.2844</v>
      </c>
      <c r="C465" s="31">
        <f>IFERROR(__xludf.DUMMYFUNCTION("""COMPUTED_VALUE"""),12.6178)</f>
        <v>12.6178</v>
      </c>
      <c r="D465" s="31" t="str">
        <f>IFERROR(__xludf.DUMMYFUNCTION("""COMPUTED_VALUE"""),"Other")</f>
        <v>Other</v>
      </c>
      <c r="E465" s="31">
        <f>IFERROR(__xludf.DUMMYFUNCTION("""COMPUTED_VALUE"""),0.013747083)</f>
        <v>0.013747083</v>
      </c>
    </row>
    <row r="466">
      <c r="A466" s="31" t="str">
        <f>IFERROR(__xludf.DUMMYFUNCTION("""COMPUTED_VALUE"""),"SMZ, a.s. Jelšava - Výroba magnezitového slinku v rotačných šachtových peciach")</f>
        <v>SMZ, a.s. Jelšava - Výroba magnezitového slinku v rotačných šachtových peciach</v>
      </c>
      <c r="B466" s="31">
        <f>IFERROR(__xludf.DUMMYFUNCTION("""COMPUTED_VALUE"""),48.647483)</f>
        <v>48.647483</v>
      </c>
      <c r="C466" s="31">
        <f>IFERROR(__xludf.DUMMYFUNCTION("""COMPUTED_VALUE"""),20.223414)</f>
        <v>20.223414</v>
      </c>
      <c r="D466" s="31" t="str">
        <f>IFERROR(__xludf.DUMMYFUNCTION("""COMPUTED_VALUE"""),"Other")</f>
        <v>Other</v>
      </c>
      <c r="E466" s="31">
        <f>IFERROR(__xludf.DUMMYFUNCTION("""COMPUTED_VALUE"""),0.013369104)</f>
        <v>0.013369104</v>
      </c>
    </row>
    <row r="467">
      <c r="A467" s="31" t="str">
        <f>IFERROR(__xludf.DUMMYFUNCTION("""COMPUTED_VALUE"""),"UMICORE - HOBOKEN")</f>
        <v>UMICORE - HOBOKEN</v>
      </c>
      <c r="B467" s="31">
        <f>IFERROR(__xludf.DUMMYFUNCTION("""COMPUTED_VALUE"""),51.16771)</f>
        <v>51.16771</v>
      </c>
      <c r="C467" s="31">
        <f>IFERROR(__xludf.DUMMYFUNCTION("""COMPUTED_VALUE"""),4.33484)</f>
        <v>4.33484</v>
      </c>
      <c r="D467" s="31" t="str">
        <f>IFERROR(__xludf.DUMMYFUNCTION("""COMPUTED_VALUE"""),"Other")</f>
        <v>Other</v>
      </c>
      <c r="E467" s="31">
        <f>IFERROR(__xludf.DUMMYFUNCTION("""COMPUTED_VALUE"""),0.013096118)</f>
        <v>0.013096118</v>
      </c>
    </row>
    <row r="468">
      <c r="A468" s="31" t="str">
        <f>IFERROR(__xludf.DUMMYFUNCTION("""COMPUTED_VALUE"""),"FERROPEM GROUPE FERROATLANTICA")</f>
        <v>FERROPEM GROUPE FERROATLANTICA</v>
      </c>
      <c r="B468" s="31">
        <f>IFERROR(__xludf.DUMMYFUNCTION("""COMPUTED_VALUE"""),45.2343)</f>
        <v>45.2343</v>
      </c>
      <c r="C468" s="31">
        <f>IFERROR(__xludf.DUMMYFUNCTION("""COMPUTED_VALUE"""),6.41779)</f>
        <v>6.41779</v>
      </c>
      <c r="D468" s="31" t="str">
        <f>IFERROR(__xludf.DUMMYFUNCTION("""COMPUTED_VALUE"""),"Other")</f>
        <v>Other</v>
      </c>
      <c r="E468" s="31">
        <f>IFERROR(__xludf.DUMMYFUNCTION("""COMPUTED_VALUE"""),0.013028959)</f>
        <v>0.013028959</v>
      </c>
    </row>
    <row r="469">
      <c r="A469" s="31" t="str">
        <f>IFERROR(__xludf.DUMMYFUNCTION("""COMPUTED_VALUE"""),"Norcem Kjøpsvik")</f>
        <v>Norcem Kjøpsvik</v>
      </c>
      <c r="B469" s="31">
        <f>IFERROR(__xludf.DUMMYFUNCTION("""COMPUTED_VALUE"""),68.09417)</f>
        <v>68.09417</v>
      </c>
      <c r="C469" s="31">
        <f>IFERROR(__xludf.DUMMYFUNCTION("""COMPUTED_VALUE"""),16.3739433)</f>
        <v>16.3739433</v>
      </c>
      <c r="D469" s="31" t="str">
        <f>IFERROR(__xludf.DUMMYFUNCTION("""COMPUTED_VALUE"""),"Other")</f>
        <v>Other</v>
      </c>
      <c r="E469" s="31">
        <f>IFERROR(__xludf.DUMMYFUNCTION("""COMPUTED_VALUE"""),0.013)</f>
        <v>0.013</v>
      </c>
    </row>
    <row r="470">
      <c r="A470" s="31" t="str">
        <f>IFERROR(__xludf.DUMMYFUNCTION("""COMPUTED_VALUE"""),"Italcementi di Isola delle Femmine")</f>
        <v>Italcementi di Isola delle Femmine</v>
      </c>
      <c r="B470" s="31">
        <f>IFERROR(__xludf.DUMMYFUNCTION("""COMPUTED_VALUE"""),38.190833)</f>
        <v>38.190833</v>
      </c>
      <c r="C470" s="31">
        <f>IFERROR(__xludf.DUMMYFUNCTION("""COMPUTED_VALUE"""),13.2503)</f>
        <v>13.2503</v>
      </c>
      <c r="D470" s="31" t="str">
        <f>IFERROR(__xludf.DUMMYFUNCTION("""COMPUTED_VALUE"""),"Other")</f>
        <v>Other</v>
      </c>
      <c r="E470" s="31">
        <f>IFERROR(__xludf.DUMMYFUNCTION("""COMPUTED_VALUE"""),0.012895754)</f>
        <v>0.012895754</v>
      </c>
    </row>
    <row r="471">
      <c r="A471" s="31" t="str">
        <f>IFERROR(__xludf.DUMMYFUNCTION("""COMPUTED_VALUE"""),"Proizvodnja cementa Koromačno")</f>
        <v>Proizvodnja cementa Koromačno</v>
      </c>
      <c r="B471" s="31">
        <f>IFERROR(__xludf.DUMMYFUNCTION("""COMPUTED_VALUE"""),44.96732)</f>
        <v>44.96732</v>
      </c>
      <c r="C471" s="31">
        <f>IFERROR(__xludf.DUMMYFUNCTION("""COMPUTED_VALUE"""),14.12122)</f>
        <v>14.12122</v>
      </c>
      <c r="D471" s="31" t="str">
        <f>IFERROR(__xludf.DUMMYFUNCTION("""COMPUTED_VALUE"""),"Other")</f>
        <v>Other</v>
      </c>
      <c r="E471" s="31">
        <f>IFERROR(__xludf.DUMMYFUNCTION("""COMPUTED_VALUE"""),0.012791189)</f>
        <v>0.012791189</v>
      </c>
    </row>
    <row r="472">
      <c r="A472" s="31" t="str">
        <f>IFERROR(__xludf.DUMMYFUNCTION("""COMPUTED_VALUE"""),"CIMENTS CALCIA-EPC FRANCE")</f>
        <v>CIMENTS CALCIA-EPC FRANCE</v>
      </c>
      <c r="B472" s="31">
        <f>IFERROR(__xludf.DUMMYFUNCTION("""COMPUTED_VALUE"""),47.0902)</f>
        <v>47.0902</v>
      </c>
      <c r="C472" s="31">
        <f>IFERROR(__xludf.DUMMYFUNCTION("""COMPUTED_VALUE"""),3.00292)</f>
        <v>3.00292</v>
      </c>
      <c r="D472" s="31" t="str">
        <f>IFERROR(__xludf.DUMMYFUNCTION("""COMPUTED_VALUE"""),"Other")</f>
        <v>Other</v>
      </c>
      <c r="E472" s="31">
        <f>IFERROR(__xludf.DUMMYFUNCTION("""COMPUTED_VALUE"""),0.012791189)</f>
        <v>0.012791189</v>
      </c>
    </row>
    <row r="473">
      <c r="A473" s="31" t="str">
        <f>IFERROR(__xludf.DUMMYFUNCTION("""COMPUTED_VALUE"""),"CEMENTERIA DI BARLETTA")</f>
        <v>CEMENTERIA DI BARLETTA</v>
      </c>
      <c r="B473" s="31">
        <f>IFERROR(__xludf.DUMMYFUNCTION("""COMPUTED_VALUE"""),41.3167)</f>
        <v>41.3167</v>
      </c>
      <c r="C473" s="31">
        <f>IFERROR(__xludf.DUMMYFUNCTION("""COMPUTED_VALUE"""),16.2892)</f>
        <v>16.2892</v>
      </c>
      <c r="D473" s="31" t="str">
        <f>IFERROR(__xludf.DUMMYFUNCTION("""COMPUTED_VALUE"""),"Other")</f>
        <v>Other</v>
      </c>
      <c r="E473" s="31">
        <f>IFERROR(__xludf.DUMMYFUNCTION("""COMPUTED_VALUE"""),0.012545933)</f>
        <v>0.012545933</v>
      </c>
    </row>
    <row r="474">
      <c r="A474" s="31" t="str">
        <f>IFERROR(__xludf.DUMMYFUNCTION("""COMPUTED_VALUE"""),"COLACEM S.P.A. - CEMENTERIA DI GALATINA")</f>
        <v>COLACEM S.P.A. - CEMENTERIA DI GALATINA</v>
      </c>
      <c r="B474" s="31">
        <f>IFERROR(__xludf.DUMMYFUNCTION("""COMPUTED_VALUE"""),40.1678)</f>
        <v>40.1678</v>
      </c>
      <c r="C474" s="31">
        <f>IFERROR(__xludf.DUMMYFUNCTION("""COMPUTED_VALUE"""),18.1997)</f>
        <v>18.1997</v>
      </c>
      <c r="D474" s="31" t="str">
        <f>IFERROR(__xludf.DUMMYFUNCTION("""COMPUTED_VALUE"""),"Other")</f>
        <v>Other</v>
      </c>
      <c r="E474" s="31">
        <f>IFERROR(__xludf.DUMMYFUNCTION("""COMPUTED_VALUE"""),0.012215648)</f>
        <v>0.012215648</v>
      </c>
    </row>
    <row r="475">
      <c r="A475" s="31" t="str">
        <f>IFERROR(__xludf.DUMMYFUNCTION("""COMPUTED_VALUE"""),"FÁBRICA DE NIEBLA (SOCIEDAD DE CEMENTOS Y MATERIALES DE CONSTRUCCIÓN DE ANDALUCÍA, S.A.)")</f>
        <v>FÁBRICA DE NIEBLA (SOCIEDAD DE CEMENTOS Y MATERIALES DE CONSTRUCCIÓN DE ANDALUCÍA, S.A.)</v>
      </c>
      <c r="B475" s="31">
        <f>IFERROR(__xludf.DUMMYFUNCTION("""COMPUTED_VALUE"""),37.363554)</f>
        <v>37.363554</v>
      </c>
      <c r="C475" s="31">
        <f>IFERROR(__xludf.DUMMYFUNCTION("""COMPUTED_VALUE"""),-6.670802)</f>
        <v>-6.670802</v>
      </c>
      <c r="D475" s="31" t="str">
        <f>IFERROR(__xludf.DUMMYFUNCTION("""COMPUTED_VALUE"""),"Other")</f>
        <v>Other</v>
      </c>
      <c r="E475" s="31">
        <f>IFERROR(__xludf.DUMMYFUNCTION("""COMPUTED_VALUE"""),0.012213274)</f>
        <v>0.012213274</v>
      </c>
    </row>
    <row r="476">
      <c r="A476" s="31" t="str">
        <f>IFERROR(__xludf.DUMMYFUNCTION("""COMPUTED_VALUE"""),"CEMENTOS PORTLAND VALDERRIVAS, S.A.-FABRICA CEMENTO")</f>
        <v>CEMENTOS PORTLAND VALDERRIVAS, S.A.-FABRICA CEMENTO</v>
      </c>
      <c r="B476" s="31">
        <f>IFERROR(__xludf.DUMMYFUNCTION("""COMPUTED_VALUE"""),42.882946)</f>
        <v>42.882946</v>
      </c>
      <c r="C476" s="31">
        <f>IFERROR(__xludf.DUMMYFUNCTION("""COMPUTED_VALUE"""),-2.189981)</f>
        <v>-2.189981</v>
      </c>
      <c r="D476" s="31" t="str">
        <f>IFERROR(__xludf.DUMMYFUNCTION("""COMPUTED_VALUE"""),"Other")</f>
        <v>Other</v>
      </c>
      <c r="E476" s="31">
        <f>IFERROR(__xludf.DUMMYFUNCTION("""COMPUTED_VALUE"""),0.012213274)</f>
        <v>0.012213274</v>
      </c>
    </row>
    <row r="477">
      <c r="A477" s="31" t="str">
        <f>IFERROR(__xludf.DUMMYFUNCTION("""COMPUTED_VALUE"""),"Padeswood Cement Works")</f>
        <v>Padeswood Cement Works</v>
      </c>
      <c r="B477" s="31">
        <f>IFERROR(__xludf.DUMMYFUNCTION("""COMPUTED_VALUE"""),53.15499)</f>
        <v>53.15499</v>
      </c>
      <c r="C477" s="31">
        <f>IFERROR(__xludf.DUMMYFUNCTION("""COMPUTED_VALUE"""),-3.06202)</f>
        <v>-3.06202</v>
      </c>
      <c r="D477" s="31" t="str">
        <f>IFERROR(__xludf.DUMMYFUNCTION("""COMPUTED_VALUE"""),"Other")</f>
        <v>Other</v>
      </c>
      <c r="E477" s="31">
        <f>IFERROR(__xludf.DUMMYFUNCTION("""COMPUTED_VALUE"""),0.012)</f>
        <v>0.012</v>
      </c>
    </row>
    <row r="478">
      <c r="A478" s="31" t="str">
        <f>IFERROR(__xludf.DUMMYFUNCTION("""COMPUTED_VALUE"""),"LAFARGE CIMENTS")</f>
        <v>LAFARGE CIMENTS</v>
      </c>
      <c r="B478" s="31">
        <f>IFERROR(__xludf.DUMMYFUNCTION("""COMPUTED_VALUE"""),45.855)</f>
        <v>45.855</v>
      </c>
      <c r="C478" s="31">
        <f>IFERROR(__xludf.DUMMYFUNCTION("""COMPUTED_VALUE"""),4.68449)</f>
        <v>4.68449</v>
      </c>
      <c r="D478" s="31" t="str">
        <f>IFERROR(__xludf.DUMMYFUNCTION("""COMPUTED_VALUE"""),"Other")</f>
        <v>Other</v>
      </c>
      <c r="E478" s="31">
        <f>IFERROR(__xludf.DUMMYFUNCTION("""COMPUTED_VALUE"""),0.011866525)</f>
        <v>0.011866525</v>
      </c>
    </row>
    <row r="479">
      <c r="A479" s="31" t="str">
        <f>IFERROR(__xludf.DUMMYFUNCTION("""COMPUTED_VALUE"""),"Cementeria Costantinopoli srl")</f>
        <v>Cementeria Costantinopoli srl</v>
      </c>
      <c r="B479" s="31">
        <f>IFERROR(__xludf.DUMMYFUNCTION("""COMPUTED_VALUE"""),40.9497)</f>
        <v>40.9497</v>
      </c>
      <c r="C479" s="31">
        <f>IFERROR(__xludf.DUMMYFUNCTION("""COMPUTED_VALUE"""),15.6736)</f>
        <v>15.6736</v>
      </c>
      <c r="D479" s="31" t="str">
        <f>IFERROR(__xludf.DUMMYFUNCTION("""COMPUTED_VALUE"""),"Other")</f>
        <v>Other</v>
      </c>
      <c r="E479" s="31">
        <f>IFERROR(__xludf.DUMMYFUNCTION("""COMPUTED_VALUE"""),0.01172771)</f>
        <v>0.01172771</v>
      </c>
    </row>
    <row r="480">
      <c r="A480" s="31" t="str">
        <f>IFERROR(__xludf.DUMMYFUNCTION("""COMPUTED_VALUE"""),"VICAT SA")</f>
        <v>VICAT SA</v>
      </c>
      <c r="B480" s="31">
        <f>IFERROR(__xludf.DUMMYFUNCTION("""COMPUTED_VALUE"""),46.25535)</f>
        <v>46.25535</v>
      </c>
      <c r="C480" s="31">
        <f>IFERROR(__xludf.DUMMYFUNCTION("""COMPUTED_VALUE"""),3.42766)</f>
        <v>3.42766</v>
      </c>
      <c r="D480" s="31" t="str">
        <f>IFERROR(__xludf.DUMMYFUNCTION("""COMPUTED_VALUE"""),"Other")</f>
        <v>Other</v>
      </c>
      <c r="E480" s="31">
        <f>IFERROR(__xludf.DUMMYFUNCTION("""COMPUTED_VALUE"""),0.011558304)</f>
        <v>0.011558304</v>
      </c>
    </row>
    <row r="481">
      <c r="A481" s="31" t="str">
        <f>IFERROR(__xludf.DUMMYFUNCTION("""COMPUTED_VALUE"""),"FERROPEM")</f>
        <v>FERROPEM</v>
      </c>
      <c r="B481" s="31">
        <f>IFERROR(__xludf.DUMMYFUNCTION("""COMPUTED_VALUE"""),45.0727)</f>
        <v>45.0727</v>
      </c>
      <c r="C481" s="31">
        <f>IFERROR(__xludf.DUMMYFUNCTION("""COMPUTED_VALUE"""),5.87595)</f>
        <v>5.87595</v>
      </c>
      <c r="D481" s="31" t="str">
        <f>IFERROR(__xludf.DUMMYFUNCTION("""COMPUTED_VALUE"""),"Other")</f>
        <v>Other</v>
      </c>
      <c r="E481" s="31">
        <f>IFERROR(__xludf.DUMMYFUNCTION("""COMPUTED_VALUE"""),0.011484288)</f>
        <v>0.011484288</v>
      </c>
    </row>
    <row r="482">
      <c r="A482" s="31" t="str">
        <f>IFERROR(__xludf.DUMMYFUNCTION("""COMPUTED_VALUE"""),"CABOT ITALIANA S.P.A.")</f>
        <v>CABOT ITALIANA S.P.A.</v>
      </c>
      <c r="B482" s="31">
        <f>IFERROR(__xludf.DUMMYFUNCTION("""COMPUTED_VALUE"""),44.45)</f>
        <v>44.45</v>
      </c>
      <c r="C482" s="31">
        <f>IFERROR(__xludf.DUMMYFUNCTION("""COMPUTED_VALUE"""),12.25)</f>
        <v>12.25</v>
      </c>
      <c r="D482" s="31" t="str">
        <f>IFERROR(__xludf.DUMMYFUNCTION("""COMPUTED_VALUE"""),"Other")</f>
        <v>Other</v>
      </c>
      <c r="E482" s="31">
        <f>IFERROR(__xludf.DUMMYFUNCTION("""COMPUTED_VALUE"""),0.01137823)</f>
        <v>0.01137823</v>
      </c>
    </row>
    <row r="483">
      <c r="A483" s="31" t="str">
        <f>IFERROR(__xludf.DUMMYFUNCTION("""COMPUTED_VALUE"""),"Cemmac a.s. - Výroba cementu")</f>
        <v>Cemmac a.s. - Výroba cementu</v>
      </c>
      <c r="B483" s="31">
        <f>IFERROR(__xludf.DUMMYFUNCTION("""COMPUTED_VALUE"""),48.997314)</f>
        <v>48.997314</v>
      </c>
      <c r="C483" s="31">
        <f>IFERROR(__xludf.DUMMYFUNCTION("""COMPUTED_VALUE"""),18.103758)</f>
        <v>18.103758</v>
      </c>
      <c r="D483" s="31" t="str">
        <f>IFERROR(__xludf.DUMMYFUNCTION("""COMPUTED_VALUE"""),"Other")</f>
        <v>Other</v>
      </c>
      <c r="E483" s="31">
        <f>IFERROR(__xludf.DUMMYFUNCTION("""COMPUTED_VALUE"""),0.011211554)</f>
        <v>0.011211554</v>
      </c>
    </row>
    <row r="484">
      <c r="A484" s="31" t="str">
        <f>IFERROR(__xludf.DUMMYFUNCTION("""COMPUTED_VALUE"""),"Zakłady Górniczo-Hutnicze ""Bolesław"" S.A.")</f>
        <v>Zakłady Górniczo-Hutnicze "Bolesław" S.A.</v>
      </c>
      <c r="B484" s="31">
        <f>IFERROR(__xludf.DUMMYFUNCTION("""COMPUTED_VALUE"""),50.27668762)</f>
        <v>50.27668762</v>
      </c>
      <c r="C484" s="31">
        <f>IFERROR(__xludf.DUMMYFUNCTION("""COMPUTED_VALUE"""),19.47548866)</f>
        <v>19.47548866</v>
      </c>
      <c r="D484" s="31" t="str">
        <f>IFERROR(__xludf.DUMMYFUNCTION("""COMPUTED_VALUE"""),"Other")</f>
        <v>Other</v>
      </c>
      <c r="E484" s="31">
        <f>IFERROR(__xludf.DUMMYFUNCTION("""COMPUTED_VALUE"""),0.011081331)</f>
        <v>0.011081331</v>
      </c>
    </row>
    <row r="485">
      <c r="A485" s="31" t="str">
        <f>IFERROR(__xludf.DUMMYFUNCTION("""COMPUTED_VALUE"""),"CIMENTS CALCIA")</f>
        <v>CIMENTS CALCIA</v>
      </c>
      <c r="B485" s="31">
        <f>IFERROR(__xludf.DUMMYFUNCTION("""COMPUTED_VALUE"""),49.22192)</f>
        <v>49.22192</v>
      </c>
      <c r="C485" s="31">
        <f>IFERROR(__xludf.DUMMYFUNCTION("""COMPUTED_VALUE"""),-0.27352)</f>
        <v>-0.27352</v>
      </c>
      <c r="D485" s="31" t="str">
        <f>IFERROR(__xludf.DUMMYFUNCTION("""COMPUTED_VALUE"""),"Other")</f>
        <v>Other</v>
      </c>
      <c r="E485" s="31">
        <f>IFERROR(__xludf.DUMMYFUNCTION("""COMPUTED_VALUE"""),0.011057444)</f>
        <v>0.011057444</v>
      </c>
    </row>
    <row r="486">
      <c r="A486" s="31" t="str">
        <f>IFERROR(__xludf.DUMMYFUNCTION("""COMPUTED_VALUE"""),"Stabilimento di Tavernola Bergamasca")</f>
        <v>Stabilimento di Tavernola Bergamasca</v>
      </c>
      <c r="B486" s="31">
        <f>IFERROR(__xludf.DUMMYFUNCTION("""COMPUTED_VALUE"""),45.7167)</f>
        <v>45.7167</v>
      </c>
      <c r="C486" s="31">
        <f>IFERROR(__xludf.DUMMYFUNCTION("""COMPUTED_VALUE"""),10.0333)</f>
        <v>10.0333</v>
      </c>
      <c r="D486" s="31" t="str">
        <f>IFERROR(__xludf.DUMMYFUNCTION("""COMPUTED_VALUE"""),"Other")</f>
        <v>Other</v>
      </c>
      <c r="E486" s="31">
        <f>IFERROR(__xludf.DUMMYFUNCTION("""COMPUTED_VALUE"""),0.01094487)</f>
        <v>0.01094487</v>
      </c>
    </row>
    <row r="487">
      <c r="A487" s="31" t="str">
        <f>IFERROR(__xludf.DUMMYFUNCTION("""COMPUTED_VALUE"""),"Birla Carbon Hungary Kft.")</f>
        <v>Birla Carbon Hungary Kft.</v>
      </c>
      <c r="B487" s="31">
        <f>IFERROR(__xludf.DUMMYFUNCTION("""COMPUTED_VALUE"""),47.916708)</f>
        <v>47.916708</v>
      </c>
      <c r="C487" s="31">
        <f>IFERROR(__xludf.DUMMYFUNCTION("""COMPUTED_VALUE"""),21.022157)</f>
        <v>21.022157</v>
      </c>
      <c r="D487" s="31" t="str">
        <f>IFERROR(__xludf.DUMMYFUNCTION("""COMPUTED_VALUE"""),"Other")</f>
        <v>Other</v>
      </c>
      <c r="E487" s="31">
        <f>IFERROR(__xludf.DUMMYFUNCTION("""COMPUTED_VALUE"""),0.010891707)</f>
        <v>0.010891707</v>
      </c>
    </row>
    <row r="488">
      <c r="A488" s="31" t="str">
        <f>IFERROR(__xludf.DUMMYFUNCTION("""COMPUTED_VALUE"""),"EQIOM (CIMENTERIE)")</f>
        <v>EQIOM (CIMENTERIE)</v>
      </c>
      <c r="B488" s="31">
        <f>IFERROR(__xludf.DUMMYFUNCTION("""COMPUTED_VALUE"""),47.13506)</f>
        <v>47.13506</v>
      </c>
      <c r="C488" s="31">
        <f>IFERROR(__xludf.DUMMYFUNCTION("""COMPUTED_VALUE"""),5.55078)</f>
        <v>5.55078</v>
      </c>
      <c r="D488" s="31" t="str">
        <f>IFERROR(__xludf.DUMMYFUNCTION("""COMPUTED_VALUE"""),"Other")</f>
        <v>Other</v>
      </c>
      <c r="E488" s="31">
        <f>IFERROR(__xludf.DUMMYFUNCTION("""COMPUTED_VALUE"""),0.010749222)</f>
        <v>0.010749222</v>
      </c>
    </row>
    <row r="489">
      <c r="A489" s="31" t="str">
        <f>IFERROR(__xludf.DUMMYFUNCTION("""COMPUTED_VALUE"""),"CEMEX ESPAÑA OPERACIONES, S.L.U. - PLANTA DE MORATA")</f>
        <v>CEMEX ESPAÑA OPERACIONES, S.L.U. - PLANTA DE MORATA</v>
      </c>
      <c r="B489" s="31">
        <f>IFERROR(__xludf.DUMMYFUNCTION("""COMPUTED_VALUE"""),41.475622)</f>
        <v>41.475622</v>
      </c>
      <c r="C489" s="31">
        <f>IFERROR(__xludf.DUMMYFUNCTION("""COMPUTED_VALUE"""),-1.488365)</f>
        <v>-1.488365</v>
      </c>
      <c r="D489" s="31" t="str">
        <f>IFERROR(__xludf.DUMMYFUNCTION("""COMPUTED_VALUE"""),"Other")</f>
        <v>Other</v>
      </c>
      <c r="E489" s="31">
        <f>IFERROR(__xludf.DUMMYFUNCTION("""COMPUTED_VALUE"""),0.010633639)</f>
        <v>0.010633639</v>
      </c>
    </row>
    <row r="490">
      <c r="A490" s="31" t="str">
        <f>IFERROR(__xludf.DUMMYFUNCTION("""COMPUTED_VALUE"""),"CEMEX ESPAÑA OPERACIONES, S.L.U.")</f>
        <v>CEMEX ESPAÑA OPERACIONES, S.L.U.</v>
      </c>
      <c r="B490" s="31">
        <f>IFERROR(__xludf.DUMMYFUNCTION("""COMPUTED_VALUE"""),39.9382)</f>
        <v>39.9382</v>
      </c>
      <c r="C490" s="31">
        <f>IFERROR(__xludf.DUMMYFUNCTION("""COMPUTED_VALUE"""),-3.7418)</f>
        <v>-3.7418</v>
      </c>
      <c r="D490" s="31" t="str">
        <f>IFERROR(__xludf.DUMMYFUNCTION("""COMPUTED_VALUE"""),"Other")</f>
        <v>Other</v>
      </c>
      <c r="E490" s="31">
        <f>IFERROR(__xludf.DUMMYFUNCTION("""COMPUTED_VALUE"""),0.010595112)</f>
        <v>0.010595112</v>
      </c>
    </row>
    <row r="491">
      <c r="A491" s="31" t="str">
        <f>IFERROR(__xludf.DUMMYFUNCTION("""COMPUTED_VALUE"""),"CARMEUSE - Site de Moha")</f>
        <v>CARMEUSE - Site de Moha</v>
      </c>
      <c r="B491" s="31">
        <f>IFERROR(__xludf.DUMMYFUNCTION("""COMPUTED_VALUE"""),50.557106)</f>
        <v>50.557106</v>
      </c>
      <c r="C491" s="31">
        <f>IFERROR(__xludf.DUMMYFUNCTION("""COMPUTED_VALUE"""),5.179099)</f>
        <v>5.179099</v>
      </c>
      <c r="D491" s="31" t="str">
        <f>IFERROR(__xludf.DUMMYFUNCTION("""COMPUTED_VALUE"""),"Other")</f>
        <v>Other</v>
      </c>
      <c r="E491" s="31">
        <f>IFERROR(__xludf.DUMMYFUNCTION("""COMPUTED_VALUE"""),0.010519228)</f>
        <v>0.010519228</v>
      </c>
    </row>
    <row r="492">
      <c r="A492" s="31" t="str">
        <f>IFERROR(__xludf.DUMMYFUNCTION("""COMPUTED_VALUE"""),"UNICALCE S.P.A. - STABILIMENTO DI VAL BREMBILLA")</f>
        <v>UNICALCE S.P.A. - STABILIMENTO DI VAL BREMBILLA</v>
      </c>
      <c r="B492" s="31">
        <f>IFERROR(__xludf.DUMMYFUNCTION("""COMPUTED_VALUE"""),45.7886)</f>
        <v>45.7886</v>
      </c>
      <c r="C492" s="31">
        <f>IFERROR(__xludf.DUMMYFUNCTION("""COMPUTED_VALUE"""),9.6261)</f>
        <v>9.6261</v>
      </c>
      <c r="D492" s="31" t="str">
        <f>IFERROR(__xludf.DUMMYFUNCTION("""COMPUTED_VALUE"""),"Other")</f>
        <v>Other</v>
      </c>
      <c r="E492" s="31">
        <f>IFERROR(__xludf.DUMMYFUNCTION("""COMPUTED_VALUE"""),0.010409665)</f>
        <v>0.010409665</v>
      </c>
    </row>
    <row r="493">
      <c r="A493" s="31" t="str">
        <f>IFERROR(__xludf.DUMMYFUNCTION("""COMPUTED_VALUE"""),"HOLCIM HAUT-RHIN")</f>
        <v>HOLCIM HAUT-RHIN</v>
      </c>
      <c r="B493" s="31">
        <f>IFERROR(__xludf.DUMMYFUNCTION("""COMPUTED_VALUE"""),47.62907)</f>
        <v>47.62907</v>
      </c>
      <c r="C493" s="31">
        <f>IFERROR(__xludf.DUMMYFUNCTION("""COMPUTED_VALUE"""),7.23784)</f>
        <v>7.23784</v>
      </c>
      <c r="D493" s="31" t="str">
        <f>IFERROR(__xludf.DUMMYFUNCTION("""COMPUTED_VALUE"""),"Other")</f>
        <v>Other</v>
      </c>
      <c r="E493" s="31">
        <f>IFERROR(__xludf.DUMMYFUNCTION("""COMPUTED_VALUE"""),0.01028689)</f>
        <v>0.01028689</v>
      </c>
    </row>
    <row r="494">
      <c r="A494" s="31" t="str">
        <f>IFERROR(__xludf.DUMMYFUNCTION("""COMPUTED_VALUE"""),"Centro de Produção de Loulé (CI)")</f>
        <v>Centro de Produção de Loulé (CI)</v>
      </c>
      <c r="B494" s="31">
        <f>IFERROR(__xludf.DUMMYFUNCTION("""COMPUTED_VALUE"""),37.134296)</f>
        <v>37.134296</v>
      </c>
      <c r="C494" s="31">
        <f>IFERROR(__xludf.DUMMYFUNCTION("""COMPUTED_VALUE"""),-8.097592)</f>
        <v>-8.097592</v>
      </c>
      <c r="D494" s="31" t="str">
        <f>IFERROR(__xludf.DUMMYFUNCTION("""COMPUTED_VALUE"""),"Other")</f>
        <v>Other</v>
      </c>
      <c r="E494" s="31">
        <f>IFERROR(__xludf.DUMMYFUNCTION("""COMPUTED_VALUE"""),0.010094252)</f>
        <v>0.010094252</v>
      </c>
    </row>
    <row r="495">
      <c r="A495" s="31" t="str">
        <f>IFERROR(__xludf.DUMMYFUNCTION("""COMPUTED_VALUE"""),"Kirchdorfer Zementwerk Hofmann Gesellschaft m.b.H.")</f>
        <v>Kirchdorfer Zementwerk Hofmann Gesellschaft m.b.H.</v>
      </c>
      <c r="B495" s="31">
        <f>IFERROR(__xludf.DUMMYFUNCTION("""COMPUTED_VALUE"""),47.90825)</f>
        <v>47.90825</v>
      </c>
      <c r="C495" s="31">
        <f>IFERROR(__xludf.DUMMYFUNCTION("""COMPUTED_VALUE"""),14.117306)</f>
        <v>14.117306</v>
      </c>
      <c r="D495" s="31" t="str">
        <f>IFERROR(__xludf.DUMMYFUNCTION("""COMPUTED_VALUE"""),"Other")</f>
        <v>Other</v>
      </c>
      <c r="E495" s="31">
        <f>IFERROR(__xludf.DUMMYFUNCTION("""COMPUTED_VALUE"""),0.010063851)</f>
        <v>0.010063851</v>
      </c>
    </row>
    <row r="496">
      <c r="A496" s="31" t="str">
        <f>IFERROR(__xludf.DUMMYFUNCTION("""COMPUTED_VALUE"""),"Smartenergy")</f>
        <v>Smartenergy</v>
      </c>
      <c r="B496" s="31">
        <f>IFERROR(__xludf.DUMMYFUNCTION("""COMPUTED_VALUE"""),38.70775)</f>
        <v>38.70775</v>
      </c>
      <c r="C496" s="31">
        <f>IFERROR(__xludf.DUMMYFUNCTION("""COMPUTED_VALUE"""),-9.13659)</f>
        <v>-9.13659</v>
      </c>
      <c r="D496" s="31" t="str">
        <f>IFERROR(__xludf.DUMMYFUNCTION("""COMPUTED_VALUE"""),"E-kerosene")</f>
        <v>E-kerosene</v>
      </c>
      <c r="E496" s="31">
        <f>IFERROR(__xludf.DUMMYFUNCTION("""COMPUTED_VALUE"""),0.5115)</f>
        <v>0.5115</v>
      </c>
    </row>
    <row r="497">
      <c r="A497" s="31" t="str">
        <f>IFERROR(__xludf.DUMMYFUNCTION("""COMPUTED_VALUE"""),"Nordic Electrofuel")</f>
        <v>Nordic Electrofuel</v>
      </c>
      <c r="B497" s="31">
        <f>IFERROR(__xludf.DUMMYFUNCTION("""COMPUTED_VALUE"""),59.13259)</f>
        <v>59.13259</v>
      </c>
      <c r="C497" s="31">
        <f>IFERROR(__xludf.DUMMYFUNCTION("""COMPUTED_VALUE"""),9.6282)</f>
        <v>9.6282</v>
      </c>
      <c r="D497" s="31" t="str">
        <f>IFERROR(__xludf.DUMMYFUNCTION("""COMPUTED_VALUE"""),"E-kerosene")</f>
        <v>E-kerosene</v>
      </c>
      <c r="E497" s="31">
        <f>IFERROR(__xludf.DUMMYFUNCTION("""COMPUTED_VALUE"""),0.49962)</f>
        <v>0.49962</v>
      </c>
    </row>
    <row r="498">
      <c r="A498" s="31" t="str">
        <f>IFERROR(__xludf.DUMMYFUNCTION("""COMPUTED_VALUE"""),"Nordic Electrofuel")</f>
        <v>Nordic Electrofuel</v>
      </c>
      <c r="B498" s="31">
        <f>IFERROR(__xludf.DUMMYFUNCTION("""COMPUTED_VALUE"""),65.96594)</f>
        <v>65.96594</v>
      </c>
      <c r="C498" s="31">
        <f>IFERROR(__xludf.DUMMYFUNCTION("""COMPUTED_VALUE"""),12.27806)</f>
        <v>12.27806</v>
      </c>
      <c r="D498" s="31" t="str">
        <f>IFERROR(__xludf.DUMMYFUNCTION("""COMPUTED_VALUE"""),"E-kerosene")</f>
        <v>E-kerosene</v>
      </c>
      <c r="E498" s="31">
        <f>IFERROR(__xludf.DUMMYFUNCTION("""COMPUTED_VALUE"""),0.47463900000000003)</f>
        <v>0.474639</v>
      </c>
    </row>
    <row r="499">
      <c r="A499" s="31" t="str">
        <f>IFERROR(__xludf.DUMMYFUNCTION("""COMPUTED_VALUE"""),"SkyNRG")</f>
        <v>SkyNRG</v>
      </c>
      <c r="B499" s="31">
        <f>IFERROR(__xludf.DUMMYFUNCTION("""COMPUTED_VALUE"""),64.67983)</f>
        <v>64.67983</v>
      </c>
      <c r="C499" s="31">
        <f>IFERROR(__xludf.DUMMYFUNCTION("""COMPUTED_VALUE"""),21.24178)</f>
        <v>21.24178</v>
      </c>
      <c r="D499" s="31" t="str">
        <f>IFERROR(__xludf.DUMMYFUNCTION("""COMPUTED_VALUE"""),"E-kerosene")</f>
        <v>E-kerosene</v>
      </c>
      <c r="E499" s="31">
        <f>IFERROR(__xludf.DUMMYFUNCTION("""COMPUTED_VALUE"""),0.44)</f>
        <v>0.44</v>
      </c>
    </row>
    <row r="500">
      <c r="A500" s="31" t="str">
        <f>IFERROR(__xludf.DUMMYFUNCTION("""COMPUTED_VALUE"""),"Ignis P2X")</f>
        <v>Ignis P2X</v>
      </c>
      <c r="B500" s="31">
        <f>IFERROR(__xludf.DUMMYFUNCTION("""COMPUTED_VALUE"""),40.0094)</f>
        <v>40.0094</v>
      </c>
      <c r="C500" s="31">
        <f>IFERROR(__xludf.DUMMYFUNCTION("""COMPUTED_VALUE"""),-3.9035)</f>
        <v>-3.9035</v>
      </c>
      <c r="D500" s="31" t="str">
        <f>IFERROR(__xludf.DUMMYFUNCTION("""COMPUTED_VALUE"""),"E-kerosene")</f>
        <v>E-kerosene</v>
      </c>
      <c r="E500" s="31">
        <f>IFERROR(__xludf.DUMMYFUNCTION("""COMPUTED_VALUE"""),0.44)</f>
        <v>0.44</v>
      </c>
    </row>
    <row r="501">
      <c r="A501" s="31" t="str">
        <f>IFERROR(__xludf.DUMMYFUNCTION("""COMPUTED_VALUE"""),"Elyse Energy")</f>
        <v>Elyse Energy</v>
      </c>
      <c r="B501" s="31">
        <f>IFERROR(__xludf.DUMMYFUNCTION("""COMPUTED_VALUE"""),43.39596)</f>
        <v>43.39596</v>
      </c>
      <c r="C501" s="31">
        <f>IFERROR(__xludf.DUMMYFUNCTION("""COMPUTED_VALUE"""),4.78843)</f>
        <v>4.78843</v>
      </c>
      <c r="D501" s="31" t="str">
        <f>IFERROR(__xludf.DUMMYFUNCTION("""COMPUTED_VALUE"""),"E-kerosene")</f>
        <v>E-kerosene</v>
      </c>
      <c r="E501" s="31">
        <f>IFERROR(__xludf.DUMMYFUNCTION("""COMPUTED_VALUE"""),0.3473684211)</f>
        <v>0.3473684211</v>
      </c>
    </row>
    <row r="502">
      <c r="A502" s="31" t="str">
        <f>IFERROR(__xludf.DUMMYFUNCTION("""COMPUTED_VALUE"""),"H2V")</f>
        <v>H2V</v>
      </c>
      <c r="B502" s="31">
        <f>IFERROR(__xludf.DUMMYFUNCTION("""COMPUTED_VALUE"""),51.03477)</f>
        <v>51.03477</v>
      </c>
      <c r="C502" s="31">
        <f>IFERROR(__xludf.DUMMYFUNCTION("""COMPUTED_VALUE"""),2.37725)</f>
        <v>2.37725</v>
      </c>
      <c r="D502" s="31" t="str">
        <f>IFERROR(__xludf.DUMMYFUNCTION("""COMPUTED_VALUE"""),"E-kerosene")</f>
        <v>E-kerosene</v>
      </c>
      <c r="E502" s="31">
        <f>IFERROR(__xludf.DUMMYFUNCTION("""COMPUTED_VALUE"""),0.33)</f>
        <v>0.33</v>
      </c>
    </row>
    <row r="503">
      <c r="A503" s="31" t="str">
        <f>IFERROR(__xludf.DUMMYFUNCTION("""COMPUTED_VALUE"""),"Copenhagen Infrastructure Partners")</f>
        <v>Copenhagen Infrastructure Partners</v>
      </c>
      <c r="B503" s="31">
        <f>IFERROR(__xludf.DUMMYFUNCTION("""COMPUTED_VALUE"""),57.04355)</f>
        <v>57.04355</v>
      </c>
      <c r="C503" s="31">
        <f>IFERROR(__xludf.DUMMYFUNCTION("""COMPUTED_VALUE"""),9.7777)</f>
        <v>9.7777</v>
      </c>
      <c r="D503" s="31" t="str">
        <f>IFERROR(__xludf.DUMMYFUNCTION("""COMPUTED_VALUE"""),"E-kerosene")</f>
        <v>E-kerosene</v>
      </c>
      <c r="E503" s="31">
        <f>IFERROR(__xludf.DUMMYFUNCTION("""COMPUTED_VALUE"""),0.297)</f>
        <v>0.297</v>
      </c>
    </row>
    <row r="504">
      <c r="A504" s="31" t="str">
        <f>IFERROR(__xludf.DUMMYFUNCTION("""COMPUTED_VALUE"""),"SAF + Consortium")</f>
        <v>SAF + Consortium</v>
      </c>
      <c r="B504" s="31">
        <f>IFERROR(__xludf.DUMMYFUNCTION("""COMPUTED_VALUE"""),49.47696)</f>
        <v>49.47696</v>
      </c>
      <c r="C504" s="31">
        <f>IFERROR(__xludf.DUMMYFUNCTION("""COMPUTED_VALUE"""),0.17016)</f>
        <v>0.17016</v>
      </c>
      <c r="D504" s="31" t="str">
        <f>IFERROR(__xludf.DUMMYFUNCTION("""COMPUTED_VALUE"""),"E-kerosene")</f>
        <v>E-kerosene</v>
      </c>
      <c r="E504" s="31">
        <f>IFERROR(__xludf.DUMMYFUNCTION("""COMPUTED_VALUE"""),0.2904)</f>
        <v>0.2904</v>
      </c>
    </row>
    <row r="505">
      <c r="A505" s="31" t="str">
        <f>IFERROR(__xludf.DUMMYFUNCTION("""COMPUTED_VALUE"""),"Infinium")</f>
        <v>Infinium</v>
      </c>
      <c r="B505" s="31">
        <f>IFERROR(__xludf.DUMMYFUNCTION("""COMPUTED_VALUE"""),66.3111)</f>
        <v>66.3111</v>
      </c>
      <c r="C505" s="31">
        <f>IFERROR(__xludf.DUMMYFUNCTION("""COMPUTED_VALUE"""),14.1387)</f>
        <v>14.1387</v>
      </c>
      <c r="D505" s="31" t="str">
        <f>IFERROR(__xludf.DUMMYFUNCTION("""COMPUTED_VALUE"""),"E-kerosene")</f>
        <v>E-kerosene</v>
      </c>
      <c r="E505" s="31">
        <f>IFERROR(__xludf.DUMMYFUNCTION("""COMPUTED_VALUE"""),0.2904)</f>
        <v>0.2904</v>
      </c>
    </row>
    <row r="506">
      <c r="A506" s="31" t="str">
        <f>IFERROR(__xludf.DUMMYFUNCTION("""COMPUTED_VALUE"""),"Verso Energy")</f>
        <v>Verso Energy</v>
      </c>
      <c r="B506" s="31">
        <f>IFERROR(__xludf.DUMMYFUNCTION("""COMPUTED_VALUE"""),48.2552)</f>
        <v>48.2552</v>
      </c>
      <c r="C506" s="31">
        <f>IFERROR(__xludf.DUMMYFUNCTION("""COMPUTED_VALUE"""),6.4401)</f>
        <v>6.4401</v>
      </c>
      <c r="D506" s="31" t="str">
        <f>IFERROR(__xludf.DUMMYFUNCTION("""COMPUTED_VALUE"""),"E-kerosene")</f>
        <v>E-kerosene</v>
      </c>
      <c r="E506" s="31">
        <f>IFERROR(__xludf.DUMMYFUNCTION("""COMPUTED_VALUE"""),0.2805)</f>
        <v>0.2805</v>
      </c>
    </row>
    <row r="507">
      <c r="A507" s="31" t="str">
        <f>IFERROR(__xludf.DUMMYFUNCTION("""COMPUTED_VALUE"""),"Verso Energy")</f>
        <v>Verso Energy</v>
      </c>
      <c r="B507" s="31">
        <f>IFERROR(__xludf.DUMMYFUNCTION("""COMPUTED_VALUE"""),65.01179)</f>
        <v>65.01179</v>
      </c>
      <c r="C507" s="31">
        <f>IFERROR(__xludf.DUMMYFUNCTION("""COMPUTED_VALUE"""),25.4702)</f>
        <v>25.4702</v>
      </c>
      <c r="D507" s="31" t="str">
        <f>IFERROR(__xludf.DUMMYFUNCTION("""COMPUTED_VALUE"""),"E-kerosene")</f>
        <v>E-kerosene</v>
      </c>
      <c r="E507" s="31">
        <f>IFERROR(__xludf.DUMMYFUNCTION("""COMPUTED_VALUE"""),0.2805)</f>
        <v>0.2805</v>
      </c>
    </row>
    <row r="508">
      <c r="A508" s="31" t="str">
        <f>IFERROR(__xludf.DUMMYFUNCTION("""COMPUTED_VALUE"""),"Verso Energy")</f>
        <v>Verso Energy</v>
      </c>
      <c r="B508" s="31">
        <f>IFERROR(__xludf.DUMMYFUNCTION("""COMPUTED_VALUE"""),49.37739)</f>
        <v>49.37739</v>
      </c>
      <c r="C508" s="31">
        <f>IFERROR(__xludf.DUMMYFUNCTION("""COMPUTED_VALUE"""),1.02862)</f>
        <v>1.02862</v>
      </c>
      <c r="D508" s="31" t="str">
        <f>IFERROR(__xludf.DUMMYFUNCTION("""COMPUTED_VALUE"""),"E-kerosene")</f>
        <v>E-kerosene</v>
      </c>
      <c r="E508" s="31">
        <f>IFERROR(__xludf.DUMMYFUNCTION("""COMPUTED_VALUE"""),0.2805)</f>
        <v>0.2805</v>
      </c>
    </row>
    <row r="509">
      <c r="A509" s="31" t="str">
        <f>IFERROR(__xludf.DUMMYFUNCTION("""COMPUTED_VALUE"""),"Verso Energy")</f>
        <v>Verso Energy</v>
      </c>
      <c r="B509" s="31">
        <f>IFERROR(__xludf.DUMMYFUNCTION("""COMPUTED_VALUE"""),45.87541)</f>
        <v>45.87541</v>
      </c>
      <c r="C509" s="31">
        <f>IFERROR(__xludf.DUMMYFUNCTION("""COMPUTED_VALUE"""),0.81744)</f>
        <v>0.81744</v>
      </c>
      <c r="D509" s="31" t="str">
        <f>IFERROR(__xludf.DUMMYFUNCTION("""COMPUTED_VALUE"""),"E-kerosene")</f>
        <v>E-kerosene</v>
      </c>
      <c r="E509" s="31">
        <f>IFERROR(__xludf.DUMMYFUNCTION("""COMPUTED_VALUE"""),0.2805)</f>
        <v>0.2805</v>
      </c>
    </row>
    <row r="510">
      <c r="A510" s="31" t="str">
        <f>IFERROR(__xludf.DUMMYFUNCTION("""COMPUTED_VALUE"""),"Verso Energy")</f>
        <v>Verso Energy</v>
      </c>
      <c r="B510" s="31">
        <f>IFERROR(__xludf.DUMMYFUNCTION("""COMPUTED_VALUE"""),43.83401)</f>
        <v>43.83401</v>
      </c>
      <c r="C510" s="31">
        <f>IFERROR(__xludf.DUMMYFUNCTION("""COMPUTED_VALUE"""),-0.82599)</f>
        <v>-0.82599</v>
      </c>
      <c r="D510" s="31" t="str">
        <f>IFERROR(__xludf.DUMMYFUNCTION("""COMPUTED_VALUE"""),"E-kerosene")</f>
        <v>E-kerosene</v>
      </c>
      <c r="E510" s="31">
        <f>IFERROR(__xludf.DUMMYFUNCTION("""COMPUTED_VALUE"""),0.2805)</f>
        <v>0.2805</v>
      </c>
    </row>
    <row r="511">
      <c r="A511" s="31" t="str">
        <f>IFERROR(__xludf.DUMMYFUNCTION("""COMPUTED_VALUE"""),"Verso Energy")</f>
        <v>Verso Energy</v>
      </c>
      <c r="B511" s="31">
        <f>IFERROR(__xludf.DUMMYFUNCTION("""COMPUTED_VALUE"""),65.84576)</f>
        <v>65.84576</v>
      </c>
      <c r="C511" s="31">
        <f>IFERROR(__xludf.DUMMYFUNCTION("""COMPUTED_VALUE"""),24.1464)</f>
        <v>24.1464</v>
      </c>
      <c r="D511" s="31" t="str">
        <f>IFERROR(__xludf.DUMMYFUNCTION("""COMPUTED_VALUE"""),"E-kerosene")</f>
        <v>E-kerosene</v>
      </c>
      <c r="E511" s="31">
        <f>IFERROR(__xludf.DUMMYFUNCTION("""COMPUTED_VALUE"""),0.2805)</f>
        <v>0.2805</v>
      </c>
    </row>
    <row r="512">
      <c r="A512" s="31" t="str">
        <f>IFERROR(__xludf.DUMMYFUNCTION("""COMPUTED_VALUE"""),"Engie")</f>
        <v>Engie</v>
      </c>
      <c r="B512" s="31">
        <f>IFERROR(__xludf.DUMMYFUNCTION("""COMPUTED_VALUE"""),49.4939)</f>
        <v>49.4939</v>
      </c>
      <c r="C512" s="31">
        <f>IFERROR(__xludf.DUMMYFUNCTION("""COMPUTED_VALUE"""),0.10797)</f>
        <v>0.10797</v>
      </c>
      <c r="D512" s="31" t="str">
        <f>IFERROR(__xludf.DUMMYFUNCTION("""COMPUTED_VALUE"""),"E-kerosene")</f>
        <v>E-kerosene</v>
      </c>
      <c r="E512" s="31">
        <f>IFERROR(__xludf.DUMMYFUNCTION("""COMPUTED_VALUE"""),0.264)</f>
        <v>0.264</v>
      </c>
    </row>
    <row r="513">
      <c r="A513" s="31" t="str">
        <f>IFERROR(__xludf.DUMMYFUNCTION("""COMPUTED_VALUE"""),"Arcadia eFuels")</f>
        <v>Arcadia eFuels</v>
      </c>
      <c r="B513" s="31">
        <f>IFERROR(__xludf.DUMMYFUNCTION("""COMPUTED_VALUE"""),54.50941)</f>
        <v>54.50941</v>
      </c>
      <c r="C513" s="31">
        <f>IFERROR(__xludf.DUMMYFUNCTION("""COMPUTED_VALUE"""),-1.42479)</f>
        <v>-1.42479</v>
      </c>
      <c r="D513" s="31" t="str">
        <f>IFERROR(__xludf.DUMMYFUNCTION("""COMPUTED_VALUE"""),"E-kerosene")</f>
        <v>E-kerosene</v>
      </c>
      <c r="E513" s="31">
        <f>IFERROR(__xludf.DUMMYFUNCTION("""COMPUTED_VALUE"""),0.264)</f>
        <v>0.264</v>
      </c>
    </row>
    <row r="514">
      <c r="A514" s="31" t="str">
        <f>IFERROR(__xludf.DUMMYFUNCTION("""COMPUTED_VALUE"""),"Arcadia eFuels")</f>
        <v>Arcadia eFuels</v>
      </c>
      <c r="B514" s="31">
        <f>IFERROR(__xludf.DUMMYFUNCTION("""COMPUTED_VALUE"""),55.01025)</f>
        <v>55.01025</v>
      </c>
      <c r="C514" s="31">
        <f>IFERROR(__xludf.DUMMYFUNCTION("""COMPUTED_VALUE"""),11.90975)</f>
        <v>11.90975</v>
      </c>
      <c r="D514" s="31" t="str">
        <f>IFERROR(__xludf.DUMMYFUNCTION("""COMPUTED_VALUE"""),"E-kerosene")</f>
        <v>E-kerosene</v>
      </c>
      <c r="E514" s="31">
        <f>IFERROR(__xludf.DUMMYFUNCTION("""COMPUTED_VALUE"""),0.264)</f>
        <v>0.264</v>
      </c>
    </row>
    <row r="515">
      <c r="A515" s="31" t="str">
        <f>IFERROR(__xludf.DUMMYFUNCTION("""COMPUTED_VALUE"""),"RIC Energy")</f>
        <v>RIC Energy</v>
      </c>
      <c r="B515" s="31">
        <f>IFERROR(__xludf.DUMMYFUNCTION("""COMPUTED_VALUE"""),42.6235)</f>
        <v>42.6235</v>
      </c>
      <c r="C515" s="31">
        <f>IFERROR(__xludf.DUMMYFUNCTION("""COMPUTED_VALUE"""),-6.56312)</f>
        <v>-6.56312</v>
      </c>
      <c r="D515" s="31" t="str">
        <f>IFERROR(__xludf.DUMMYFUNCTION("""COMPUTED_VALUE"""),"E-kerosene")</f>
        <v>E-kerosene</v>
      </c>
      <c r="E515" s="31">
        <f>IFERROR(__xludf.DUMMYFUNCTION("""COMPUTED_VALUE"""),0.264)</f>
        <v>0.264</v>
      </c>
    </row>
    <row r="516">
      <c r="A516" s="31" t="str">
        <f>IFERROR(__xludf.DUMMYFUNCTION("""COMPUTED_VALUE"""),"H2V, Hy2gen")</f>
        <v>H2V, Hy2gen</v>
      </c>
      <c r="B516" s="31">
        <f>IFERROR(__xludf.DUMMYFUNCTION("""COMPUTED_VALUE"""),43.43964)</f>
        <v>43.43964</v>
      </c>
      <c r="C516" s="31">
        <f>IFERROR(__xludf.DUMMYFUNCTION("""COMPUTED_VALUE"""),4.94993)</f>
        <v>4.94993</v>
      </c>
      <c r="D516" s="31" t="str">
        <f>IFERROR(__xludf.DUMMYFUNCTION("""COMPUTED_VALUE"""),"E-kerosene")</f>
        <v>E-kerosene</v>
      </c>
      <c r="E516" s="31">
        <f>IFERROR(__xludf.DUMMYFUNCTION("""COMPUTED_VALUE"""),0.25739999999999996)</f>
        <v>0.2574</v>
      </c>
    </row>
    <row r="517">
      <c r="A517" s="31" t="str">
        <f>IFERROR(__xludf.DUMMYFUNCTION("""COMPUTED_VALUE"""),"Smartenergy")</f>
        <v>Smartenergy</v>
      </c>
      <c r="B517" s="31">
        <f>IFERROR(__xludf.DUMMYFUNCTION("""COMPUTED_VALUE"""),41.14945)</f>
        <v>41.14945</v>
      </c>
      <c r="C517" s="31">
        <f>IFERROR(__xludf.DUMMYFUNCTION("""COMPUTED_VALUE"""),-8.61079)</f>
        <v>-8.61079</v>
      </c>
      <c r="D517" s="31" t="str">
        <f>IFERROR(__xludf.DUMMYFUNCTION("""COMPUTED_VALUE"""),"E-kerosene")</f>
        <v>E-kerosene</v>
      </c>
      <c r="E517" s="31">
        <f>IFERROR(__xludf.DUMMYFUNCTION("""COMPUTED_VALUE"""),0.2541)</f>
        <v>0.2541</v>
      </c>
    </row>
    <row r="518">
      <c r="A518" s="31" t="str">
        <f>IFERROR(__xludf.DUMMYFUNCTION("""COMPUTED_VALUE"""),"Avalon Renewables")</f>
        <v>Avalon Renewables</v>
      </c>
      <c r="B518" s="31">
        <f>IFERROR(__xludf.DUMMYFUNCTION("""COMPUTED_VALUE"""),37.25926)</f>
        <v>37.25926</v>
      </c>
      <c r="C518" s="31">
        <f>IFERROR(__xludf.DUMMYFUNCTION("""COMPUTED_VALUE"""),-6.96038)</f>
        <v>-6.96038</v>
      </c>
      <c r="D518" s="31" t="str">
        <f>IFERROR(__xludf.DUMMYFUNCTION("""COMPUTED_VALUE"""),"E-kerosene")</f>
        <v>E-kerosene</v>
      </c>
      <c r="E518" s="31">
        <f>IFERROR(__xludf.DUMMYFUNCTION("""COMPUTED_VALUE"""),0.2535789474)</f>
        <v>0.2535789474</v>
      </c>
    </row>
    <row r="519">
      <c r="A519" s="31" t="str">
        <f>IFERROR(__xludf.DUMMYFUNCTION("""COMPUTED_VALUE"""),"Norsk e-Fuel")</f>
        <v>Norsk e-Fuel</v>
      </c>
      <c r="B519" s="31">
        <f>IFERROR(__xludf.DUMMYFUNCTION("""COMPUTED_VALUE"""),62.4734)</f>
        <v>62.4734</v>
      </c>
      <c r="C519" s="31">
        <f>IFERROR(__xludf.DUMMYFUNCTION("""COMPUTED_VALUE"""),15.64109)</f>
        <v>15.64109</v>
      </c>
      <c r="D519" s="31" t="str">
        <f>IFERROR(__xludf.DUMMYFUNCTION("""COMPUTED_VALUE"""),"E-kerosene")</f>
        <v>E-kerosene</v>
      </c>
      <c r="E519" s="31">
        <f>IFERROR(__xludf.DUMMYFUNCTION("""COMPUTED_VALUE"""),0.24981)</f>
        <v>0.24981</v>
      </c>
    </row>
    <row r="520">
      <c r="A520" s="31" t="str">
        <f>IFERROR(__xludf.DUMMYFUNCTION("""COMPUTED_VALUE"""),"Norsk e-Fuel")</f>
        <v>Norsk e-Fuel</v>
      </c>
      <c r="B520" s="31">
        <f>IFERROR(__xludf.DUMMYFUNCTION("""COMPUTED_VALUE"""),61.13613)</f>
        <v>61.13613</v>
      </c>
      <c r="C520" s="31">
        <f>IFERROR(__xludf.DUMMYFUNCTION("""COMPUTED_VALUE"""),28.82203)</f>
        <v>28.82203</v>
      </c>
      <c r="D520" s="31" t="str">
        <f>IFERROR(__xludf.DUMMYFUNCTION("""COMPUTED_VALUE"""),"E-kerosene")</f>
        <v>E-kerosene</v>
      </c>
      <c r="E520" s="31">
        <f>IFERROR(__xludf.DUMMYFUNCTION("""COMPUTED_VALUE"""),0.24981)</f>
        <v>0.24981</v>
      </c>
    </row>
    <row r="521">
      <c r="A521" s="31" t="str">
        <f>IFERROR(__xludf.DUMMYFUNCTION("""COMPUTED_VALUE"""),"Norsk e-Fuel")</f>
        <v>Norsk e-Fuel</v>
      </c>
      <c r="B521" s="31">
        <f>IFERROR(__xludf.DUMMYFUNCTION("""COMPUTED_VALUE"""),61.1419)</f>
        <v>61.1419</v>
      </c>
      <c r="C521" s="31">
        <f>IFERROR(__xludf.DUMMYFUNCTION("""COMPUTED_VALUE"""),21.4503)</f>
        <v>21.4503</v>
      </c>
      <c r="D521" s="31" t="str">
        <f>IFERROR(__xludf.DUMMYFUNCTION("""COMPUTED_VALUE"""),"E-kerosene")</f>
        <v>E-kerosene</v>
      </c>
      <c r="E521" s="31">
        <f>IFERROR(__xludf.DUMMYFUNCTION("""COMPUTED_VALUE"""),0.24981)</f>
        <v>0.24981</v>
      </c>
    </row>
    <row r="522">
      <c r="A522" s="31" t="str">
        <f>IFERROR(__xludf.DUMMYFUNCTION("""COMPUTED_VALUE"""),"IðunnH2")</f>
        <v>IðunnH2</v>
      </c>
      <c r="B522" s="31">
        <f>IFERROR(__xludf.DUMMYFUNCTION("""COMPUTED_VALUE"""),64.02474)</f>
        <v>64.02474</v>
      </c>
      <c r="C522" s="31">
        <f>IFERROR(__xludf.DUMMYFUNCTION("""COMPUTED_VALUE"""),-22.56038)</f>
        <v>-22.56038</v>
      </c>
      <c r="D522" s="31" t="str">
        <f>IFERROR(__xludf.DUMMYFUNCTION("""COMPUTED_VALUE"""),"E-kerosene")</f>
        <v>E-kerosene</v>
      </c>
      <c r="E522" s="31">
        <f>IFERROR(__xludf.DUMMYFUNCTION("""COMPUTED_VALUE"""),0.24315789470000002)</f>
        <v>0.2431578947</v>
      </c>
    </row>
    <row r="523">
      <c r="A523" s="31" t="str">
        <f>IFERROR(__xludf.DUMMYFUNCTION("""COMPUTED_VALUE"""),"ORLEN")</f>
        <v>ORLEN</v>
      </c>
      <c r="B523" s="31">
        <f>IFERROR(__xludf.DUMMYFUNCTION("""COMPUTED_VALUE"""),52.5461)</f>
        <v>52.5461</v>
      </c>
      <c r="C523" s="31">
        <f>IFERROR(__xludf.DUMMYFUNCTION("""COMPUTED_VALUE"""),19.6967)</f>
        <v>19.6967</v>
      </c>
      <c r="D523" s="31" t="str">
        <f>IFERROR(__xludf.DUMMYFUNCTION("""COMPUTED_VALUE"""),"E-kerosene")</f>
        <v>E-kerosene</v>
      </c>
      <c r="E523" s="31">
        <f>IFERROR(__xludf.DUMMYFUNCTION("""COMPUTED_VALUE"""),0.231)</f>
        <v>0.231</v>
      </c>
    </row>
    <row r="524">
      <c r="A524" s="31" t="str">
        <f>IFERROR(__xludf.DUMMYFUNCTION("""COMPUTED_VALUE"""),"Concrete Chemicals")</f>
        <v>Concrete Chemicals</v>
      </c>
      <c r="B524" s="31">
        <f>IFERROR(__xludf.DUMMYFUNCTION("""COMPUTED_VALUE"""),52.47129)</f>
        <v>52.47129</v>
      </c>
      <c r="C524" s="31">
        <f>IFERROR(__xludf.DUMMYFUNCTION("""COMPUTED_VALUE"""),13.78453)</f>
        <v>13.78453</v>
      </c>
      <c r="D524" s="31" t="str">
        <f>IFERROR(__xludf.DUMMYFUNCTION("""COMPUTED_VALUE"""),"E-kerosene")</f>
        <v>E-kerosene</v>
      </c>
      <c r="E524" s="31">
        <f>IFERROR(__xludf.DUMMYFUNCTION("""COMPUTED_VALUE"""),0.176)</f>
        <v>0.176</v>
      </c>
    </row>
    <row r="525">
      <c r="A525" s="31" t="str">
        <f>IFERROR(__xludf.DUMMYFUNCTION("""COMPUTED_VALUE"""),"Norsaf")</f>
        <v>Norsaf</v>
      </c>
      <c r="B525" s="31">
        <f>IFERROR(__xludf.DUMMYFUNCTION("""COMPUTED_VALUE"""),56.51367)</f>
        <v>56.51367</v>
      </c>
      <c r="C525" s="31">
        <f>IFERROR(__xludf.DUMMYFUNCTION("""COMPUTED_VALUE"""),21.03044)</f>
        <v>21.03044</v>
      </c>
      <c r="D525" s="31" t="str">
        <f>IFERROR(__xludf.DUMMYFUNCTION("""COMPUTED_VALUE"""),"E-kerosene")</f>
        <v>E-kerosene</v>
      </c>
      <c r="E525" s="31">
        <f>IFERROR(__xludf.DUMMYFUNCTION("""COMPUTED_VALUE"""),0.16896)</f>
        <v>0.16896</v>
      </c>
    </row>
    <row r="526">
      <c r="A526" s="31" t="str">
        <f>IFERROR(__xludf.DUMMYFUNCTION("""COMPUTED_VALUE"""),"EDF")</f>
        <v>EDF</v>
      </c>
      <c r="B526" s="31">
        <f>IFERROR(__xludf.DUMMYFUNCTION("""COMPUTED_VALUE"""),47.27335)</f>
        <v>47.27335</v>
      </c>
      <c r="C526" s="31">
        <f>IFERROR(__xludf.DUMMYFUNCTION("""COMPUTED_VALUE"""),-2.21389)</f>
        <v>-2.21389</v>
      </c>
      <c r="D526" s="31" t="str">
        <f>IFERROR(__xludf.DUMMYFUNCTION("""COMPUTED_VALUE"""),"E-kerosene")</f>
        <v>E-kerosene</v>
      </c>
      <c r="E526" s="31">
        <f>IFERROR(__xludf.DUMMYFUNCTION("""COMPUTED_VALUE"""),0.165)</f>
        <v>0.165</v>
      </c>
    </row>
    <row r="527">
      <c r="A527" s="31" t="str">
        <f>IFERROR(__xludf.DUMMYFUNCTION("""COMPUTED_VALUE"""),"Solarig")</f>
        <v>Solarig</v>
      </c>
      <c r="B527" s="31">
        <f>IFERROR(__xludf.DUMMYFUNCTION("""COMPUTED_VALUE"""),40.34589)</f>
        <v>40.34589</v>
      </c>
      <c r="C527" s="31">
        <f>IFERROR(__xludf.DUMMYFUNCTION("""COMPUTED_VALUE"""),-1.10607)</f>
        <v>-1.10607</v>
      </c>
      <c r="D527" s="31" t="str">
        <f>IFERROR(__xludf.DUMMYFUNCTION("""COMPUTED_VALUE"""),"E-kerosene")</f>
        <v>E-kerosene</v>
      </c>
      <c r="E527" s="31">
        <f>IFERROR(__xludf.DUMMYFUNCTION("""COMPUTED_VALUE"""),0.16)</f>
        <v>0.16</v>
      </c>
    </row>
    <row r="528">
      <c r="A528" s="31" t="str">
        <f>IFERROR(__xludf.DUMMYFUNCTION("""COMPUTED_VALUE"""),"Solarig")</f>
        <v>Solarig</v>
      </c>
      <c r="B528" s="31">
        <f>IFERROR(__xludf.DUMMYFUNCTION("""COMPUTED_VALUE"""),42.05575)</f>
        <v>42.05575</v>
      </c>
      <c r="C528" s="31">
        <f>IFERROR(__xludf.DUMMYFUNCTION("""COMPUTED_VALUE"""),-2.47653)</f>
        <v>-2.47653</v>
      </c>
      <c r="D528" s="31" t="str">
        <f>IFERROR(__xludf.DUMMYFUNCTION("""COMPUTED_VALUE"""),"E-kerosene")</f>
        <v>E-kerosene</v>
      </c>
      <c r="E528" s="31">
        <f>IFERROR(__xludf.DUMMYFUNCTION("""COMPUTED_VALUE"""),0.14)</f>
        <v>0.14</v>
      </c>
    </row>
    <row r="529">
      <c r="A529" s="31" t="str">
        <f>IFERROR(__xludf.DUMMYFUNCTION("""COMPUTED_VALUE"""),"Avalon Renewables")</f>
        <v>Avalon Renewables</v>
      </c>
      <c r="B529" s="31">
        <f>IFERROR(__xludf.DUMMYFUNCTION("""COMPUTED_VALUE"""),38.76042)</f>
        <v>38.76042</v>
      </c>
      <c r="C529" s="31">
        <f>IFERROR(__xludf.DUMMYFUNCTION("""COMPUTED_VALUE"""),-3.38466)</f>
        <v>-3.38466</v>
      </c>
      <c r="D529" s="31" t="str">
        <f>IFERROR(__xludf.DUMMYFUNCTION("""COMPUTED_VALUE"""),"E-kerosene")</f>
        <v>E-kerosene</v>
      </c>
      <c r="E529" s="31">
        <f>IFERROR(__xludf.DUMMYFUNCTION("""COMPUTED_VALUE"""),0.1364)</f>
        <v>0.1364</v>
      </c>
    </row>
    <row r="530">
      <c r="A530" s="31" t="str">
        <f>IFERROR(__xludf.DUMMYFUNCTION("""COMPUTED_VALUE"""),"Norsk e-Fuel")</f>
        <v>Norsk e-Fuel</v>
      </c>
      <c r="B530" s="31">
        <f>IFERROR(__xludf.DUMMYFUNCTION("""COMPUTED_VALUE"""),65.83108)</f>
        <v>65.83108</v>
      </c>
      <c r="C530" s="31">
        <f>IFERROR(__xludf.DUMMYFUNCTION("""COMPUTED_VALUE"""),13.21398)</f>
        <v>13.21398</v>
      </c>
      <c r="D530" s="31" t="str">
        <f>IFERROR(__xludf.DUMMYFUNCTION("""COMPUTED_VALUE"""),"E-kerosene")</f>
        <v>E-kerosene</v>
      </c>
      <c r="E530" s="31">
        <f>IFERROR(__xludf.DUMMYFUNCTION("""COMPUTED_VALUE"""),0.124905)</f>
        <v>0.124905</v>
      </c>
    </row>
    <row r="531">
      <c r="A531" s="31" t="str">
        <f>IFERROR(__xludf.DUMMYFUNCTION("""COMPUTED_VALUE"""),"MGH Energy")</f>
        <v>MGH Energy</v>
      </c>
      <c r="B531" s="31">
        <f>IFERROR(__xludf.DUMMYFUNCTION("""COMPUTED_VALUE"""),43.64879)</f>
        <v>43.64879</v>
      </c>
      <c r="C531" s="31">
        <f>IFERROR(__xludf.DUMMYFUNCTION("""COMPUTED_VALUE"""),2.34357)</f>
        <v>2.34357</v>
      </c>
      <c r="D531" s="31" t="str">
        <f>IFERROR(__xludf.DUMMYFUNCTION("""COMPUTED_VALUE"""),"E-kerosene")</f>
        <v>E-kerosene</v>
      </c>
      <c r="E531" s="31">
        <f>IFERROR(__xludf.DUMMYFUNCTION("""COMPUTED_VALUE"""),0.1215789474)</f>
        <v>0.1215789474</v>
      </c>
    </row>
    <row r="532">
      <c r="A532" s="31" t="str">
        <f>IFERROR(__xludf.DUMMYFUNCTION("""COMPUTED_VALUE"""),"Metafuels, Evos")</f>
        <v>Metafuels, Evos</v>
      </c>
      <c r="B532" s="31">
        <f>IFERROR(__xludf.DUMMYFUNCTION("""COMPUTED_VALUE"""),51.94977)</f>
        <v>51.94977</v>
      </c>
      <c r="C532" s="31">
        <f>IFERROR(__xludf.DUMMYFUNCTION("""COMPUTED_VALUE"""),4.14538)</f>
        <v>4.14538</v>
      </c>
      <c r="D532" s="31" t="str">
        <f>IFERROR(__xludf.DUMMYFUNCTION("""COMPUTED_VALUE"""),"E-kerosene")</f>
        <v>E-kerosene</v>
      </c>
      <c r="E532" s="31">
        <f>IFERROR(__xludf.DUMMYFUNCTION("""COMPUTED_VALUE"""),0.11220000000000001)</f>
        <v>0.1122</v>
      </c>
    </row>
    <row r="533">
      <c r="A533" s="31" t="str">
        <f>IFERROR(__xludf.DUMMYFUNCTION("""COMPUTED_VALUE"""),"Carbon Neutral Fuels")</f>
        <v>Carbon Neutral Fuels</v>
      </c>
      <c r="B533" s="31">
        <f>IFERROR(__xludf.DUMMYFUNCTION("""COMPUTED_VALUE"""),54.02283)</f>
        <v>54.02283</v>
      </c>
      <c r="C533" s="31">
        <f>IFERROR(__xludf.DUMMYFUNCTION("""COMPUTED_VALUE"""),-2.69657)</f>
        <v>-2.69657</v>
      </c>
      <c r="D533" s="31" t="str">
        <f>IFERROR(__xludf.DUMMYFUNCTION("""COMPUTED_VALUE"""),"E-kerosene")</f>
        <v>E-kerosene</v>
      </c>
      <c r="E533" s="31">
        <f>IFERROR(__xludf.DUMMYFUNCTION("""COMPUTED_VALUE"""),0.11)</f>
        <v>0.11</v>
      </c>
    </row>
    <row r="534">
      <c r="A534" s="31" t="str">
        <f>IFERROR(__xludf.DUMMYFUNCTION("""COMPUTED_VALUE"""),"Hy2gen Deutschland GmbH")</f>
        <v>Hy2gen Deutschland GmbH</v>
      </c>
      <c r="B534" s="31">
        <f>IFERROR(__xludf.DUMMYFUNCTION("""COMPUTED_VALUE"""),51.86168)</f>
        <v>51.86168</v>
      </c>
      <c r="C534" s="31">
        <f>IFERROR(__xludf.DUMMYFUNCTION("""COMPUTED_VALUE"""),14.49849)</f>
        <v>14.49849</v>
      </c>
      <c r="D534" s="31" t="str">
        <f>IFERROR(__xludf.DUMMYFUNCTION("""COMPUTED_VALUE"""),"E-kerosene")</f>
        <v>E-kerosene</v>
      </c>
      <c r="E534" s="31">
        <f>IFERROR(__xludf.DUMMYFUNCTION("""COMPUTED_VALUE"""),0.09734999999999999)</f>
        <v>0.09735</v>
      </c>
    </row>
    <row r="535">
      <c r="A535" s="31" t="str">
        <f>IFERROR(__xludf.DUMMYFUNCTION("""COMPUTED_VALUE"""),"Nordic Electrofuel")</f>
        <v>Nordic Electrofuel</v>
      </c>
      <c r="B535" s="31">
        <f>IFERROR(__xludf.DUMMYFUNCTION("""COMPUTED_VALUE"""),65.97557)</f>
        <v>65.97557</v>
      </c>
      <c r="C535" s="31">
        <f>IFERROR(__xludf.DUMMYFUNCTION("""COMPUTED_VALUE"""),12.26742)</f>
        <v>12.26742</v>
      </c>
      <c r="D535" s="31" t="str">
        <f>IFERROR(__xludf.DUMMYFUNCTION("""COMPUTED_VALUE"""),"E-kerosene")</f>
        <v>E-kerosene</v>
      </c>
      <c r="E535" s="31">
        <f>IFERROR(__xludf.DUMMYFUNCTION("""COMPUTED_VALUE"""),0.08243729999999999)</f>
        <v>0.0824373</v>
      </c>
    </row>
    <row r="536">
      <c r="A536" s="31" t="str">
        <f>IFERROR(__xludf.DUMMYFUNCTION("""COMPUTED_VALUE"""),"Enagás Renovable , EVE, Petronor")</f>
        <v>Enagás Renovable , EVE, Petronor</v>
      </c>
      <c r="B536" s="31">
        <f>IFERROR(__xludf.DUMMYFUNCTION("""COMPUTED_VALUE"""),43.33587)</f>
        <v>43.33587</v>
      </c>
      <c r="C536" s="31">
        <f>IFERROR(__xludf.DUMMYFUNCTION("""COMPUTED_VALUE"""),-3.04144)</f>
        <v>-3.04144</v>
      </c>
      <c r="D536" s="31" t="str">
        <f>IFERROR(__xludf.DUMMYFUNCTION("""COMPUTED_VALUE"""),"E-kerosene")</f>
        <v>E-kerosene</v>
      </c>
      <c r="E536" s="31">
        <f>IFERROR(__xludf.DUMMYFUNCTION("""COMPUTED_VALUE"""),0.0693)</f>
        <v>0.0693</v>
      </c>
    </row>
    <row r="537">
      <c r="A537" s="31" t="str">
        <f>IFERROR(__xludf.DUMMYFUNCTION("""COMPUTED_VALUE"""),"CAC ENGINEERING GmbH, TU Bergakademie Freiberg")</f>
        <v>CAC ENGINEERING GmbH, TU Bergakademie Freiberg</v>
      </c>
      <c r="B537" s="31">
        <f>IFERROR(__xludf.DUMMYFUNCTION("""COMPUTED_VALUE"""),50.9173)</f>
        <v>50.9173</v>
      </c>
      <c r="C537" s="31">
        <f>IFERROR(__xludf.DUMMYFUNCTION("""COMPUTED_VALUE"""),13.34631)</f>
        <v>13.34631</v>
      </c>
      <c r="D537" s="31" t="str">
        <f>IFERROR(__xludf.DUMMYFUNCTION("""COMPUTED_VALUE"""),"E-kerosene")</f>
        <v>E-kerosene</v>
      </c>
      <c r="E537" s="31">
        <f>IFERROR(__xludf.DUMMYFUNCTION("""COMPUTED_VALUE"""),0.0396)</f>
        <v>0.0396</v>
      </c>
    </row>
    <row r="538">
      <c r="A538" s="31" t="str">
        <f>IFERROR(__xludf.DUMMYFUNCTION("""COMPUTED_VALUE"""),"Nordic Electrofuel")</f>
        <v>Nordic Electrofuel</v>
      </c>
      <c r="B538" s="31">
        <f>IFERROR(__xludf.DUMMYFUNCTION("""COMPUTED_VALUE"""),59.1388)</f>
        <v>59.1388</v>
      </c>
      <c r="C538" s="31">
        <f>IFERROR(__xludf.DUMMYFUNCTION("""COMPUTED_VALUE"""),9.66285)</f>
        <v>9.66285</v>
      </c>
      <c r="D538" s="31" t="str">
        <f>IFERROR(__xludf.DUMMYFUNCTION("""COMPUTED_VALUE"""),"E-kerosene")</f>
        <v>E-kerosene</v>
      </c>
      <c r="E538" s="31">
        <f>IFERROR(__xludf.DUMMYFUNCTION("""COMPUTED_VALUE"""),0.024981000000000003)</f>
        <v>0.024981</v>
      </c>
    </row>
    <row r="539">
      <c r="A539" s="31" t="str">
        <f>IFERROR(__xludf.DUMMYFUNCTION("""COMPUTED_VALUE"""),"Zero Petroleum")</f>
        <v>Zero Petroleum</v>
      </c>
      <c r="B539" s="31">
        <f>IFERROR(__xludf.DUMMYFUNCTION("""COMPUTED_VALUE"""),58.94182)</f>
        <v>58.94182</v>
      </c>
      <c r="C539" s="31">
        <f>IFERROR(__xludf.DUMMYFUNCTION("""COMPUTED_VALUE"""),-3.12969)</f>
        <v>-3.12969</v>
      </c>
      <c r="D539" s="31" t="str">
        <f>IFERROR(__xludf.DUMMYFUNCTION("""COMPUTED_VALUE"""),"E-kerosene")</f>
        <v>E-kerosene</v>
      </c>
      <c r="E539" s="31">
        <f>IFERROR(__xludf.DUMMYFUNCTION("""COMPUTED_VALUE"""),0.02013)</f>
        <v>0.02013</v>
      </c>
    </row>
    <row r="540">
      <c r="A540" s="31" t="str">
        <f>IFERROR(__xludf.DUMMYFUNCTION("""COMPUTED_VALUE"""),"Metafuels, Evos")</f>
        <v>Metafuels, Evos</v>
      </c>
      <c r="B540" s="31">
        <f>IFERROR(__xludf.DUMMYFUNCTION("""COMPUTED_VALUE"""),51.94977)</f>
        <v>51.94977</v>
      </c>
      <c r="C540" s="31">
        <f>IFERROR(__xludf.DUMMYFUNCTION("""COMPUTED_VALUE"""),4.14538)</f>
        <v>4.14538</v>
      </c>
      <c r="D540" s="31" t="str">
        <f>IFERROR(__xludf.DUMMYFUNCTION("""COMPUTED_VALUE"""),"E-kerosene")</f>
        <v>E-kerosene</v>
      </c>
      <c r="E540" s="31">
        <f>IFERROR(__xludf.DUMMYFUNCTION("""COMPUTED_VALUE"""),0.011463157889999999)</f>
        <v>0.01146315789</v>
      </c>
    </row>
    <row r="541">
      <c r="A541" s="31" t="str">
        <f>IFERROR(__xludf.DUMMYFUNCTION("""COMPUTED_VALUE"""),"European Energy, Metafuels")</f>
        <v>European Energy, Metafuels</v>
      </c>
      <c r="B541" s="31">
        <f>IFERROR(__xludf.DUMMYFUNCTION("""COMPUTED_VALUE"""),54.8295)</f>
        <v>54.8295</v>
      </c>
      <c r="C541" s="31">
        <f>IFERROR(__xludf.DUMMYFUNCTION("""COMPUTED_VALUE"""),9.36065)</f>
        <v>9.36065</v>
      </c>
      <c r="D541" s="31" t="str">
        <f>IFERROR(__xludf.DUMMYFUNCTION("""COMPUTED_VALUE"""),"E-kerosene")</f>
        <v>E-kerosene</v>
      </c>
      <c r="E541" s="31">
        <f>IFERROR(__xludf.DUMMYFUNCTION("""COMPUTED_VALUE"""),0.01111578947)</f>
        <v>0.01111578947</v>
      </c>
    </row>
    <row r="542">
      <c r="A542" s="31" t="str">
        <f>IFERROR(__xludf.DUMMYFUNCTION("""COMPUTED_VALUE"""),"Ineratec")</f>
        <v>Ineratec</v>
      </c>
      <c r="B542" s="31">
        <f>IFERROR(__xludf.DUMMYFUNCTION("""COMPUTED_VALUE"""),50.09171)</f>
        <v>50.09171</v>
      </c>
      <c r="C542" s="31">
        <f>IFERROR(__xludf.DUMMYFUNCTION("""COMPUTED_VALUE"""),8.55038)</f>
        <v>8.55038</v>
      </c>
      <c r="D542" s="31" t="str">
        <f>IFERROR(__xludf.DUMMYFUNCTION("""COMPUTED_VALUE"""),"E-kerosene")</f>
        <v>E-kerosene</v>
      </c>
      <c r="E542" s="31">
        <f>IFERROR(__xludf.DUMMYFUNCTION("""COMPUTED_VALUE"""),0.00825)</f>
        <v>0.00825</v>
      </c>
    </row>
    <row r="543">
      <c r="A543" s="31" t="str">
        <f>IFERROR(__xludf.DUMMYFUNCTION("""COMPUTED_VALUE"""),"DLR")</f>
        <v>DLR</v>
      </c>
      <c r="B543" s="31">
        <f>IFERROR(__xludf.DUMMYFUNCTION("""COMPUTED_VALUE"""),51.32336)</f>
        <v>51.32336</v>
      </c>
      <c r="C543" s="31">
        <f>IFERROR(__xludf.DUMMYFUNCTION("""COMPUTED_VALUE"""),12.01951)</f>
        <v>12.01951</v>
      </c>
      <c r="D543" s="31" t="str">
        <f>IFERROR(__xludf.DUMMYFUNCTION("""COMPUTED_VALUE"""),"E-kerosene")</f>
        <v>E-kerosene</v>
      </c>
      <c r="E543" s="31">
        <f>IFERROR(__xludf.DUMMYFUNCTION("""COMPUTED_VALUE"""),0.00825)</f>
        <v>0.00825</v>
      </c>
    </row>
    <row r="544">
      <c r="A544" s="31" t="str">
        <f>IFERROR(__xludf.DUMMYFUNCTION("""COMPUTED_VALUE"""),"Enagás Renovable , EVE, Petronor")</f>
        <v>Enagás Renovable , EVE, Petronor</v>
      </c>
      <c r="B544" s="31">
        <f>IFERROR(__xludf.DUMMYFUNCTION("""COMPUTED_VALUE"""),43.25619)</f>
        <v>43.25619</v>
      </c>
      <c r="C544" s="31">
        <f>IFERROR(__xludf.DUMMYFUNCTION("""COMPUTED_VALUE"""),-2.90023)</f>
        <v>-2.90023</v>
      </c>
      <c r="D544" s="31" t="str">
        <f>IFERROR(__xludf.DUMMYFUNCTION("""COMPUTED_VALUE"""),"E-kerosene")</f>
        <v>E-kerosene</v>
      </c>
      <c r="E544" s="31">
        <f>IFERROR(__xludf.DUMMYFUNCTION("""COMPUTED_VALUE"""),0.0069299999999999995)</f>
        <v>0.00693</v>
      </c>
    </row>
    <row r="545">
      <c r="A545" s="31" t="str">
        <f>IFERROR(__xludf.DUMMYFUNCTION("""COMPUTED_VALUE"""),"Solarbelt")</f>
        <v>Solarbelt</v>
      </c>
      <c r="B545" s="31">
        <f>IFERROR(__xludf.DUMMYFUNCTION("""COMPUTED_VALUE"""),52.85187)</f>
        <v>52.85187</v>
      </c>
      <c r="C545" s="31">
        <f>IFERROR(__xludf.DUMMYFUNCTION("""COMPUTED_VALUE"""),7.67642)</f>
        <v>7.67642</v>
      </c>
      <c r="D545" s="31" t="str">
        <f>IFERROR(__xludf.DUMMYFUNCTION("""COMPUTED_VALUE"""),"E-kerosene")</f>
        <v>E-kerosene</v>
      </c>
      <c r="E545" s="31">
        <f>IFERROR(__xludf.DUMMYFUNCTION("""COMPUTED_VALUE"""),0.0012044999999999998)</f>
        <v>0.0012045</v>
      </c>
    </row>
    <row r="546">
      <c r="A546" s="31" t="str">
        <f>IFERROR(__xludf.DUMMYFUNCTION("""COMPUTED_VALUE"""),"P2X-Europe")</f>
        <v>P2X-Europe</v>
      </c>
      <c r="B546" s="31">
        <f>IFERROR(__xludf.DUMMYFUNCTION("""COMPUTED_VALUE"""),39.06556)</f>
        <v>39.06556</v>
      </c>
      <c r="C546" s="31">
        <f>IFERROR(__xludf.DUMMYFUNCTION("""COMPUTED_VALUE"""),9.01083)</f>
        <v>9.01083</v>
      </c>
      <c r="D546" s="31" t="str">
        <f>IFERROR(__xludf.DUMMYFUNCTION("""COMPUTED_VALUE"""),"E-kerosene")</f>
        <v>E-kerosene</v>
      </c>
      <c r="E546" s="31">
        <f>IFERROR(__xludf.DUMMYFUNCTION("""COMPUTED_VALUE"""),4.95E-4)</f>
        <v>0.000495</v>
      </c>
    </row>
    <row r="547">
      <c r="A547" s="31" t="str">
        <f>IFERROR(__xludf.DUMMYFUNCTION("""COMPUTED_VALUE"""),"Liquid Sun")</f>
        <v>Liquid Sun</v>
      </c>
      <c r="B547" s="31">
        <f>IFERROR(__xludf.DUMMYFUNCTION("""COMPUTED_VALUE"""),61.49802)</f>
        <v>61.49802</v>
      </c>
      <c r="C547" s="31">
        <f>IFERROR(__xludf.DUMMYFUNCTION("""COMPUTED_VALUE"""),23.76031)</f>
        <v>23.76031</v>
      </c>
      <c r="D547" s="31" t="str">
        <f>IFERROR(__xludf.DUMMYFUNCTION("""COMPUTED_VALUE"""),"E-kerosene")</f>
        <v>E-kerosene</v>
      </c>
      <c r="E547" s="31">
        <f>IFERROR(__xludf.DUMMYFUNCTION("""COMPUTED_VALUE"""),9.9E-6)</f>
        <v>0.0000099</v>
      </c>
    </row>
    <row r="548">
      <c r="A548" s="31" t="str">
        <f>IFERROR(__xludf.DUMMYFUNCTION("""COMPUTED_VALUE"""),"Elyse Energy")</f>
        <v>Elyse Energy</v>
      </c>
      <c r="B548" s="31">
        <f>IFERROR(__xludf.DUMMYFUNCTION("""COMPUTED_VALUE"""),43.41389156)</f>
        <v>43.41389156</v>
      </c>
      <c r="C548" s="31">
        <f>IFERROR(__xludf.DUMMYFUNCTION("""COMPUTED_VALUE"""),-0.618982945)</f>
        <v>-0.618982945</v>
      </c>
      <c r="D548" s="31" t="str">
        <f>IFERROR(__xludf.DUMMYFUNCTION("""COMPUTED_VALUE"""),"E-methanol")</f>
        <v>E-methanol</v>
      </c>
      <c r="E548" s="31">
        <f>IFERROR(__xludf.DUMMYFUNCTION("""COMPUTED_VALUE"""),0.29)</f>
        <v>0.29</v>
      </c>
    </row>
    <row r="549">
      <c r="A549" s="31" t="str">
        <f>IFERROR(__xludf.DUMMYFUNCTION("""COMPUTED_VALUE"""),"Elyse Energy")</f>
        <v>Elyse Energy</v>
      </c>
      <c r="B549" s="31">
        <f>IFERROR(__xludf.DUMMYFUNCTION("""COMPUTED_VALUE"""),45.3444)</f>
        <v>45.3444</v>
      </c>
      <c r="C549" s="31">
        <f>IFERROR(__xludf.DUMMYFUNCTION("""COMPUTED_VALUE"""),4.8177)</f>
        <v>4.8177</v>
      </c>
      <c r="D549" s="31" t="str">
        <f>IFERROR(__xludf.DUMMYFUNCTION("""COMPUTED_VALUE"""),"E-methanol")</f>
        <v>E-methanol</v>
      </c>
      <c r="E549" s="31">
        <f>IFERROR(__xludf.DUMMYFUNCTION("""COMPUTED_VALUE"""),0.2175)</f>
        <v>0.2175</v>
      </c>
    </row>
    <row r="550">
      <c r="A550" s="31" t="str">
        <f>IFERROR(__xludf.DUMMYFUNCTION("""COMPUTED_VALUE"""),"Alkeymia")</f>
        <v>Alkeymia</v>
      </c>
      <c r="B550" s="31">
        <f>IFERROR(__xludf.DUMMYFUNCTION("""COMPUTED_VALUE"""),41.48356138)</f>
        <v>41.48356138</v>
      </c>
      <c r="C550" s="31">
        <f>IFERROR(__xludf.DUMMYFUNCTION("""COMPUTED_VALUE"""),-2.533976385)</f>
        <v>-2.533976385</v>
      </c>
      <c r="D550" s="31" t="str">
        <f>IFERROR(__xludf.DUMMYFUNCTION("""COMPUTED_VALUE"""),"E-methanol")</f>
        <v>E-methanol</v>
      </c>
      <c r="E550" s="31">
        <f>IFERROR(__xludf.DUMMYFUNCTION("""COMPUTED_VALUE"""),0.203)</f>
        <v>0.203</v>
      </c>
    </row>
    <row r="551">
      <c r="A551" s="31" t="str">
        <f>IFERROR(__xludf.DUMMYFUNCTION("""COMPUTED_VALUE"""),"Alkeymia")</f>
        <v>Alkeymia</v>
      </c>
      <c r="B551" s="31">
        <f>IFERROR(__xludf.DUMMYFUNCTION("""COMPUTED_VALUE"""),41.18253746)</f>
        <v>41.18253746</v>
      </c>
      <c r="C551" s="31">
        <f>IFERROR(__xludf.DUMMYFUNCTION("""COMPUTED_VALUE"""),0.568981271)</f>
        <v>0.568981271</v>
      </c>
      <c r="D551" s="31" t="str">
        <f>IFERROR(__xludf.DUMMYFUNCTION("""COMPUTED_VALUE"""),"E-methanol")</f>
        <v>E-methanol</v>
      </c>
      <c r="E551" s="31">
        <f>IFERROR(__xludf.DUMMYFUNCTION("""COMPUTED_VALUE"""),0.1595)</f>
        <v>0.1595</v>
      </c>
    </row>
    <row r="552">
      <c r="A552" s="31" t="str">
        <f>IFERROR(__xludf.DUMMYFUNCTION("""COMPUTED_VALUE"""),"CRI - Carbon Recycling international (CRI), Stratkraft (no longer involved in this project) ")</f>
        <v>CRI - Carbon Recycling international (CRI), Stratkraft (no longer involved in this project) </v>
      </c>
      <c r="B552" s="31">
        <f>IFERROR(__xludf.DUMMYFUNCTION("""COMPUTED_VALUE"""),69.23213784)</f>
        <v>69.23213784</v>
      </c>
      <c r="C552" s="31">
        <f>IFERROR(__xludf.DUMMYFUNCTION("""COMPUTED_VALUE"""),17.98007782)</f>
        <v>17.98007782</v>
      </c>
      <c r="D552" s="31" t="str">
        <f>IFERROR(__xludf.DUMMYFUNCTION("""COMPUTED_VALUE"""),"E-methanol")</f>
        <v>E-methanol</v>
      </c>
      <c r="E552" s="31">
        <f>IFERROR(__xludf.DUMMYFUNCTION("""COMPUTED_VALUE"""),0.145)</f>
        <v>0.145</v>
      </c>
    </row>
    <row r="553">
      <c r="A553" s="31" t="str">
        <f>IFERROR(__xludf.DUMMYFUNCTION("""COMPUTED_VALUE"""),"Liquid Wind, Umeå Energi")</f>
        <v>Liquid Wind, Umeå Energi</v>
      </c>
      <c r="B553" s="31">
        <f>IFERROR(__xludf.DUMMYFUNCTION("""COMPUTED_VALUE"""),63.8258)</f>
        <v>63.8258</v>
      </c>
      <c r="C553" s="31">
        <f>IFERROR(__xludf.DUMMYFUNCTION("""COMPUTED_VALUE"""),20.263)</f>
        <v>20.263</v>
      </c>
      <c r="D553" s="31" t="str">
        <f>IFERROR(__xludf.DUMMYFUNCTION("""COMPUTED_VALUE"""),"E-methanol")</f>
        <v>E-methanol</v>
      </c>
      <c r="E553" s="31">
        <f>IFERROR(__xludf.DUMMYFUNCTION("""COMPUTED_VALUE"""),0.145)</f>
        <v>0.145</v>
      </c>
    </row>
    <row r="554">
      <c r="A554" s="31" t="str">
        <f>IFERROR(__xludf.DUMMYFUNCTION("""COMPUTED_VALUE"""),"Liquid Wind, Sundsvall Energi")</f>
        <v>Liquid Wind, Sundsvall Energi</v>
      </c>
      <c r="B554" s="31">
        <f>IFERROR(__xludf.DUMMYFUNCTION("""COMPUTED_VALUE"""),62.404)</f>
        <v>62.404</v>
      </c>
      <c r="C554" s="31">
        <f>IFERROR(__xludf.DUMMYFUNCTION("""COMPUTED_VALUE"""),17.3918)</f>
        <v>17.3918</v>
      </c>
      <c r="D554" s="31" t="str">
        <f>IFERROR(__xludf.DUMMYFUNCTION("""COMPUTED_VALUE"""),"E-methanol")</f>
        <v>E-methanol</v>
      </c>
      <c r="E554" s="31">
        <f>IFERROR(__xludf.DUMMYFUNCTION("""COMPUTED_VALUE"""),0.145)</f>
        <v>0.145</v>
      </c>
    </row>
    <row r="555">
      <c r="A555" s="31" t="str">
        <f>IFERROR(__xludf.DUMMYFUNCTION("""COMPUTED_VALUE"""),"Alkeymia")</f>
        <v>Alkeymia</v>
      </c>
      <c r="B555" s="31">
        <f>IFERROR(__xludf.DUMMYFUNCTION("""COMPUTED_VALUE"""),37.20183193)</f>
        <v>37.20183193</v>
      </c>
      <c r="C555" s="31">
        <f>IFERROR(__xludf.DUMMYFUNCTION("""COMPUTED_VALUE"""),-4.778653822)</f>
        <v>-4.778653822</v>
      </c>
      <c r="D555" s="31" t="str">
        <f>IFERROR(__xludf.DUMMYFUNCTION("""COMPUTED_VALUE"""),"E-methanol")</f>
        <v>E-methanol</v>
      </c>
      <c r="E555" s="31">
        <f>IFERROR(__xludf.DUMMYFUNCTION("""COMPUTED_VALUE"""),0.1305)</f>
        <v>0.1305</v>
      </c>
    </row>
    <row r="556">
      <c r="A556" s="31" t="str">
        <f>IFERROR(__xludf.DUMMYFUNCTION("""COMPUTED_VALUE"""),"Elyse Energy")</f>
        <v>Elyse Energy</v>
      </c>
      <c r="B556" s="31">
        <f>IFERROR(__xludf.DUMMYFUNCTION("""COMPUTED_VALUE"""),41.81444)</f>
        <v>41.81444</v>
      </c>
      <c r="C556" s="31">
        <f>IFERROR(__xludf.DUMMYFUNCTION("""COMPUTED_VALUE"""),-2.44778)</f>
        <v>-2.44778</v>
      </c>
      <c r="D556" s="31" t="str">
        <f>IFERROR(__xludf.DUMMYFUNCTION("""COMPUTED_VALUE"""),"E-methanol")</f>
        <v>E-methanol</v>
      </c>
      <c r="E556" s="31">
        <f>IFERROR(__xludf.DUMMYFUNCTION("""COMPUTED_VALUE"""),0.0725)</f>
        <v>0.0725</v>
      </c>
    </row>
    <row r="557">
      <c r="A557" s="31" t="str">
        <f>IFERROR(__xludf.DUMMYFUNCTION("""COMPUTED_VALUE"""),"European Energy (developer and joint venture partner)  &amp; Mitsui &amp; Co (joint venture partner)")</f>
        <v>European Energy (developer and joint venture partner)  &amp; Mitsui &amp; Co (joint venture partner)</v>
      </c>
      <c r="B557" s="31">
        <f>IFERROR(__xludf.DUMMYFUNCTION("""COMPUTED_VALUE"""),55.0367)</f>
        <v>55.0367</v>
      </c>
      <c r="C557" s="31">
        <f>IFERROR(__xludf.DUMMYFUNCTION("""COMPUTED_VALUE"""),9.23258)</f>
        <v>9.23258</v>
      </c>
      <c r="D557" s="31" t="str">
        <f>IFERROR(__xludf.DUMMYFUNCTION("""COMPUTED_VALUE"""),"E-methanol")</f>
        <v>E-methanol</v>
      </c>
      <c r="E557" s="31">
        <f>IFERROR(__xludf.DUMMYFUNCTION("""COMPUTED_VALUE"""),0.060899999999999996)</f>
        <v>0.0609</v>
      </c>
    </row>
    <row r="558">
      <c r="A558" s="31" t="str">
        <f>IFERROR(__xludf.DUMMYFUNCTION("""COMPUTED_VALUE"""),"Alkeymia")</f>
        <v>Alkeymia</v>
      </c>
      <c r="B558" s="31">
        <f>IFERROR(__xludf.DUMMYFUNCTION("""COMPUTED_VALUE"""),41.23447504)</f>
        <v>41.23447504</v>
      </c>
      <c r="C558" s="31">
        <f>IFERROR(__xludf.DUMMYFUNCTION("""COMPUTED_VALUE"""),-0.040704104)</f>
        <v>-0.040704104</v>
      </c>
      <c r="D558" s="31" t="str">
        <f>IFERROR(__xludf.DUMMYFUNCTION("""COMPUTED_VALUE"""),"E-methanol")</f>
        <v>E-methanol</v>
      </c>
      <c r="E558" s="31">
        <f>IFERROR(__xludf.DUMMYFUNCTION("""COMPUTED_VALUE"""),0.0435)</f>
        <v>0.0435</v>
      </c>
    </row>
    <row r="559">
      <c r="A559" s="31" t="str">
        <f>IFERROR(__xludf.DUMMYFUNCTION("""COMPUTED_VALUE"""),"European Energy")</f>
        <v>European Energy</v>
      </c>
      <c r="B559" s="31">
        <f>IFERROR(__xludf.DUMMYFUNCTION("""COMPUTED_VALUE"""),56.5651)</f>
        <v>56.5651</v>
      </c>
      <c r="C559" s="31">
        <f>IFERROR(__xludf.DUMMYFUNCTION("""COMPUTED_VALUE"""),9.0309)</f>
        <v>9.0309</v>
      </c>
      <c r="D559" s="31" t="str">
        <f>IFERROR(__xludf.DUMMYFUNCTION("""COMPUTED_VALUE"""),"E-methanol")</f>
        <v>E-methanol</v>
      </c>
      <c r="E559" s="31">
        <f>IFERROR(__xludf.DUMMYFUNCTION("""COMPUTED_VALUE"""),0.0145)</f>
        <v>0.0145</v>
      </c>
    </row>
    <row r="560">
      <c r="A560" s="31" t="str">
        <f>IFERROR(__xludf.DUMMYFUNCTION("""COMPUTED_VALUE"""),"ReIntegrate, Advent")</f>
        <v>ReIntegrate, Advent</v>
      </c>
      <c r="B560" s="31">
        <f>IFERROR(__xludf.DUMMYFUNCTION("""COMPUTED_VALUE"""),56.5655)</f>
        <v>56.5655</v>
      </c>
      <c r="C560" s="31">
        <f>IFERROR(__xludf.DUMMYFUNCTION("""COMPUTED_VALUE"""),9.02194)</f>
        <v>9.02194</v>
      </c>
      <c r="D560" s="31" t="str">
        <f>IFERROR(__xludf.DUMMYFUNCTION("""COMPUTED_VALUE"""),"E-methanol")</f>
        <v>E-methanol</v>
      </c>
      <c r="E560" s="31">
        <f>IFERROR(__xludf.DUMMYFUNCTION("""COMPUTED_VALUE"""),0.0116)</f>
        <v>0.0116</v>
      </c>
    </row>
    <row r="561">
      <c r="A561" s="31"/>
      <c r="B561" s="31"/>
      <c r="C561" s="31"/>
      <c r="D561" s="31"/>
      <c r="E561" s="31"/>
    </row>
    <row r="562">
      <c r="A562" s="31"/>
      <c r="B562" s="31"/>
      <c r="C562" s="31"/>
      <c r="D562" s="31"/>
      <c r="E562" s="31"/>
    </row>
    <row r="563">
      <c r="A563" s="31"/>
      <c r="B563" s="31"/>
      <c r="C563" s="31"/>
      <c r="D563" s="31"/>
      <c r="E563" s="31"/>
    </row>
    <row r="564">
      <c r="A564" s="31"/>
      <c r="B564" s="31"/>
      <c r="C564" s="31"/>
      <c r="D564" s="31"/>
      <c r="E564" s="31"/>
    </row>
    <row r="565">
      <c r="A565" s="31"/>
      <c r="B565" s="31"/>
      <c r="C565" s="31"/>
      <c r="D565" s="31"/>
      <c r="E565" s="31"/>
    </row>
    <row r="566">
      <c r="A566" s="31"/>
      <c r="B566" s="31"/>
      <c r="C566" s="31"/>
      <c r="D566" s="31"/>
      <c r="E566" s="31"/>
    </row>
    <row r="567">
      <c r="A567" s="31"/>
      <c r="B567" s="31"/>
      <c r="C567" s="31"/>
      <c r="D567" s="31"/>
      <c r="E567" s="31"/>
    </row>
    <row r="568">
      <c r="A568" s="31"/>
      <c r="B568" s="31"/>
      <c r="C568" s="31"/>
      <c r="D568" s="31"/>
      <c r="E568" s="31"/>
    </row>
    <row r="569">
      <c r="A569" s="31"/>
      <c r="B569" s="31"/>
      <c r="C569" s="31"/>
      <c r="D569" s="31"/>
      <c r="E569" s="31"/>
    </row>
    <row r="570">
      <c r="A570" s="31"/>
      <c r="B570" s="31"/>
      <c r="C570" s="31"/>
      <c r="D570" s="31"/>
      <c r="E570" s="31"/>
    </row>
    <row r="571">
      <c r="A571" s="31"/>
      <c r="B571" s="31"/>
      <c r="C571" s="31"/>
      <c r="D571" s="31"/>
      <c r="E571" s="31"/>
    </row>
    <row r="572">
      <c r="A572" s="31"/>
      <c r="B572" s="31"/>
      <c r="C572" s="31"/>
      <c r="D572" s="31"/>
      <c r="E572" s="31"/>
    </row>
    <row r="573">
      <c r="A573" s="31"/>
      <c r="B573" s="31"/>
      <c r="C573" s="31"/>
      <c r="D573" s="31"/>
      <c r="E573" s="31"/>
    </row>
    <row r="574">
      <c r="A574" s="31"/>
      <c r="B574" s="31"/>
      <c r="C574" s="31"/>
      <c r="D574" s="31"/>
      <c r="E574" s="31"/>
    </row>
    <row r="575">
      <c r="A575" s="31"/>
      <c r="B575" s="31"/>
      <c r="C575" s="31"/>
      <c r="D575" s="31"/>
      <c r="E575" s="31"/>
    </row>
    <row r="576">
      <c r="A576" s="31"/>
      <c r="B576" s="31"/>
      <c r="C576" s="31"/>
      <c r="D576" s="31"/>
      <c r="E576" s="31"/>
    </row>
    <row r="577">
      <c r="A577" s="31"/>
      <c r="B577" s="31"/>
      <c r="C577" s="31"/>
      <c r="D577" s="31"/>
      <c r="E577" s="31"/>
    </row>
    <row r="578">
      <c r="A578" s="31"/>
      <c r="B578" s="31"/>
      <c r="C578" s="31"/>
      <c r="D578" s="31"/>
      <c r="E578" s="31"/>
    </row>
    <row r="579">
      <c r="A579" s="31"/>
      <c r="B579" s="31"/>
      <c r="C579" s="31"/>
      <c r="D579" s="31"/>
      <c r="E579" s="31"/>
    </row>
    <row r="580">
      <c r="A580" s="31"/>
      <c r="B580" s="31"/>
      <c r="C580" s="31"/>
      <c r="D580" s="31"/>
      <c r="E580" s="31"/>
    </row>
    <row r="581">
      <c r="A581" s="31"/>
      <c r="B581" s="31"/>
      <c r="C581" s="31"/>
      <c r="D581" s="31"/>
      <c r="E581" s="31"/>
    </row>
    <row r="582">
      <c r="A582" s="31"/>
      <c r="B582" s="31"/>
      <c r="C582" s="31"/>
      <c r="D582" s="31"/>
      <c r="E582" s="31"/>
    </row>
    <row r="583">
      <c r="A583" s="31"/>
      <c r="B583" s="31"/>
      <c r="C583" s="31"/>
      <c r="D583" s="31"/>
      <c r="E583" s="31"/>
    </row>
    <row r="584">
      <c r="A584" s="31"/>
      <c r="B584" s="31"/>
      <c r="C584" s="31"/>
      <c r="D584" s="31"/>
      <c r="E584" s="31"/>
    </row>
    <row r="585">
      <c r="A585" s="31"/>
      <c r="B585" s="31"/>
      <c r="C585" s="31"/>
      <c r="D585" s="31"/>
      <c r="E585" s="31"/>
    </row>
    <row r="586">
      <c r="A586" s="31"/>
      <c r="B586" s="31"/>
      <c r="C586" s="31"/>
      <c r="D586" s="31"/>
      <c r="E586" s="31"/>
    </row>
    <row r="587">
      <c r="A587" s="31"/>
      <c r="B587" s="31"/>
      <c r="C587" s="31"/>
      <c r="D587" s="31"/>
      <c r="E587" s="31"/>
    </row>
    <row r="588">
      <c r="A588" s="31"/>
      <c r="B588" s="31"/>
      <c r="C588" s="31"/>
      <c r="D588" s="31"/>
      <c r="E588" s="31"/>
    </row>
    <row r="589">
      <c r="A589" s="31"/>
      <c r="B589" s="31"/>
      <c r="C589" s="31"/>
      <c r="D589" s="31"/>
      <c r="E589" s="31"/>
    </row>
    <row r="590">
      <c r="A590" s="31"/>
      <c r="B590" s="31"/>
      <c r="C590" s="31"/>
      <c r="D590" s="31"/>
      <c r="E590" s="31"/>
    </row>
    <row r="591">
      <c r="A591" s="31"/>
      <c r="B591" s="31"/>
      <c r="C591" s="31"/>
      <c r="D591" s="31"/>
      <c r="E591" s="31"/>
    </row>
    <row r="592">
      <c r="A592" s="31"/>
      <c r="B592" s="31"/>
      <c r="C592" s="31"/>
      <c r="D592" s="31"/>
      <c r="E592" s="31"/>
    </row>
    <row r="593">
      <c r="A593" s="31"/>
      <c r="B593" s="31"/>
      <c r="C593" s="31"/>
      <c r="D593" s="31"/>
      <c r="E593" s="31"/>
    </row>
    <row r="594">
      <c r="A594" s="31"/>
      <c r="B594" s="31"/>
      <c r="C594" s="31"/>
      <c r="D594" s="31"/>
      <c r="E594" s="31"/>
    </row>
    <row r="595">
      <c r="A595" s="31"/>
      <c r="B595" s="31"/>
      <c r="C595" s="31"/>
      <c r="D595" s="31"/>
      <c r="E595" s="31"/>
    </row>
    <row r="596">
      <c r="A596" s="31"/>
      <c r="B596" s="31"/>
      <c r="C596" s="31"/>
      <c r="D596" s="31"/>
      <c r="E596" s="31"/>
    </row>
    <row r="597">
      <c r="A597" s="31"/>
      <c r="B597" s="31"/>
      <c r="C597" s="31"/>
      <c r="D597" s="31"/>
      <c r="E597" s="31"/>
    </row>
    <row r="598">
      <c r="A598" s="31"/>
      <c r="B598" s="31"/>
      <c r="C598" s="31"/>
      <c r="D598" s="31"/>
      <c r="E598" s="31"/>
    </row>
    <row r="599">
      <c r="A599" s="31"/>
      <c r="B599" s="31"/>
      <c r="C599" s="31"/>
      <c r="D599" s="31"/>
      <c r="E599" s="31"/>
    </row>
    <row r="600">
      <c r="A600" s="31"/>
      <c r="B600" s="31"/>
      <c r="C600" s="31"/>
      <c r="D600" s="31"/>
      <c r="E600" s="31"/>
    </row>
    <row r="601">
      <c r="A601" s="31"/>
      <c r="B601" s="31"/>
      <c r="C601" s="31"/>
      <c r="D601" s="31"/>
      <c r="E601" s="31"/>
    </row>
    <row r="602">
      <c r="A602" s="31"/>
      <c r="B602" s="31"/>
      <c r="C602" s="31"/>
      <c r="D602" s="31"/>
      <c r="E602" s="31"/>
    </row>
    <row r="603">
      <c r="A603" s="31"/>
      <c r="B603" s="31"/>
      <c r="C603" s="31"/>
      <c r="D603" s="31"/>
      <c r="E603" s="31"/>
    </row>
    <row r="604">
      <c r="A604" s="31"/>
      <c r="B604" s="31"/>
      <c r="C604" s="31"/>
      <c r="D604" s="31"/>
      <c r="E604" s="31"/>
    </row>
    <row r="605">
      <c r="A605" s="31"/>
      <c r="B605" s="31"/>
      <c r="C605" s="31"/>
      <c r="D605" s="31"/>
      <c r="E605" s="31"/>
    </row>
    <row r="606">
      <c r="A606" s="31"/>
      <c r="B606" s="31"/>
      <c r="C606" s="31"/>
      <c r="D606" s="31"/>
      <c r="E606" s="31"/>
    </row>
    <row r="607">
      <c r="A607" s="31"/>
      <c r="B607" s="31"/>
      <c r="C607" s="31"/>
      <c r="D607" s="31"/>
      <c r="E607" s="31"/>
    </row>
    <row r="608">
      <c r="A608" s="31"/>
      <c r="B608" s="31"/>
      <c r="C608" s="31"/>
      <c r="D608" s="31"/>
      <c r="E608" s="31"/>
    </row>
    <row r="609">
      <c r="A609" s="31"/>
      <c r="B609" s="31"/>
      <c r="C609" s="31"/>
      <c r="D609" s="31"/>
      <c r="E609" s="31"/>
    </row>
    <row r="610">
      <c r="A610" s="31"/>
      <c r="B610" s="31"/>
      <c r="C610" s="31"/>
      <c r="D610" s="31"/>
      <c r="E610" s="31"/>
    </row>
    <row r="611">
      <c r="A611" s="31"/>
      <c r="B611" s="31"/>
      <c r="C611" s="31"/>
      <c r="D611" s="31"/>
      <c r="E611" s="31"/>
    </row>
    <row r="612">
      <c r="A612" s="31"/>
      <c r="B612" s="31"/>
      <c r="C612" s="31"/>
      <c r="D612" s="31"/>
      <c r="E612" s="31"/>
    </row>
    <row r="613">
      <c r="A613" s="31"/>
      <c r="B613" s="31"/>
      <c r="C613" s="31"/>
      <c r="D613" s="31"/>
      <c r="E613" s="31"/>
    </row>
    <row r="614">
      <c r="A614" s="31"/>
      <c r="B614" s="31"/>
      <c r="C614" s="31"/>
      <c r="D614" s="31"/>
      <c r="E614" s="31"/>
    </row>
    <row r="615">
      <c r="A615" s="31"/>
      <c r="B615" s="31"/>
      <c r="C615" s="31"/>
      <c r="D615" s="31"/>
      <c r="E615" s="31"/>
    </row>
    <row r="616">
      <c r="A616" s="31"/>
      <c r="B616" s="31"/>
      <c r="C616" s="31"/>
      <c r="D616" s="31"/>
      <c r="E616" s="31"/>
    </row>
    <row r="617">
      <c r="A617" s="31"/>
      <c r="B617" s="31"/>
      <c r="C617" s="31"/>
      <c r="D617" s="31"/>
      <c r="E617" s="31"/>
    </row>
    <row r="618">
      <c r="A618" s="31"/>
      <c r="B618" s="31"/>
      <c r="C618" s="31"/>
      <c r="D618" s="31"/>
      <c r="E618" s="31"/>
    </row>
    <row r="619">
      <c r="A619" s="31"/>
      <c r="B619" s="31"/>
      <c r="C619" s="31"/>
      <c r="D619" s="31"/>
      <c r="E619" s="31"/>
    </row>
    <row r="620">
      <c r="A620" s="31"/>
      <c r="B620" s="31"/>
      <c r="C620" s="31"/>
      <c r="D620" s="31"/>
      <c r="E620" s="31"/>
    </row>
    <row r="621">
      <c r="A621" s="31"/>
      <c r="B621" s="31"/>
      <c r="C621" s="31"/>
      <c r="D621" s="31"/>
      <c r="E621" s="31"/>
    </row>
    <row r="622">
      <c r="A622" s="31"/>
      <c r="B622" s="31"/>
      <c r="C622" s="31"/>
      <c r="D622" s="31"/>
      <c r="E622" s="31"/>
    </row>
    <row r="623">
      <c r="A623" s="31"/>
      <c r="B623" s="31"/>
      <c r="C623" s="31"/>
      <c r="D623" s="31"/>
      <c r="E623" s="31"/>
    </row>
    <row r="624">
      <c r="A624" s="31"/>
      <c r="B624" s="31"/>
      <c r="C624" s="31"/>
      <c r="D624" s="31"/>
      <c r="E624" s="31"/>
    </row>
    <row r="625">
      <c r="A625" s="31"/>
      <c r="B625" s="31"/>
      <c r="C625" s="31"/>
      <c r="D625" s="31"/>
      <c r="E625" s="31"/>
    </row>
    <row r="626">
      <c r="A626" s="31"/>
      <c r="B626" s="31"/>
      <c r="C626" s="31"/>
      <c r="D626" s="31"/>
      <c r="E626" s="31"/>
    </row>
    <row r="627">
      <c r="A627" s="31"/>
      <c r="B627" s="31"/>
      <c r="C627" s="31"/>
      <c r="D627" s="31"/>
      <c r="E627" s="31"/>
    </row>
    <row r="628">
      <c r="A628" s="31"/>
      <c r="B628" s="31"/>
      <c r="C628" s="31"/>
      <c r="D628" s="31"/>
      <c r="E628" s="31"/>
    </row>
    <row r="629">
      <c r="A629" s="31"/>
      <c r="B629" s="31"/>
      <c r="C629" s="31"/>
      <c r="D629" s="31"/>
      <c r="E629" s="31"/>
    </row>
    <row r="630">
      <c r="A630" s="31"/>
      <c r="B630" s="31"/>
      <c r="C630" s="31"/>
      <c r="D630" s="31"/>
      <c r="E630" s="31"/>
    </row>
    <row r="631">
      <c r="A631" s="31"/>
      <c r="B631" s="31"/>
      <c r="C631" s="31"/>
      <c r="D631" s="31"/>
      <c r="E631" s="31"/>
    </row>
    <row r="632">
      <c r="A632" s="31"/>
      <c r="B632" s="31"/>
      <c r="C632" s="31"/>
      <c r="D632" s="31"/>
      <c r="E632" s="31"/>
    </row>
    <row r="633">
      <c r="A633" s="31"/>
      <c r="B633" s="31"/>
      <c r="C633" s="31"/>
      <c r="D633" s="31"/>
      <c r="E633" s="31"/>
    </row>
    <row r="634">
      <c r="A634" s="31"/>
      <c r="B634" s="31"/>
      <c r="C634" s="31"/>
      <c r="D634" s="31"/>
      <c r="E634" s="31"/>
    </row>
    <row r="635">
      <c r="A635" s="31"/>
      <c r="B635" s="31"/>
      <c r="C635" s="31"/>
      <c r="D635" s="31"/>
      <c r="E635" s="31"/>
    </row>
    <row r="636">
      <c r="A636" s="31"/>
      <c r="B636" s="31"/>
      <c r="C636" s="31"/>
      <c r="D636" s="31"/>
      <c r="E636" s="31"/>
    </row>
    <row r="637">
      <c r="A637" s="31"/>
      <c r="B637" s="31"/>
      <c r="C637" s="31"/>
      <c r="D637" s="31"/>
      <c r="E637" s="31"/>
    </row>
    <row r="638">
      <c r="A638" s="31"/>
      <c r="B638" s="31"/>
      <c r="C638" s="31"/>
      <c r="D638" s="31"/>
      <c r="E638" s="31"/>
    </row>
    <row r="639">
      <c r="A639" s="31"/>
      <c r="B639" s="31"/>
      <c r="C639" s="31"/>
      <c r="D639" s="31"/>
      <c r="E639" s="31"/>
    </row>
    <row r="640">
      <c r="A640" s="31"/>
      <c r="B640" s="31"/>
      <c r="C640" s="31"/>
      <c r="D640" s="31"/>
      <c r="E640" s="31"/>
    </row>
    <row r="641">
      <c r="A641" s="31"/>
      <c r="B641" s="31"/>
      <c r="C641" s="31"/>
      <c r="D641" s="31"/>
      <c r="E641" s="31"/>
    </row>
    <row r="642">
      <c r="A642" s="31"/>
      <c r="B642" s="31"/>
      <c r="C642" s="31"/>
      <c r="D642" s="31"/>
      <c r="E642" s="31"/>
    </row>
    <row r="643">
      <c r="A643" s="31"/>
      <c r="B643" s="31"/>
      <c r="C643" s="31"/>
      <c r="D643" s="31"/>
      <c r="E643" s="31"/>
    </row>
    <row r="644">
      <c r="A644" s="31"/>
      <c r="B644" s="31"/>
      <c r="C644" s="31"/>
      <c r="D644" s="31"/>
      <c r="E644" s="31"/>
    </row>
    <row r="645">
      <c r="A645" s="31"/>
      <c r="B645" s="31"/>
      <c r="C645" s="31"/>
      <c r="D645" s="31"/>
      <c r="E645" s="31"/>
    </row>
    <row r="646">
      <c r="A646" s="31"/>
      <c r="B646" s="31"/>
      <c r="C646" s="31"/>
      <c r="D646" s="31"/>
      <c r="E646" s="31"/>
    </row>
    <row r="647">
      <c r="A647" s="31"/>
      <c r="B647" s="31"/>
      <c r="C647" s="31"/>
      <c r="D647" s="31"/>
      <c r="E647" s="31"/>
    </row>
    <row r="648">
      <c r="A648" s="31"/>
      <c r="B648" s="31"/>
      <c r="C648" s="31"/>
      <c r="D648" s="31"/>
      <c r="E648" s="31"/>
    </row>
    <row r="649">
      <c r="A649" s="31"/>
      <c r="B649" s="31"/>
      <c r="C649" s="31"/>
      <c r="D649" s="31"/>
      <c r="E649" s="31"/>
    </row>
    <row r="650">
      <c r="A650" s="31"/>
      <c r="B650" s="31"/>
      <c r="C650" s="31"/>
      <c r="D650" s="31"/>
      <c r="E650" s="31"/>
    </row>
    <row r="651">
      <c r="A651" s="31"/>
      <c r="B651" s="31"/>
      <c r="C651" s="31"/>
      <c r="D651" s="31"/>
      <c r="E651" s="31"/>
    </row>
    <row r="652">
      <c r="A652" s="31"/>
      <c r="B652" s="31"/>
      <c r="C652" s="31"/>
      <c r="D652" s="31"/>
      <c r="E652" s="31"/>
    </row>
    <row r="653">
      <c r="A653" s="31"/>
      <c r="B653" s="31"/>
      <c r="C653" s="31"/>
      <c r="D653" s="31"/>
      <c r="E653" s="31"/>
    </row>
    <row r="654">
      <c r="A654" s="31"/>
      <c r="B654" s="31"/>
      <c r="C654" s="31"/>
      <c r="D654" s="31"/>
      <c r="E654" s="31"/>
    </row>
    <row r="655">
      <c r="A655" s="31"/>
      <c r="B655" s="31"/>
      <c r="C655" s="31"/>
      <c r="D655" s="31"/>
      <c r="E655" s="31"/>
    </row>
    <row r="656">
      <c r="A656" s="31"/>
      <c r="B656" s="31"/>
      <c r="C656" s="31"/>
      <c r="D656" s="31"/>
      <c r="E656" s="31"/>
    </row>
    <row r="657">
      <c r="A657" s="31"/>
      <c r="B657" s="31"/>
      <c r="C657" s="31"/>
      <c r="D657" s="31"/>
      <c r="E657" s="31"/>
    </row>
    <row r="658">
      <c r="A658" s="31"/>
      <c r="B658" s="31"/>
      <c r="C658" s="31"/>
      <c r="D658" s="31"/>
      <c r="E658" s="31"/>
    </row>
    <row r="659">
      <c r="A659" s="31"/>
      <c r="B659" s="31"/>
      <c r="C659" s="31"/>
      <c r="D659" s="31"/>
      <c r="E659" s="31"/>
    </row>
    <row r="660">
      <c r="A660" s="31"/>
      <c r="B660" s="31"/>
      <c r="C660" s="31"/>
      <c r="D660" s="31"/>
      <c r="E660" s="31"/>
    </row>
    <row r="661">
      <c r="A661" s="31"/>
      <c r="B661" s="31"/>
      <c r="C661" s="31"/>
      <c r="D661" s="31"/>
      <c r="E661" s="31"/>
    </row>
    <row r="662">
      <c r="A662" s="31"/>
      <c r="B662" s="31"/>
      <c r="C662" s="31"/>
      <c r="D662" s="31"/>
      <c r="E662" s="31"/>
    </row>
    <row r="663">
      <c r="A663" s="31"/>
      <c r="B663" s="31"/>
      <c r="C663" s="31"/>
      <c r="D663" s="31"/>
      <c r="E663" s="31"/>
    </row>
    <row r="664">
      <c r="A664" s="31"/>
      <c r="B664" s="31"/>
      <c r="C664" s="31"/>
      <c r="D664" s="31"/>
      <c r="E664" s="31"/>
    </row>
    <row r="665">
      <c r="A665" s="31"/>
      <c r="B665" s="31"/>
      <c r="C665" s="31"/>
      <c r="D665" s="31"/>
      <c r="E665" s="31"/>
    </row>
    <row r="666">
      <c r="A666" s="31"/>
      <c r="B666" s="31"/>
      <c r="C666" s="31"/>
      <c r="D666" s="31"/>
      <c r="E666" s="31"/>
    </row>
    <row r="667">
      <c r="A667" s="31"/>
      <c r="B667" s="31"/>
      <c r="C667" s="31"/>
      <c r="D667" s="31"/>
      <c r="E667" s="31"/>
    </row>
    <row r="668">
      <c r="A668" s="31"/>
      <c r="B668" s="31"/>
      <c r="C668" s="31"/>
      <c r="D668" s="31"/>
      <c r="E668" s="31"/>
    </row>
    <row r="669">
      <c r="A669" s="31"/>
      <c r="B669" s="31"/>
      <c r="C669" s="31"/>
      <c r="D669" s="31"/>
      <c r="E669" s="31"/>
    </row>
    <row r="670">
      <c r="A670" s="31"/>
      <c r="B670" s="31"/>
      <c r="C670" s="31"/>
      <c r="D670" s="31"/>
      <c r="E670" s="31"/>
    </row>
    <row r="671">
      <c r="A671" s="31"/>
      <c r="B671" s="31"/>
      <c r="C671" s="31"/>
      <c r="D671" s="31"/>
      <c r="E671" s="31"/>
    </row>
    <row r="672">
      <c r="A672" s="31"/>
      <c r="B672" s="31"/>
      <c r="C672" s="31"/>
      <c r="D672" s="31"/>
      <c r="E672" s="31"/>
    </row>
    <row r="673">
      <c r="A673" s="31"/>
      <c r="B673" s="31"/>
      <c r="C673" s="31"/>
      <c r="D673" s="31"/>
      <c r="E673" s="31"/>
    </row>
    <row r="674">
      <c r="A674" s="31"/>
      <c r="B674" s="31"/>
      <c r="C674" s="31"/>
      <c r="D674" s="31"/>
      <c r="E674" s="31"/>
    </row>
    <row r="675">
      <c r="A675" s="31"/>
      <c r="B675" s="31"/>
      <c r="C675" s="31"/>
      <c r="D675" s="31"/>
      <c r="E675" s="31"/>
    </row>
    <row r="676">
      <c r="A676" s="31"/>
      <c r="B676" s="31"/>
      <c r="C676" s="31"/>
      <c r="D676" s="31"/>
      <c r="E676" s="31"/>
    </row>
    <row r="677">
      <c r="A677" s="31"/>
      <c r="B677" s="31"/>
      <c r="C677" s="31"/>
      <c r="D677" s="31"/>
      <c r="E677" s="31"/>
    </row>
    <row r="678">
      <c r="A678" s="31"/>
      <c r="B678" s="31"/>
      <c r="C678" s="31"/>
      <c r="D678" s="31"/>
      <c r="E678" s="31"/>
    </row>
    <row r="679">
      <c r="A679" s="31"/>
      <c r="B679" s="31"/>
      <c r="C679" s="31"/>
      <c r="D679" s="31"/>
      <c r="E679" s="31"/>
    </row>
    <row r="680">
      <c r="A680" s="31"/>
      <c r="B680" s="31"/>
      <c r="C680" s="31"/>
      <c r="D680" s="31"/>
      <c r="E680" s="31"/>
    </row>
    <row r="681">
      <c r="A681" s="31"/>
      <c r="B681" s="31"/>
      <c r="C681" s="31"/>
      <c r="D681" s="31"/>
      <c r="E681" s="31"/>
    </row>
    <row r="682">
      <c r="A682" s="31"/>
      <c r="B682" s="31"/>
      <c r="C682" s="31"/>
      <c r="D682" s="31"/>
      <c r="E682" s="31"/>
    </row>
    <row r="683">
      <c r="A683" s="31"/>
      <c r="B683" s="31"/>
      <c r="C683" s="31"/>
      <c r="D683" s="31"/>
      <c r="E683" s="31"/>
    </row>
    <row r="684">
      <c r="A684" s="31"/>
      <c r="B684" s="31"/>
      <c r="C684" s="31"/>
      <c r="D684" s="31"/>
      <c r="E684" s="31"/>
    </row>
    <row r="685">
      <c r="A685" s="31"/>
      <c r="B685" s="31"/>
      <c r="C685" s="31"/>
      <c r="D685" s="31"/>
      <c r="E685" s="31"/>
    </row>
    <row r="686">
      <c r="A686" s="31"/>
      <c r="B686" s="31"/>
      <c r="C686" s="31"/>
      <c r="D686" s="31"/>
      <c r="E686" s="31"/>
    </row>
    <row r="687">
      <c r="A687" s="31"/>
      <c r="B687" s="31"/>
      <c r="C687" s="31"/>
      <c r="D687" s="31"/>
      <c r="E687" s="31"/>
    </row>
    <row r="688">
      <c r="A688" s="31"/>
      <c r="B688" s="31"/>
      <c r="C688" s="31"/>
      <c r="D688" s="31"/>
      <c r="E688" s="31"/>
    </row>
    <row r="689">
      <c r="A689" s="31"/>
      <c r="B689" s="31"/>
      <c r="C689" s="31"/>
      <c r="D689" s="31"/>
      <c r="E689" s="31"/>
    </row>
    <row r="690">
      <c r="A690" s="31"/>
      <c r="B690" s="31"/>
      <c r="C690" s="31"/>
      <c r="D690" s="31"/>
      <c r="E690" s="31"/>
    </row>
    <row r="691">
      <c r="A691" s="31"/>
      <c r="B691" s="31"/>
      <c r="C691" s="31"/>
      <c r="D691" s="31"/>
      <c r="E691" s="31"/>
    </row>
    <row r="692">
      <c r="A692" s="31"/>
      <c r="B692" s="31"/>
      <c r="C692" s="31"/>
      <c r="D692" s="31"/>
      <c r="E692" s="31"/>
    </row>
    <row r="693">
      <c r="A693" s="31"/>
      <c r="B693" s="31"/>
      <c r="C693" s="31"/>
      <c r="D693" s="31"/>
      <c r="E693" s="31"/>
    </row>
    <row r="694">
      <c r="A694" s="31"/>
      <c r="B694" s="31"/>
      <c r="C694" s="31"/>
      <c r="D694" s="31"/>
      <c r="E694" s="31"/>
    </row>
    <row r="695">
      <c r="A695" s="31"/>
      <c r="B695" s="31"/>
      <c r="C695" s="31"/>
      <c r="D695" s="31"/>
      <c r="E695" s="31"/>
    </row>
    <row r="696">
      <c r="A696" s="31"/>
      <c r="B696" s="31"/>
      <c r="C696" s="31"/>
      <c r="D696" s="31"/>
      <c r="E696" s="31"/>
    </row>
    <row r="697">
      <c r="A697" s="31"/>
      <c r="B697" s="31"/>
      <c r="C697" s="31"/>
      <c r="D697" s="31"/>
      <c r="E697" s="31"/>
    </row>
    <row r="698">
      <c r="A698" s="31"/>
      <c r="B698" s="31"/>
      <c r="C698" s="31"/>
      <c r="D698" s="31"/>
      <c r="E698" s="31"/>
    </row>
    <row r="699">
      <c r="A699" s="31"/>
      <c r="B699" s="31"/>
      <c r="C699" s="31"/>
      <c r="D699" s="31"/>
      <c r="E699" s="31"/>
    </row>
    <row r="700">
      <c r="A700" s="31"/>
      <c r="B700" s="31"/>
      <c r="C700" s="31"/>
      <c r="D700" s="31"/>
      <c r="E700" s="31"/>
    </row>
    <row r="701">
      <c r="A701" s="31"/>
      <c r="B701" s="31"/>
      <c r="C701" s="31"/>
      <c r="D701" s="31"/>
      <c r="E701" s="31"/>
    </row>
    <row r="702">
      <c r="A702" s="31"/>
      <c r="B702" s="31"/>
      <c r="C702" s="31"/>
      <c r="D702" s="31"/>
      <c r="E702" s="31"/>
    </row>
    <row r="703">
      <c r="A703" s="31"/>
      <c r="B703" s="31"/>
      <c r="C703" s="31"/>
      <c r="D703" s="31"/>
      <c r="E703" s="31"/>
    </row>
    <row r="704">
      <c r="A704" s="31"/>
      <c r="B704" s="31"/>
      <c r="C704" s="31"/>
      <c r="D704" s="31"/>
      <c r="E704" s="31"/>
    </row>
    <row r="705">
      <c r="A705" s="31"/>
      <c r="B705" s="31"/>
      <c r="C705" s="31"/>
      <c r="D705" s="31"/>
      <c r="E705" s="31"/>
    </row>
    <row r="706">
      <c r="A706" s="31"/>
      <c r="B706" s="31"/>
      <c r="C706" s="31"/>
      <c r="D706" s="31"/>
      <c r="E706" s="31"/>
    </row>
    <row r="707">
      <c r="A707" s="31"/>
      <c r="B707" s="31"/>
      <c r="C707" s="31"/>
      <c r="D707" s="31"/>
      <c r="E707" s="31"/>
    </row>
    <row r="708">
      <c r="A708" s="31"/>
      <c r="B708" s="31"/>
      <c r="C708" s="31"/>
      <c r="D708" s="31"/>
      <c r="E708" s="31"/>
    </row>
    <row r="709">
      <c r="A709" s="31"/>
      <c r="B709" s="31"/>
      <c r="C709" s="31"/>
      <c r="D709" s="31"/>
      <c r="E709" s="31"/>
    </row>
    <row r="710">
      <c r="A710" s="31"/>
      <c r="B710" s="31"/>
      <c r="C710" s="31"/>
      <c r="D710" s="31"/>
      <c r="E710" s="31"/>
    </row>
    <row r="711">
      <c r="A711" s="31"/>
      <c r="B711" s="31"/>
      <c r="C711" s="31"/>
      <c r="D711" s="31"/>
      <c r="E711" s="31"/>
    </row>
    <row r="712">
      <c r="A712" s="31"/>
      <c r="B712" s="31"/>
      <c r="C712" s="31"/>
      <c r="D712" s="31"/>
      <c r="E712" s="31"/>
    </row>
    <row r="713">
      <c r="A713" s="31"/>
      <c r="B713" s="31"/>
      <c r="C713" s="31"/>
      <c r="D713" s="31"/>
      <c r="E713" s="31"/>
    </row>
    <row r="714">
      <c r="A714" s="31"/>
      <c r="B714" s="31"/>
      <c r="C714" s="31"/>
      <c r="D714" s="31"/>
      <c r="E714" s="31"/>
    </row>
    <row r="715">
      <c r="A715" s="31"/>
      <c r="B715" s="31"/>
      <c r="C715" s="31"/>
      <c r="D715" s="31"/>
      <c r="E715" s="31"/>
    </row>
    <row r="716">
      <c r="A716" s="31"/>
      <c r="B716" s="31"/>
      <c r="C716" s="31"/>
      <c r="D716" s="31"/>
      <c r="E716" s="31"/>
    </row>
    <row r="717">
      <c r="A717" s="31"/>
      <c r="B717" s="31"/>
      <c r="C717" s="31"/>
      <c r="D717" s="31"/>
      <c r="E717" s="31"/>
    </row>
    <row r="718">
      <c r="A718" s="31"/>
      <c r="B718" s="31"/>
      <c r="C718" s="31"/>
      <c r="D718" s="31"/>
      <c r="E718" s="31"/>
    </row>
    <row r="719">
      <c r="A719" s="31"/>
      <c r="B719" s="31"/>
      <c r="C719" s="31"/>
      <c r="D719" s="31"/>
      <c r="E719" s="31"/>
    </row>
    <row r="720">
      <c r="A720" s="31"/>
      <c r="B720" s="31"/>
      <c r="C720" s="31"/>
      <c r="D720" s="31"/>
      <c r="E720" s="31"/>
    </row>
    <row r="721">
      <c r="A721" s="31"/>
      <c r="B721" s="31"/>
      <c r="C721" s="31"/>
      <c r="D721" s="31"/>
      <c r="E721" s="31"/>
    </row>
    <row r="722">
      <c r="A722" s="31"/>
      <c r="B722" s="31"/>
      <c r="C722" s="31"/>
      <c r="D722" s="31"/>
      <c r="E722" s="31"/>
    </row>
    <row r="723">
      <c r="A723" s="31"/>
      <c r="B723" s="31"/>
      <c r="C723" s="31"/>
      <c r="D723" s="31"/>
      <c r="E723" s="31"/>
    </row>
    <row r="724">
      <c r="A724" s="31"/>
      <c r="B724" s="31"/>
      <c r="C724" s="31"/>
      <c r="D724" s="31"/>
      <c r="E724" s="31"/>
    </row>
    <row r="725">
      <c r="A725" s="31"/>
      <c r="B725" s="31"/>
      <c r="C725" s="31"/>
      <c r="D725" s="31"/>
      <c r="E725" s="31"/>
    </row>
    <row r="726">
      <c r="A726" s="31"/>
      <c r="B726" s="31"/>
      <c r="C726" s="31"/>
      <c r="D726" s="31"/>
      <c r="E726" s="31"/>
    </row>
    <row r="727">
      <c r="A727" s="31"/>
      <c r="B727" s="31"/>
      <c r="C727" s="31"/>
      <c r="D727" s="31"/>
      <c r="E727" s="31"/>
    </row>
    <row r="728">
      <c r="A728" s="31"/>
      <c r="B728" s="31"/>
      <c r="C728" s="31"/>
      <c r="D728" s="31"/>
      <c r="E728" s="31"/>
    </row>
    <row r="729">
      <c r="A729" s="31"/>
      <c r="B729" s="31"/>
      <c r="C729" s="31"/>
      <c r="D729" s="31"/>
      <c r="E729" s="31"/>
    </row>
    <row r="730">
      <c r="A730" s="31"/>
      <c r="B730" s="31"/>
      <c r="C730" s="31"/>
      <c r="D730" s="31"/>
      <c r="E730" s="31"/>
    </row>
    <row r="731">
      <c r="A731" s="31"/>
      <c r="B731" s="31"/>
      <c r="C731" s="31"/>
      <c r="D731" s="31"/>
      <c r="E731" s="31"/>
    </row>
    <row r="732">
      <c r="A732" s="31"/>
      <c r="B732" s="31"/>
      <c r="C732" s="31"/>
      <c r="D732" s="31"/>
      <c r="E732" s="31"/>
    </row>
    <row r="733">
      <c r="A733" s="31"/>
      <c r="B733" s="31"/>
      <c r="C733" s="31"/>
      <c r="D733" s="31"/>
      <c r="E733" s="31"/>
    </row>
    <row r="734">
      <c r="A734" s="31"/>
      <c r="B734" s="31"/>
      <c r="C734" s="31"/>
      <c r="D734" s="31"/>
      <c r="E734" s="31"/>
    </row>
    <row r="735">
      <c r="A735" s="31"/>
      <c r="B735" s="31"/>
      <c r="C735" s="31"/>
      <c r="D735" s="31"/>
      <c r="E735" s="31"/>
    </row>
    <row r="736">
      <c r="A736" s="31"/>
      <c r="B736" s="31"/>
      <c r="C736" s="31"/>
      <c r="D736" s="31"/>
      <c r="E736" s="31"/>
    </row>
    <row r="737">
      <c r="A737" s="31"/>
      <c r="B737" s="31"/>
      <c r="C737" s="31"/>
      <c r="D737" s="31"/>
      <c r="E737" s="31"/>
    </row>
    <row r="738">
      <c r="A738" s="31"/>
      <c r="B738" s="31"/>
      <c r="C738" s="31"/>
      <c r="D738" s="31"/>
      <c r="E738" s="31"/>
    </row>
    <row r="739">
      <c r="A739" s="31"/>
      <c r="B739" s="31"/>
      <c r="C739" s="31"/>
      <c r="D739" s="31"/>
      <c r="E739" s="31"/>
    </row>
    <row r="740">
      <c r="A740" s="31"/>
      <c r="B740" s="31"/>
      <c r="C740" s="31"/>
      <c r="D740" s="31"/>
      <c r="E740" s="31"/>
    </row>
    <row r="741">
      <c r="A741" s="31"/>
      <c r="B741" s="31"/>
      <c r="C741" s="31"/>
      <c r="D741" s="31"/>
      <c r="E741" s="31"/>
    </row>
    <row r="742">
      <c r="A742" s="31"/>
      <c r="B742" s="31"/>
      <c r="C742" s="31"/>
      <c r="D742" s="31"/>
      <c r="E742" s="31"/>
    </row>
    <row r="743">
      <c r="A743" s="31"/>
      <c r="B743" s="31"/>
      <c r="C743" s="31"/>
      <c r="D743" s="31"/>
      <c r="E743" s="31"/>
    </row>
    <row r="744">
      <c r="A744" s="31"/>
      <c r="B744" s="31"/>
      <c r="C744" s="31"/>
      <c r="D744" s="31"/>
      <c r="E744" s="31"/>
    </row>
    <row r="745">
      <c r="A745" s="31"/>
      <c r="B745" s="31"/>
      <c r="C745" s="31"/>
      <c r="D745" s="31"/>
      <c r="E745" s="31"/>
    </row>
    <row r="746">
      <c r="A746" s="31"/>
      <c r="B746" s="31"/>
      <c r="C746" s="31"/>
      <c r="D746" s="31"/>
      <c r="E746" s="31"/>
    </row>
    <row r="747">
      <c r="A747" s="31"/>
      <c r="B747" s="31"/>
      <c r="C747" s="31"/>
      <c r="D747" s="31"/>
      <c r="E747" s="31"/>
    </row>
    <row r="748">
      <c r="A748" s="31"/>
      <c r="B748" s="31"/>
      <c r="C748" s="31"/>
      <c r="D748" s="31"/>
      <c r="E748" s="31"/>
    </row>
    <row r="749">
      <c r="A749" s="31"/>
      <c r="B749" s="31"/>
      <c r="C749" s="31"/>
      <c r="D749" s="31"/>
      <c r="E749" s="31"/>
    </row>
    <row r="750">
      <c r="A750" s="31"/>
      <c r="B750" s="31"/>
      <c r="C750" s="31"/>
      <c r="D750" s="31"/>
      <c r="E750" s="31"/>
    </row>
    <row r="751">
      <c r="A751" s="31"/>
      <c r="B751" s="31"/>
      <c r="C751" s="31"/>
      <c r="D751" s="31"/>
      <c r="E751" s="31"/>
    </row>
    <row r="752">
      <c r="A752" s="31"/>
      <c r="B752" s="31"/>
      <c r="C752" s="31"/>
      <c r="D752" s="31"/>
      <c r="E752" s="31"/>
    </row>
    <row r="753">
      <c r="A753" s="31"/>
      <c r="B753" s="31"/>
      <c r="C753" s="31"/>
      <c r="D753" s="31"/>
      <c r="E753" s="31"/>
    </row>
    <row r="754">
      <c r="A754" s="31"/>
      <c r="B754" s="31"/>
      <c r="C754" s="31"/>
      <c r="D754" s="31"/>
      <c r="E754" s="31"/>
    </row>
    <row r="755">
      <c r="A755" s="31"/>
      <c r="B755" s="31"/>
      <c r="C755" s="31"/>
      <c r="D755" s="31"/>
      <c r="E755" s="31"/>
    </row>
    <row r="756">
      <c r="A756" s="31"/>
      <c r="B756" s="31"/>
      <c r="C756" s="31"/>
      <c r="D756" s="31"/>
      <c r="E756" s="31"/>
    </row>
    <row r="757">
      <c r="A757" s="31"/>
      <c r="B757" s="31"/>
      <c r="C757" s="31"/>
      <c r="D757" s="31"/>
      <c r="E757" s="31"/>
    </row>
    <row r="758">
      <c r="A758" s="31"/>
      <c r="B758" s="31"/>
      <c r="C758" s="31"/>
      <c r="D758" s="31"/>
      <c r="E758" s="31"/>
    </row>
    <row r="759">
      <c r="A759" s="31"/>
      <c r="B759" s="31"/>
      <c r="C759" s="31"/>
      <c r="D759" s="31"/>
      <c r="E759" s="31"/>
    </row>
    <row r="760">
      <c r="A760" s="31"/>
      <c r="B760" s="31"/>
      <c r="C760" s="31"/>
      <c r="D760" s="31"/>
      <c r="E760" s="31"/>
    </row>
    <row r="761">
      <c r="A761" s="31"/>
      <c r="B761" s="31"/>
      <c r="C761" s="31"/>
      <c r="D761" s="31"/>
      <c r="E761" s="31"/>
    </row>
    <row r="762">
      <c r="A762" s="31"/>
      <c r="B762" s="31"/>
      <c r="C762" s="31"/>
      <c r="D762" s="31"/>
      <c r="E762" s="31"/>
    </row>
    <row r="763">
      <c r="A763" s="31"/>
      <c r="B763" s="31"/>
      <c r="C763" s="31"/>
      <c r="D763" s="31"/>
      <c r="E763" s="31"/>
    </row>
    <row r="764">
      <c r="A764" s="31"/>
      <c r="B764" s="31"/>
      <c r="C764" s="31"/>
      <c r="D764" s="31"/>
      <c r="E764" s="31"/>
    </row>
    <row r="765">
      <c r="A765" s="31"/>
      <c r="B765" s="31"/>
      <c r="C765" s="31"/>
      <c r="D765" s="31"/>
      <c r="E765" s="31"/>
    </row>
    <row r="766">
      <c r="A766" s="31"/>
      <c r="B766" s="31"/>
      <c r="C766" s="31"/>
      <c r="D766" s="31"/>
      <c r="E766" s="31"/>
    </row>
    <row r="767">
      <c r="A767" s="31"/>
      <c r="B767" s="31"/>
      <c r="C767" s="31"/>
      <c r="D767" s="31"/>
      <c r="E767" s="31"/>
    </row>
    <row r="768">
      <c r="A768" s="31"/>
      <c r="B768" s="31"/>
      <c r="C768" s="31"/>
      <c r="D768" s="31"/>
      <c r="E768" s="31"/>
    </row>
    <row r="769">
      <c r="A769" s="31"/>
      <c r="B769" s="31"/>
      <c r="C769" s="31"/>
      <c r="D769" s="31"/>
      <c r="E769" s="31"/>
    </row>
    <row r="770">
      <c r="A770" s="31"/>
      <c r="B770" s="31"/>
      <c r="C770" s="31"/>
      <c r="D770" s="31"/>
      <c r="E770" s="31"/>
    </row>
    <row r="771">
      <c r="A771" s="31"/>
      <c r="B771" s="31"/>
      <c r="C771" s="31"/>
      <c r="D771" s="31"/>
      <c r="E771" s="31"/>
    </row>
    <row r="772">
      <c r="A772" s="31"/>
      <c r="B772" s="31"/>
      <c r="C772" s="31"/>
      <c r="D772" s="31"/>
      <c r="E772" s="31"/>
    </row>
    <row r="773">
      <c r="A773" s="31"/>
      <c r="B773" s="31"/>
      <c r="C773" s="31"/>
      <c r="D773" s="31"/>
      <c r="E773" s="31"/>
    </row>
    <row r="774">
      <c r="A774" s="31"/>
      <c r="B774" s="31"/>
      <c r="C774" s="31"/>
      <c r="D774" s="31"/>
      <c r="E774" s="31"/>
    </row>
    <row r="775">
      <c r="A775" s="31"/>
      <c r="B775" s="31"/>
      <c r="C775" s="31"/>
      <c r="D775" s="31"/>
      <c r="E775" s="31"/>
    </row>
    <row r="776">
      <c r="A776" s="31"/>
      <c r="B776" s="31"/>
      <c r="C776" s="31"/>
      <c r="D776" s="31"/>
      <c r="E776" s="31"/>
    </row>
    <row r="777">
      <c r="A777" s="31"/>
      <c r="B777" s="31"/>
      <c r="C777" s="31"/>
      <c r="D777" s="31"/>
      <c r="E777" s="31"/>
    </row>
    <row r="778">
      <c r="A778" s="31"/>
      <c r="B778" s="31"/>
      <c r="C778" s="31"/>
      <c r="D778" s="31"/>
      <c r="E778" s="31"/>
    </row>
    <row r="779">
      <c r="A779" s="31"/>
      <c r="B779" s="31"/>
      <c r="C779" s="31"/>
      <c r="D779" s="31"/>
      <c r="E779" s="31"/>
    </row>
    <row r="780">
      <c r="A780" s="31"/>
      <c r="B780" s="31"/>
      <c r="C780" s="31"/>
      <c r="D780" s="31"/>
      <c r="E780" s="31"/>
    </row>
    <row r="781">
      <c r="A781" s="31"/>
      <c r="B781" s="31"/>
      <c r="C781" s="31"/>
      <c r="D781" s="31"/>
      <c r="E781" s="31"/>
    </row>
    <row r="782">
      <c r="A782" s="31"/>
      <c r="B782" s="31"/>
      <c r="C782" s="31"/>
      <c r="D782" s="31"/>
      <c r="E782" s="31"/>
    </row>
    <row r="783">
      <c r="A783" s="31"/>
      <c r="B783" s="31"/>
      <c r="C783" s="31"/>
      <c r="D783" s="31"/>
      <c r="E783" s="31"/>
    </row>
    <row r="784">
      <c r="A784" s="31"/>
      <c r="B784" s="31"/>
      <c r="C784" s="31"/>
      <c r="D784" s="31"/>
      <c r="E784" s="31"/>
    </row>
    <row r="785">
      <c r="A785" s="31"/>
      <c r="B785" s="31"/>
      <c r="C785" s="31"/>
      <c r="D785" s="31"/>
      <c r="E785" s="31"/>
    </row>
    <row r="786">
      <c r="A786" s="31"/>
      <c r="B786" s="31"/>
      <c r="C786" s="31"/>
      <c r="D786" s="31"/>
      <c r="E786" s="31"/>
    </row>
    <row r="787">
      <c r="A787" s="31"/>
      <c r="B787" s="31"/>
      <c r="C787" s="31"/>
      <c r="D787" s="31"/>
      <c r="E787" s="31"/>
    </row>
    <row r="788">
      <c r="A788" s="31"/>
      <c r="B788" s="31"/>
      <c r="C788" s="31"/>
      <c r="D788" s="31"/>
      <c r="E788" s="31"/>
    </row>
    <row r="789">
      <c r="A789" s="31"/>
      <c r="B789" s="31"/>
      <c r="C789" s="31"/>
      <c r="D789" s="31"/>
      <c r="E789" s="31"/>
    </row>
    <row r="790">
      <c r="A790" s="31"/>
      <c r="B790" s="31"/>
      <c r="C790" s="31"/>
      <c r="D790" s="31"/>
      <c r="E790" s="31"/>
    </row>
    <row r="791">
      <c r="A791" s="31"/>
      <c r="B791" s="31"/>
      <c r="C791" s="31"/>
      <c r="D791" s="31"/>
      <c r="E791" s="31"/>
    </row>
    <row r="792">
      <c r="A792" s="31"/>
      <c r="B792" s="31"/>
      <c r="C792" s="31"/>
      <c r="D792" s="31"/>
      <c r="E792" s="31"/>
    </row>
    <row r="793">
      <c r="A793" s="31"/>
      <c r="B793" s="31"/>
      <c r="C793" s="31"/>
      <c r="D793" s="31"/>
      <c r="E793" s="31"/>
    </row>
    <row r="794">
      <c r="A794" s="31"/>
      <c r="B794" s="31"/>
      <c r="C794" s="31"/>
      <c r="D794" s="31"/>
      <c r="E794" s="31"/>
    </row>
    <row r="795">
      <c r="A795" s="31"/>
      <c r="B795" s="31"/>
      <c r="C795" s="31"/>
      <c r="D795" s="31"/>
      <c r="E795" s="31"/>
    </row>
    <row r="796">
      <c r="A796" s="31"/>
      <c r="B796" s="31"/>
      <c r="C796" s="31"/>
      <c r="D796" s="31"/>
      <c r="E796" s="31"/>
    </row>
    <row r="797">
      <c r="A797" s="31"/>
      <c r="B797" s="31"/>
      <c r="C797" s="31"/>
      <c r="D797" s="31"/>
      <c r="E797" s="31"/>
    </row>
    <row r="798">
      <c r="A798" s="31"/>
      <c r="B798" s="31"/>
      <c r="C798" s="31"/>
      <c r="D798" s="31"/>
      <c r="E798" s="31"/>
    </row>
    <row r="799">
      <c r="A799" s="31"/>
      <c r="B799" s="31"/>
      <c r="C799" s="31"/>
      <c r="D799" s="31"/>
      <c r="E799" s="31"/>
    </row>
    <row r="800">
      <c r="A800" s="31"/>
      <c r="B800" s="31"/>
      <c r="C800" s="31"/>
      <c r="D800" s="31"/>
      <c r="E800" s="31"/>
    </row>
    <row r="801">
      <c r="A801" s="31"/>
      <c r="B801" s="31"/>
      <c r="C801" s="31"/>
      <c r="D801" s="31"/>
      <c r="E801" s="31"/>
    </row>
    <row r="802">
      <c r="A802" s="31"/>
      <c r="B802" s="31"/>
      <c r="C802" s="31"/>
      <c r="D802" s="31"/>
      <c r="E802" s="31"/>
    </row>
    <row r="803">
      <c r="A803" s="31"/>
      <c r="B803" s="31"/>
      <c r="C803" s="31"/>
      <c r="D803" s="31"/>
      <c r="E803" s="31"/>
    </row>
    <row r="804">
      <c r="A804" s="31"/>
      <c r="B804" s="31"/>
      <c r="C804" s="31"/>
      <c r="D804" s="31"/>
      <c r="E804" s="31"/>
    </row>
    <row r="805">
      <c r="A805" s="31"/>
      <c r="B805" s="31"/>
      <c r="C805" s="31"/>
      <c r="D805" s="31"/>
      <c r="E805" s="31"/>
    </row>
    <row r="806">
      <c r="A806" s="31"/>
      <c r="B806" s="31"/>
      <c r="C806" s="31"/>
      <c r="D806" s="31"/>
      <c r="E806" s="31"/>
    </row>
    <row r="807">
      <c r="A807" s="31"/>
      <c r="B807" s="31"/>
      <c r="C807" s="31"/>
      <c r="D807" s="31"/>
      <c r="E807" s="31"/>
    </row>
    <row r="808">
      <c r="A808" s="31"/>
      <c r="B808" s="31"/>
      <c r="C808" s="31"/>
      <c r="D808" s="31"/>
      <c r="E808" s="31"/>
    </row>
    <row r="809">
      <c r="A809" s="31"/>
      <c r="B809" s="31"/>
      <c r="C809" s="31"/>
      <c r="D809" s="31"/>
      <c r="E809" s="31"/>
    </row>
    <row r="810">
      <c r="A810" s="31"/>
      <c r="B810" s="31"/>
      <c r="C810" s="31"/>
      <c r="D810" s="31"/>
      <c r="E810" s="31"/>
    </row>
    <row r="811">
      <c r="A811" s="31"/>
      <c r="B811" s="31"/>
      <c r="C811" s="31"/>
      <c r="D811" s="31"/>
      <c r="E811" s="31"/>
    </row>
    <row r="812">
      <c r="A812" s="31"/>
      <c r="B812" s="31"/>
      <c r="C812" s="31"/>
      <c r="D812" s="31"/>
      <c r="E812" s="31"/>
    </row>
    <row r="813">
      <c r="A813" s="31"/>
      <c r="B813" s="31"/>
      <c r="C813" s="31"/>
      <c r="D813" s="31"/>
      <c r="E813" s="31"/>
    </row>
    <row r="814">
      <c r="A814" s="31"/>
      <c r="B814" s="31"/>
      <c r="C814" s="31"/>
      <c r="D814" s="31"/>
      <c r="E814" s="31"/>
    </row>
    <row r="815">
      <c r="A815" s="31"/>
      <c r="B815" s="31"/>
      <c r="C815" s="31"/>
      <c r="D815" s="31"/>
      <c r="E815" s="31"/>
    </row>
    <row r="816">
      <c r="A816" s="31"/>
      <c r="B816" s="31"/>
      <c r="C816" s="31"/>
      <c r="D816" s="31"/>
      <c r="E816" s="31"/>
    </row>
    <row r="817">
      <c r="A817" s="31"/>
      <c r="B817" s="31"/>
      <c r="C817" s="31"/>
      <c r="D817" s="31"/>
      <c r="E817" s="31"/>
    </row>
    <row r="818">
      <c r="A818" s="31"/>
      <c r="B818" s="31"/>
      <c r="C818" s="31"/>
      <c r="D818" s="31"/>
      <c r="E818" s="31"/>
    </row>
    <row r="819">
      <c r="A819" s="31"/>
      <c r="B819" s="31"/>
      <c r="C819" s="31"/>
      <c r="D819" s="31"/>
      <c r="E819" s="31"/>
    </row>
    <row r="820">
      <c r="A820" s="31"/>
      <c r="B820" s="31"/>
      <c r="C820" s="31"/>
      <c r="D820" s="31"/>
      <c r="E820" s="31"/>
    </row>
    <row r="821">
      <c r="A821" s="31"/>
      <c r="B821" s="31"/>
      <c r="C821" s="31"/>
      <c r="D821" s="31"/>
      <c r="E821" s="31"/>
    </row>
    <row r="822">
      <c r="A822" s="31"/>
      <c r="B822" s="31"/>
      <c r="C822" s="31"/>
      <c r="D822" s="31"/>
      <c r="E822" s="31"/>
    </row>
    <row r="823">
      <c r="A823" s="31"/>
      <c r="B823" s="31"/>
      <c r="C823" s="31"/>
      <c r="D823" s="31"/>
      <c r="E823" s="31"/>
    </row>
    <row r="824">
      <c r="A824" s="31"/>
      <c r="B824" s="31"/>
      <c r="C824" s="31"/>
      <c r="D824" s="31"/>
      <c r="E824" s="31"/>
    </row>
    <row r="825">
      <c r="A825" s="31"/>
      <c r="B825" s="31"/>
      <c r="C825" s="31"/>
      <c r="D825" s="31"/>
      <c r="E825" s="31"/>
    </row>
    <row r="826">
      <c r="A826" s="31"/>
      <c r="B826" s="31"/>
      <c r="C826" s="31"/>
      <c r="D826" s="31"/>
      <c r="E826" s="31"/>
    </row>
    <row r="827">
      <c r="A827" s="31"/>
      <c r="B827" s="31"/>
      <c r="C827" s="31"/>
      <c r="D827" s="31"/>
      <c r="E827" s="31"/>
    </row>
    <row r="828">
      <c r="A828" s="31"/>
      <c r="B828" s="31"/>
      <c r="C828" s="31"/>
      <c r="D828" s="31"/>
      <c r="E828" s="31"/>
    </row>
    <row r="829">
      <c r="A829" s="31"/>
      <c r="B829" s="31"/>
      <c r="C829" s="31"/>
      <c r="D829" s="31"/>
      <c r="E829" s="31"/>
    </row>
    <row r="830">
      <c r="A830" s="31"/>
      <c r="B830" s="31"/>
      <c r="C830" s="31"/>
      <c r="D830" s="31"/>
      <c r="E830" s="31"/>
    </row>
    <row r="831">
      <c r="A831" s="31"/>
      <c r="B831" s="31"/>
      <c r="C831" s="31"/>
      <c r="D831" s="31"/>
      <c r="E831" s="31"/>
    </row>
    <row r="832">
      <c r="A832" s="31"/>
      <c r="B832" s="31"/>
      <c r="C832" s="31"/>
      <c r="D832" s="31"/>
      <c r="E832" s="31"/>
    </row>
    <row r="833">
      <c r="A833" s="31"/>
      <c r="B833" s="31"/>
      <c r="C833" s="31"/>
      <c r="D833" s="31"/>
      <c r="E833" s="31"/>
    </row>
    <row r="834">
      <c r="A834" s="31"/>
      <c r="B834" s="31"/>
      <c r="C834" s="31"/>
      <c r="D834" s="31"/>
      <c r="E834" s="31"/>
    </row>
    <row r="835">
      <c r="A835" s="31"/>
      <c r="B835" s="31"/>
      <c r="C835" s="31"/>
      <c r="D835" s="31"/>
      <c r="E835" s="31"/>
    </row>
    <row r="836">
      <c r="A836" s="31"/>
      <c r="B836" s="31"/>
      <c r="C836" s="31"/>
      <c r="D836" s="31"/>
      <c r="E836" s="31"/>
    </row>
    <row r="837">
      <c r="A837" s="31"/>
      <c r="B837" s="31"/>
      <c r="C837" s="31"/>
      <c r="D837" s="31"/>
      <c r="E837" s="31"/>
    </row>
    <row r="838">
      <c r="A838" s="31"/>
      <c r="B838" s="31"/>
      <c r="C838" s="31"/>
      <c r="D838" s="31"/>
      <c r="E838" s="31"/>
    </row>
    <row r="839">
      <c r="A839" s="31"/>
      <c r="B839" s="31"/>
      <c r="C839" s="31"/>
      <c r="D839" s="31"/>
      <c r="E839" s="31"/>
    </row>
    <row r="840">
      <c r="A840" s="31"/>
      <c r="B840" s="31"/>
      <c r="C840" s="31"/>
      <c r="D840" s="31"/>
      <c r="E840" s="31"/>
    </row>
    <row r="841">
      <c r="A841" s="31"/>
      <c r="B841" s="31"/>
      <c r="C841" s="31"/>
      <c r="D841" s="31"/>
      <c r="E841" s="31"/>
    </row>
    <row r="842">
      <c r="A842" s="31"/>
      <c r="B842" s="31"/>
      <c r="C842" s="31"/>
      <c r="D842" s="31"/>
      <c r="E842" s="31"/>
    </row>
    <row r="843">
      <c r="A843" s="31"/>
      <c r="B843" s="31"/>
      <c r="C843" s="31"/>
      <c r="D843" s="31"/>
      <c r="E843" s="31"/>
    </row>
    <row r="844">
      <c r="A844" s="31"/>
      <c r="B844" s="31"/>
      <c r="C844" s="31"/>
      <c r="D844" s="31"/>
      <c r="E844" s="31"/>
    </row>
    <row r="845">
      <c r="A845" s="31"/>
      <c r="B845" s="31"/>
      <c r="C845" s="31"/>
      <c r="D845" s="31"/>
      <c r="E845" s="31"/>
    </row>
    <row r="846">
      <c r="A846" s="31"/>
      <c r="B846" s="31"/>
      <c r="C846" s="31"/>
      <c r="D846" s="31"/>
      <c r="E846" s="31"/>
    </row>
    <row r="847">
      <c r="A847" s="31"/>
      <c r="B847" s="31"/>
      <c r="C847" s="31"/>
      <c r="D847" s="31"/>
      <c r="E847" s="31"/>
    </row>
    <row r="848">
      <c r="A848" s="31"/>
      <c r="B848" s="31"/>
      <c r="C848" s="31"/>
      <c r="D848" s="31"/>
      <c r="E848" s="31"/>
    </row>
    <row r="849">
      <c r="A849" s="31"/>
      <c r="B849" s="31"/>
      <c r="C849" s="31"/>
      <c r="D849" s="31"/>
      <c r="E849" s="31"/>
    </row>
    <row r="850">
      <c r="A850" s="31"/>
      <c r="B850" s="31"/>
      <c r="C850" s="31"/>
      <c r="D850" s="31"/>
      <c r="E850" s="31"/>
    </row>
    <row r="851">
      <c r="A851" s="31"/>
      <c r="B851" s="31"/>
      <c r="C851" s="31"/>
      <c r="D851" s="31"/>
      <c r="E851" s="31"/>
    </row>
    <row r="852">
      <c r="A852" s="31"/>
      <c r="B852" s="31"/>
      <c r="C852" s="31"/>
      <c r="D852" s="31"/>
      <c r="E852" s="31"/>
    </row>
    <row r="853">
      <c r="A853" s="31"/>
      <c r="B853" s="31"/>
      <c r="C853" s="31"/>
      <c r="D853" s="31"/>
      <c r="E853" s="31"/>
    </row>
    <row r="854">
      <c r="A854" s="31"/>
      <c r="B854" s="31"/>
      <c r="C854" s="31"/>
      <c r="D854" s="31"/>
      <c r="E854" s="31"/>
    </row>
    <row r="855">
      <c r="A855" s="31"/>
      <c r="B855" s="31"/>
      <c r="C855" s="31"/>
      <c r="D855" s="31"/>
      <c r="E855" s="31"/>
    </row>
    <row r="856">
      <c r="A856" s="31"/>
      <c r="B856" s="31"/>
      <c r="C856" s="31"/>
      <c r="D856" s="31"/>
      <c r="E856" s="31"/>
    </row>
    <row r="857">
      <c r="A857" s="31"/>
      <c r="B857" s="31"/>
      <c r="C857" s="31"/>
      <c r="D857" s="31"/>
      <c r="E857" s="31"/>
    </row>
    <row r="858">
      <c r="A858" s="31"/>
      <c r="B858" s="31"/>
      <c r="C858" s="31"/>
      <c r="D858" s="31"/>
      <c r="E858" s="31"/>
    </row>
    <row r="859">
      <c r="A859" s="31"/>
      <c r="B859" s="31"/>
      <c r="C859" s="31"/>
      <c r="D859" s="31"/>
      <c r="E859" s="31"/>
    </row>
    <row r="860">
      <c r="A860" s="31"/>
      <c r="B860" s="31"/>
      <c r="C860" s="31"/>
      <c r="D860" s="31"/>
      <c r="E860" s="31"/>
    </row>
    <row r="861">
      <c r="A861" s="31"/>
      <c r="B861" s="31"/>
      <c r="C861" s="31"/>
      <c r="D861" s="31"/>
      <c r="E861" s="31"/>
    </row>
    <row r="862">
      <c r="A862" s="31"/>
      <c r="B862" s="31"/>
      <c r="C862" s="31"/>
      <c r="D862" s="31"/>
      <c r="E862" s="31"/>
    </row>
    <row r="863">
      <c r="A863" s="31"/>
      <c r="B863" s="31"/>
      <c r="C863" s="31"/>
      <c r="D863" s="31"/>
      <c r="E863" s="31"/>
    </row>
    <row r="864">
      <c r="A864" s="31"/>
      <c r="B864" s="31"/>
      <c r="C864" s="31"/>
      <c r="D864" s="31"/>
      <c r="E864" s="31"/>
    </row>
    <row r="865">
      <c r="A865" s="31"/>
      <c r="B865" s="31"/>
      <c r="C865" s="31"/>
      <c r="D865" s="31"/>
      <c r="E865" s="31"/>
    </row>
    <row r="866">
      <c r="A866" s="31"/>
      <c r="B866" s="31"/>
      <c r="C866" s="31"/>
      <c r="D866" s="31"/>
      <c r="E866" s="31"/>
    </row>
    <row r="867">
      <c r="A867" s="31"/>
      <c r="B867" s="31"/>
      <c r="C867" s="31"/>
      <c r="D867" s="31"/>
      <c r="E867" s="31"/>
    </row>
    <row r="868">
      <c r="A868" s="31"/>
      <c r="B868" s="31"/>
      <c r="C868" s="31"/>
      <c r="D868" s="31"/>
      <c r="E868" s="31"/>
    </row>
    <row r="869">
      <c r="A869" s="31"/>
      <c r="B869" s="31"/>
      <c r="C869" s="31"/>
      <c r="D869" s="31"/>
      <c r="E869" s="31"/>
    </row>
    <row r="870">
      <c r="A870" s="31"/>
      <c r="B870" s="31"/>
      <c r="C870" s="31"/>
      <c r="D870" s="31"/>
      <c r="E870" s="31"/>
    </row>
    <row r="871">
      <c r="A871" s="31"/>
      <c r="B871" s="31"/>
      <c r="C871" s="31"/>
      <c r="D871" s="31"/>
      <c r="E871" s="31"/>
    </row>
    <row r="872">
      <c r="A872" s="31"/>
      <c r="B872" s="31"/>
      <c r="C872" s="31"/>
      <c r="D872" s="31"/>
      <c r="E872" s="31"/>
    </row>
    <row r="873">
      <c r="A873" s="31"/>
      <c r="B873" s="31"/>
      <c r="C873" s="31"/>
      <c r="D873" s="31"/>
      <c r="E873" s="31"/>
    </row>
    <row r="874">
      <c r="A874" s="31"/>
      <c r="B874" s="31"/>
      <c r="C874" s="31"/>
      <c r="D874" s="31"/>
      <c r="E874" s="31"/>
    </row>
    <row r="875">
      <c r="A875" s="31"/>
      <c r="B875" s="31"/>
      <c r="C875" s="31"/>
      <c r="D875" s="31"/>
      <c r="E875" s="31"/>
    </row>
    <row r="876">
      <c r="A876" s="31"/>
      <c r="B876" s="31"/>
      <c r="C876" s="31"/>
      <c r="D876" s="31"/>
      <c r="E876" s="31"/>
    </row>
    <row r="877">
      <c r="A877" s="31"/>
      <c r="B877" s="31"/>
      <c r="C877" s="31"/>
      <c r="D877" s="31"/>
      <c r="E877" s="31"/>
    </row>
    <row r="878">
      <c r="A878" s="31"/>
      <c r="B878" s="31"/>
      <c r="C878" s="31"/>
      <c r="D878" s="31"/>
      <c r="E878" s="31"/>
    </row>
    <row r="879">
      <c r="A879" s="31"/>
      <c r="B879" s="31"/>
      <c r="C879" s="31"/>
      <c r="D879" s="31"/>
      <c r="E879" s="31"/>
    </row>
    <row r="880">
      <c r="A880" s="31"/>
      <c r="B880" s="31"/>
      <c r="C880" s="31"/>
      <c r="D880" s="31"/>
      <c r="E880" s="31"/>
    </row>
    <row r="881">
      <c r="A881" s="31"/>
      <c r="B881" s="31"/>
      <c r="C881" s="31"/>
      <c r="D881" s="31"/>
      <c r="E881" s="31"/>
    </row>
    <row r="882">
      <c r="A882" s="31"/>
      <c r="B882" s="31"/>
      <c r="C882" s="31"/>
      <c r="D882" s="31"/>
      <c r="E882" s="31"/>
    </row>
    <row r="883">
      <c r="A883" s="31"/>
      <c r="B883" s="31"/>
      <c r="C883" s="31"/>
      <c r="D883" s="31"/>
      <c r="E883" s="31"/>
    </row>
    <row r="884">
      <c r="A884" s="31"/>
      <c r="B884" s="31"/>
      <c r="C884" s="31"/>
      <c r="D884" s="31"/>
      <c r="E884" s="31"/>
    </row>
    <row r="885">
      <c r="A885" s="31"/>
      <c r="B885" s="31"/>
      <c r="C885" s="31"/>
      <c r="D885" s="31"/>
      <c r="E885" s="31"/>
    </row>
    <row r="886">
      <c r="A886" s="31"/>
      <c r="B886" s="31"/>
      <c r="C886" s="31"/>
      <c r="D886" s="31"/>
      <c r="E886" s="31"/>
    </row>
    <row r="887">
      <c r="A887" s="31"/>
      <c r="B887" s="31"/>
      <c r="C887" s="31"/>
      <c r="D887" s="31"/>
      <c r="E887" s="31"/>
    </row>
    <row r="888">
      <c r="A888" s="31"/>
      <c r="B888" s="31"/>
      <c r="C888" s="31"/>
      <c r="D888" s="31"/>
      <c r="E888" s="31"/>
    </row>
    <row r="889">
      <c r="A889" s="31"/>
      <c r="B889" s="31"/>
      <c r="C889" s="31"/>
      <c r="D889" s="31"/>
      <c r="E889" s="31"/>
    </row>
    <row r="890">
      <c r="A890" s="31"/>
      <c r="B890" s="31"/>
      <c r="C890" s="31"/>
      <c r="D890" s="31"/>
      <c r="E890" s="31"/>
    </row>
    <row r="891">
      <c r="A891" s="31"/>
      <c r="B891" s="31"/>
      <c r="C891" s="31"/>
      <c r="D891" s="31"/>
      <c r="E891" s="31"/>
    </row>
    <row r="892">
      <c r="A892" s="31"/>
      <c r="B892" s="31"/>
      <c r="C892" s="31"/>
      <c r="D892" s="31"/>
      <c r="E892" s="31"/>
    </row>
    <row r="893">
      <c r="A893" s="31"/>
      <c r="B893" s="31"/>
      <c r="C893" s="31"/>
      <c r="D893" s="31"/>
      <c r="E893" s="31"/>
    </row>
    <row r="894">
      <c r="A894" s="31"/>
      <c r="B894" s="31"/>
      <c r="C894" s="31"/>
      <c r="D894" s="31"/>
      <c r="E894" s="31"/>
    </row>
    <row r="895">
      <c r="A895" s="31"/>
      <c r="B895" s="31"/>
      <c r="C895" s="31"/>
      <c r="D895" s="31"/>
      <c r="E895" s="31"/>
    </row>
    <row r="896">
      <c r="A896" s="31"/>
      <c r="B896" s="31"/>
      <c r="C896" s="31"/>
      <c r="D896" s="31"/>
      <c r="E896" s="31"/>
    </row>
    <row r="897">
      <c r="A897" s="31"/>
      <c r="B897" s="31"/>
      <c r="C897" s="31"/>
      <c r="D897" s="31"/>
      <c r="E897" s="31"/>
    </row>
    <row r="898">
      <c r="A898" s="31"/>
      <c r="B898" s="31"/>
      <c r="C898" s="31"/>
      <c r="D898" s="31"/>
      <c r="E898" s="31"/>
    </row>
    <row r="899">
      <c r="A899" s="31"/>
      <c r="B899" s="31"/>
      <c r="C899" s="31"/>
      <c r="D899" s="31"/>
      <c r="E899" s="31"/>
    </row>
    <row r="900">
      <c r="A900" s="31"/>
      <c r="B900" s="31"/>
      <c r="C900" s="31"/>
      <c r="D900" s="31"/>
      <c r="E900" s="31"/>
    </row>
    <row r="901">
      <c r="A901" s="31"/>
      <c r="B901" s="31"/>
      <c r="C901" s="31"/>
      <c r="D901" s="31"/>
      <c r="E901" s="31"/>
    </row>
    <row r="902">
      <c r="A902" s="31"/>
      <c r="B902" s="31"/>
      <c r="C902" s="31"/>
      <c r="D902" s="31"/>
      <c r="E902" s="31"/>
    </row>
    <row r="903">
      <c r="A903" s="31"/>
      <c r="B903" s="31"/>
      <c r="C903" s="31"/>
      <c r="D903" s="31"/>
      <c r="E903" s="31"/>
    </row>
    <row r="904">
      <c r="A904" s="31"/>
      <c r="B904" s="31"/>
      <c r="C904" s="31"/>
      <c r="D904" s="31"/>
      <c r="E904" s="31"/>
    </row>
    <row r="905">
      <c r="A905" s="31"/>
      <c r="B905" s="31"/>
      <c r="C905" s="31"/>
      <c r="D905" s="31"/>
      <c r="E905" s="31"/>
    </row>
    <row r="906">
      <c r="A906" s="31"/>
      <c r="B906" s="31"/>
      <c r="C906" s="31"/>
      <c r="D906" s="31"/>
      <c r="E906" s="31"/>
    </row>
    <row r="907">
      <c r="A907" s="31"/>
      <c r="B907" s="31"/>
      <c r="C907" s="31"/>
      <c r="D907" s="31"/>
      <c r="E907" s="31"/>
    </row>
    <row r="908">
      <c r="A908" s="31"/>
      <c r="B908" s="31"/>
      <c r="C908" s="31"/>
      <c r="D908" s="31"/>
      <c r="E908" s="31"/>
    </row>
    <row r="909">
      <c r="A909" s="31"/>
      <c r="B909" s="31"/>
      <c r="C909" s="31"/>
      <c r="D909" s="31"/>
      <c r="E909" s="31"/>
    </row>
    <row r="910">
      <c r="A910" s="31"/>
      <c r="B910" s="31"/>
      <c r="C910" s="31"/>
      <c r="D910" s="31"/>
      <c r="E910" s="31"/>
    </row>
    <row r="911">
      <c r="A911" s="31"/>
      <c r="B911" s="31"/>
      <c r="C911" s="31"/>
      <c r="D911" s="31"/>
      <c r="E911" s="31"/>
    </row>
    <row r="912">
      <c r="A912" s="31"/>
      <c r="B912" s="31"/>
      <c r="C912" s="31"/>
      <c r="D912" s="31"/>
      <c r="E912" s="31"/>
    </row>
    <row r="913">
      <c r="A913" s="31"/>
      <c r="B913" s="31"/>
      <c r="C913" s="31"/>
      <c r="D913" s="31"/>
      <c r="E913" s="31"/>
    </row>
    <row r="914">
      <c r="A914" s="31"/>
      <c r="B914" s="31"/>
      <c r="C914" s="31"/>
      <c r="D914" s="31"/>
      <c r="E914" s="31"/>
    </row>
    <row r="915">
      <c r="A915" s="31"/>
      <c r="B915" s="31"/>
      <c r="C915" s="31"/>
      <c r="D915" s="31"/>
      <c r="E915" s="31"/>
    </row>
    <row r="916">
      <c r="A916" s="31"/>
      <c r="B916" s="31"/>
      <c r="C916" s="31"/>
      <c r="D916" s="31"/>
      <c r="E916" s="31"/>
    </row>
    <row r="917">
      <c r="A917" s="31"/>
      <c r="B917" s="31"/>
      <c r="C917" s="31"/>
      <c r="D917" s="31"/>
      <c r="E917" s="31"/>
    </row>
    <row r="918">
      <c r="A918" s="31"/>
      <c r="B918" s="31"/>
      <c r="C918" s="31"/>
      <c r="D918" s="31"/>
      <c r="E918" s="31"/>
    </row>
    <row r="919">
      <c r="A919" s="31"/>
      <c r="B919" s="31"/>
      <c r="C919" s="31"/>
      <c r="D919" s="31"/>
      <c r="E919" s="31"/>
    </row>
    <row r="920">
      <c r="A920" s="31"/>
      <c r="B920" s="31"/>
      <c r="C920" s="31"/>
      <c r="D920" s="31"/>
      <c r="E920" s="31"/>
    </row>
    <row r="921">
      <c r="A921" s="31"/>
      <c r="B921" s="31"/>
      <c r="C921" s="31"/>
      <c r="D921" s="31"/>
      <c r="E921" s="31"/>
    </row>
    <row r="922">
      <c r="A922" s="31"/>
      <c r="B922" s="31"/>
      <c r="C922" s="31"/>
      <c r="D922" s="31"/>
      <c r="E922" s="31"/>
    </row>
    <row r="923">
      <c r="A923" s="31"/>
      <c r="B923" s="31"/>
      <c r="C923" s="31"/>
      <c r="D923" s="31"/>
      <c r="E923" s="31"/>
    </row>
    <row r="924">
      <c r="A924" s="31"/>
      <c r="B924" s="31"/>
      <c r="C924" s="31"/>
      <c r="D924" s="31"/>
      <c r="E924" s="31"/>
    </row>
    <row r="925">
      <c r="A925" s="31"/>
      <c r="B925" s="31"/>
      <c r="C925" s="31"/>
      <c r="D925" s="31"/>
      <c r="E925" s="31"/>
    </row>
    <row r="926">
      <c r="A926" s="31"/>
      <c r="B926" s="31"/>
      <c r="C926" s="31"/>
      <c r="D926" s="31"/>
      <c r="E926" s="31"/>
    </row>
    <row r="927">
      <c r="A927" s="31"/>
      <c r="B927" s="31"/>
      <c r="C927" s="31"/>
      <c r="D927" s="31"/>
      <c r="E927" s="31"/>
    </row>
    <row r="928">
      <c r="A928" s="31"/>
      <c r="B928" s="31"/>
      <c r="C928" s="31"/>
      <c r="D928" s="31"/>
      <c r="E928" s="31"/>
    </row>
    <row r="929">
      <c r="A929" s="31"/>
      <c r="B929" s="31"/>
      <c r="C929" s="31"/>
      <c r="D929" s="31"/>
      <c r="E929" s="31"/>
    </row>
    <row r="930">
      <c r="A930" s="31"/>
      <c r="B930" s="31"/>
      <c r="C930" s="31"/>
      <c r="D930" s="31"/>
      <c r="E930" s="31"/>
    </row>
    <row r="931">
      <c r="A931" s="31"/>
      <c r="B931" s="31"/>
      <c r="C931" s="31"/>
      <c r="D931" s="31"/>
      <c r="E931" s="31"/>
    </row>
    <row r="932">
      <c r="A932" s="31"/>
      <c r="B932" s="31"/>
      <c r="C932" s="31"/>
      <c r="D932" s="31"/>
      <c r="E932" s="31"/>
    </row>
    <row r="933">
      <c r="A933" s="31"/>
      <c r="B933" s="31"/>
      <c r="C933" s="31"/>
      <c r="D933" s="31"/>
      <c r="E933" s="31"/>
    </row>
    <row r="934">
      <c r="A934" s="31"/>
      <c r="B934" s="31"/>
      <c r="C934" s="31"/>
      <c r="D934" s="31"/>
      <c r="E934" s="31"/>
    </row>
    <row r="935">
      <c r="A935" s="31"/>
      <c r="B935" s="31"/>
      <c r="C935" s="31"/>
      <c r="D935" s="31"/>
      <c r="E935" s="31"/>
    </row>
    <row r="936">
      <c r="A936" s="31"/>
      <c r="B936" s="31"/>
      <c r="C936" s="31"/>
      <c r="D936" s="31"/>
      <c r="E936" s="31"/>
    </row>
    <row r="937">
      <c r="A937" s="31"/>
      <c r="B937" s="31"/>
      <c r="C937" s="31"/>
      <c r="D937" s="31"/>
      <c r="E937" s="31"/>
    </row>
    <row r="938">
      <c r="A938" s="31"/>
      <c r="B938" s="31"/>
      <c r="C938" s="31"/>
      <c r="D938" s="31"/>
      <c r="E938" s="31"/>
    </row>
    <row r="939">
      <c r="A939" s="31"/>
      <c r="B939" s="31"/>
      <c r="C939" s="31"/>
      <c r="D939" s="31"/>
      <c r="E939" s="31"/>
    </row>
    <row r="940">
      <c r="A940" s="31"/>
      <c r="B940" s="31"/>
      <c r="C940" s="31"/>
      <c r="D940" s="31"/>
      <c r="E940" s="31"/>
    </row>
    <row r="941">
      <c r="A941" s="31"/>
      <c r="B941" s="31"/>
      <c r="C941" s="31"/>
      <c r="D941" s="31"/>
      <c r="E941" s="31"/>
    </row>
    <row r="942">
      <c r="A942" s="31"/>
      <c r="B942" s="31"/>
      <c r="C942" s="31"/>
      <c r="D942" s="31"/>
      <c r="E942" s="31"/>
    </row>
    <row r="943">
      <c r="A943" s="31"/>
      <c r="B943" s="31"/>
      <c r="C943" s="31"/>
      <c r="D943" s="31"/>
      <c r="E943" s="31"/>
    </row>
    <row r="944">
      <c r="A944" s="31"/>
      <c r="B944" s="31"/>
      <c r="C944" s="31"/>
      <c r="D944" s="31"/>
      <c r="E944" s="31"/>
    </row>
    <row r="945">
      <c r="A945" s="31"/>
      <c r="B945" s="31"/>
      <c r="C945" s="31"/>
      <c r="D945" s="31"/>
      <c r="E945" s="31"/>
    </row>
    <row r="946">
      <c r="A946" s="31"/>
      <c r="B946" s="31"/>
      <c r="C946" s="31"/>
      <c r="D946" s="31"/>
      <c r="E946" s="31"/>
    </row>
    <row r="947">
      <c r="A947" s="31"/>
      <c r="B947" s="31"/>
      <c r="C947" s="31"/>
      <c r="D947" s="31"/>
      <c r="E947" s="31"/>
    </row>
    <row r="948">
      <c r="A948" s="31"/>
      <c r="B948" s="31"/>
      <c r="C948" s="31"/>
      <c r="D948" s="31"/>
      <c r="E948" s="31"/>
    </row>
    <row r="949">
      <c r="A949" s="31"/>
      <c r="B949" s="31"/>
      <c r="C949" s="31"/>
      <c r="D949" s="31"/>
      <c r="E949" s="31"/>
    </row>
    <row r="950">
      <c r="A950" s="31"/>
      <c r="B950" s="31"/>
      <c r="C950" s="31"/>
      <c r="D950" s="31"/>
      <c r="E950" s="31"/>
    </row>
    <row r="951">
      <c r="A951" s="31"/>
      <c r="B951" s="31"/>
      <c r="C951" s="31"/>
      <c r="D951" s="31"/>
      <c r="E951" s="31"/>
    </row>
    <row r="952">
      <c r="A952" s="31"/>
      <c r="B952" s="31"/>
      <c r="C952" s="31"/>
      <c r="D952" s="31"/>
      <c r="E952" s="31"/>
    </row>
    <row r="953">
      <c r="A953" s="31"/>
      <c r="B953" s="31"/>
      <c r="C953" s="31"/>
      <c r="D953" s="31"/>
      <c r="E953" s="31"/>
    </row>
    <row r="954">
      <c r="A954" s="31"/>
      <c r="B954" s="31"/>
      <c r="C954" s="31"/>
      <c r="D954" s="31"/>
      <c r="E954" s="31"/>
    </row>
    <row r="955">
      <c r="A955" s="31"/>
      <c r="B955" s="31"/>
      <c r="C955" s="31"/>
      <c r="D955" s="31"/>
      <c r="E955" s="31"/>
    </row>
    <row r="956">
      <c r="A956" s="31"/>
      <c r="B956" s="31"/>
      <c r="C956" s="31"/>
      <c r="D956" s="31"/>
      <c r="E956" s="31"/>
    </row>
    <row r="957">
      <c r="A957" s="31"/>
      <c r="B957" s="31"/>
      <c r="C957" s="31"/>
      <c r="D957" s="31"/>
      <c r="E957" s="31"/>
    </row>
    <row r="958">
      <c r="A958" s="31"/>
      <c r="B958" s="31"/>
      <c r="C958" s="31"/>
      <c r="D958" s="31"/>
      <c r="E958" s="31"/>
    </row>
    <row r="959">
      <c r="A959" s="31"/>
      <c r="B959" s="31"/>
      <c r="C959" s="31"/>
      <c r="D959" s="31"/>
      <c r="E959" s="31"/>
    </row>
    <row r="960">
      <c r="A960" s="31"/>
      <c r="B960" s="31"/>
      <c r="C960" s="31"/>
      <c r="D960" s="31"/>
      <c r="E960" s="31"/>
    </row>
    <row r="961">
      <c r="A961" s="31"/>
      <c r="B961" s="31"/>
      <c r="C961" s="31"/>
      <c r="D961" s="31"/>
      <c r="E961" s="31"/>
    </row>
    <row r="962">
      <c r="A962" s="31"/>
      <c r="B962" s="31"/>
      <c r="C962" s="31"/>
      <c r="D962" s="31"/>
      <c r="E962" s="31"/>
    </row>
    <row r="963">
      <c r="A963" s="31"/>
      <c r="B963" s="31"/>
      <c r="C963" s="31"/>
      <c r="D963" s="31"/>
      <c r="E963" s="31"/>
    </row>
    <row r="964">
      <c r="A964" s="31"/>
      <c r="B964" s="31"/>
      <c r="C964" s="31"/>
      <c r="D964" s="31"/>
      <c r="E964" s="31"/>
    </row>
    <row r="965">
      <c r="A965" s="31"/>
      <c r="B965" s="31"/>
      <c r="C965" s="31"/>
      <c r="D965" s="31"/>
      <c r="E965" s="31"/>
    </row>
    <row r="966">
      <c r="A966" s="31"/>
      <c r="B966" s="31"/>
      <c r="C966" s="31"/>
      <c r="D966" s="31"/>
      <c r="E966" s="31"/>
    </row>
    <row r="967">
      <c r="A967" s="31"/>
      <c r="B967" s="31"/>
      <c r="C967" s="31"/>
      <c r="D967" s="31"/>
      <c r="E967" s="31"/>
    </row>
    <row r="968">
      <c r="A968" s="31"/>
      <c r="B968" s="31"/>
      <c r="C968" s="31"/>
      <c r="D968" s="31"/>
      <c r="E968" s="31"/>
    </row>
    <row r="969">
      <c r="A969" s="31"/>
      <c r="B969" s="31"/>
      <c r="C969" s="31"/>
      <c r="D969" s="31"/>
      <c r="E969" s="31"/>
    </row>
    <row r="970">
      <c r="A970" s="31"/>
      <c r="B970" s="31"/>
      <c r="C970" s="31"/>
      <c r="D970" s="31"/>
      <c r="E970" s="31"/>
    </row>
    <row r="971">
      <c r="A971" s="31"/>
      <c r="B971" s="31"/>
      <c r="C971" s="31"/>
      <c r="D971" s="31"/>
      <c r="E971" s="31"/>
    </row>
    <row r="972">
      <c r="A972" s="31"/>
      <c r="B972" s="31"/>
      <c r="C972" s="31"/>
      <c r="D972" s="31"/>
      <c r="E972" s="31"/>
    </row>
    <row r="973">
      <c r="A973" s="31"/>
      <c r="B973" s="31"/>
      <c r="C973" s="31"/>
      <c r="D973" s="31"/>
      <c r="E973" s="31"/>
    </row>
    <row r="974">
      <c r="A974" s="31"/>
      <c r="B974" s="31"/>
      <c r="C974" s="31"/>
      <c r="D974" s="31"/>
      <c r="E974" s="31"/>
    </row>
    <row r="975">
      <c r="A975" s="31"/>
      <c r="B975" s="31"/>
      <c r="C975" s="31"/>
      <c r="D975" s="31"/>
      <c r="E975" s="31"/>
    </row>
    <row r="976">
      <c r="A976" s="31"/>
      <c r="B976" s="31"/>
      <c r="C976" s="31"/>
      <c r="D976" s="31"/>
      <c r="E976" s="31"/>
    </row>
    <row r="977">
      <c r="A977" s="31"/>
      <c r="B977" s="31"/>
      <c r="C977" s="31"/>
      <c r="D977" s="31"/>
      <c r="E977" s="31"/>
    </row>
    <row r="978">
      <c r="A978" s="31"/>
      <c r="B978" s="31"/>
      <c r="C978" s="31"/>
      <c r="D978" s="31"/>
      <c r="E978" s="31"/>
    </row>
    <row r="979">
      <c r="A979" s="31"/>
      <c r="B979" s="31"/>
      <c r="C979" s="31"/>
      <c r="D979" s="31"/>
      <c r="E979" s="31"/>
    </row>
    <row r="980">
      <c r="A980" s="31"/>
      <c r="B980" s="31"/>
      <c r="C980" s="31"/>
      <c r="D980" s="31"/>
      <c r="E980" s="31"/>
    </row>
    <row r="981">
      <c r="A981" s="31"/>
      <c r="B981" s="31"/>
      <c r="C981" s="31"/>
      <c r="D981" s="31"/>
      <c r="E981" s="31"/>
    </row>
    <row r="982">
      <c r="A982" s="31"/>
      <c r="B982" s="31"/>
      <c r="C982" s="31"/>
      <c r="D982" s="31"/>
      <c r="E982" s="31"/>
    </row>
    <row r="983">
      <c r="A983" s="31"/>
      <c r="B983" s="31"/>
      <c r="C983" s="31"/>
      <c r="D983" s="31"/>
      <c r="E983" s="31"/>
    </row>
    <row r="984">
      <c r="A984" s="31"/>
      <c r="B984" s="31"/>
      <c r="C984" s="31"/>
      <c r="D984" s="31"/>
      <c r="E984" s="31"/>
    </row>
    <row r="985">
      <c r="A985" s="31"/>
      <c r="B985" s="31"/>
      <c r="C985" s="31"/>
      <c r="D985" s="31"/>
      <c r="E985" s="31"/>
    </row>
    <row r="986">
      <c r="A986" s="31"/>
      <c r="B986" s="31"/>
      <c r="C986" s="31"/>
      <c r="D986" s="31"/>
      <c r="E986" s="31"/>
    </row>
    <row r="987">
      <c r="A987" s="31"/>
      <c r="B987" s="31"/>
      <c r="C987" s="31"/>
      <c r="D987" s="31"/>
      <c r="E987" s="31"/>
    </row>
    <row r="988">
      <c r="A988" s="31"/>
      <c r="B988" s="31"/>
      <c r="C988" s="31"/>
      <c r="D988" s="31"/>
      <c r="E988" s="31"/>
    </row>
    <row r="989">
      <c r="A989" s="31"/>
      <c r="B989" s="31"/>
      <c r="C989" s="31"/>
      <c r="D989" s="31"/>
      <c r="E989" s="31"/>
    </row>
    <row r="990">
      <c r="A990" s="31"/>
      <c r="B990" s="31"/>
      <c r="C990" s="31"/>
      <c r="D990" s="31"/>
      <c r="E990" s="31"/>
    </row>
    <row r="991">
      <c r="A991" s="31"/>
      <c r="B991" s="31"/>
      <c r="C991" s="31"/>
      <c r="D991" s="31"/>
      <c r="E991" s="31"/>
    </row>
    <row r="992">
      <c r="A992" s="31"/>
      <c r="B992" s="31"/>
      <c r="C992" s="31"/>
      <c r="D992" s="31"/>
      <c r="E992" s="31"/>
    </row>
    <row r="993">
      <c r="A993" s="31"/>
      <c r="B993" s="31"/>
      <c r="C993" s="31"/>
      <c r="D993" s="31"/>
      <c r="E993" s="31"/>
    </row>
    <row r="994">
      <c r="A994" s="31"/>
      <c r="B994" s="31"/>
      <c r="C994" s="31"/>
      <c r="D994" s="31"/>
      <c r="E994" s="31"/>
    </row>
    <row r="995">
      <c r="A995" s="31"/>
      <c r="B995" s="31"/>
      <c r="C995" s="31"/>
      <c r="D995" s="31"/>
      <c r="E995" s="31"/>
    </row>
    <row r="996">
      <c r="A996" s="31"/>
      <c r="B996" s="31"/>
      <c r="C996" s="31"/>
      <c r="D996" s="31"/>
      <c r="E996" s="31"/>
    </row>
    <row r="997">
      <c r="A997" s="31"/>
      <c r="B997" s="31"/>
      <c r="C997" s="31"/>
      <c r="D997" s="31"/>
      <c r="E997" s="31"/>
    </row>
    <row r="998">
      <c r="A998" s="31"/>
      <c r="B998" s="31"/>
      <c r="C998" s="31"/>
      <c r="D998" s="31"/>
      <c r="E998" s="31"/>
    </row>
    <row r="999">
      <c r="A999" s="31"/>
      <c r="B999" s="31"/>
      <c r="C999" s="31"/>
      <c r="D999" s="31"/>
      <c r="E999" s="31"/>
    </row>
    <row r="1000">
      <c r="A1000" s="31"/>
      <c r="B1000" s="31"/>
      <c r="C1000" s="31"/>
      <c r="D1000" s="31"/>
      <c r="E1000" s="31"/>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2" t="s">
        <v>209</v>
      </c>
      <c r="B1" s="108" t="s">
        <v>210</v>
      </c>
      <c r="C1" s="108" t="s">
        <v>211</v>
      </c>
      <c r="D1" s="108" t="s">
        <v>212</v>
      </c>
      <c r="E1" s="108" t="s">
        <v>213</v>
      </c>
    </row>
    <row r="2">
      <c r="A2" s="31" t="s">
        <v>214</v>
      </c>
      <c r="B2" s="31">
        <v>56.640806</v>
      </c>
      <c r="C2" s="31">
        <v>5.271956</v>
      </c>
      <c r="D2" s="31" t="s">
        <v>215</v>
      </c>
      <c r="E2" s="31">
        <v>0.4</v>
      </c>
    </row>
    <row r="3">
      <c r="A3" s="31" t="s">
        <v>216</v>
      </c>
      <c r="B3" s="31">
        <v>56.640806</v>
      </c>
      <c r="C3" s="31">
        <v>5.271956</v>
      </c>
      <c r="D3" s="31" t="s">
        <v>215</v>
      </c>
      <c r="E3" s="31">
        <v>7.6</v>
      </c>
    </row>
    <row r="4">
      <c r="A4" s="31" t="s">
        <v>217</v>
      </c>
      <c r="B4" s="31">
        <v>56.344143</v>
      </c>
      <c r="C4" s="31">
        <v>4.27192</v>
      </c>
      <c r="D4" s="31" t="s">
        <v>215</v>
      </c>
      <c r="E4" s="31">
        <v>3.0</v>
      </c>
    </row>
    <row r="5">
      <c r="A5" s="31" t="s">
        <v>218</v>
      </c>
      <c r="B5" s="31">
        <v>56.0</v>
      </c>
      <c r="C5" s="31">
        <v>6.25</v>
      </c>
      <c r="D5" s="31" t="s">
        <v>215</v>
      </c>
      <c r="E5" s="31">
        <v>2.6</v>
      </c>
    </row>
    <row r="6">
      <c r="A6" s="31" t="s">
        <v>219</v>
      </c>
      <c r="B6" s="31">
        <v>55.751608</v>
      </c>
      <c r="C6" s="31">
        <v>11.328375</v>
      </c>
      <c r="D6" s="31" t="s">
        <v>215</v>
      </c>
      <c r="E6" s="31">
        <v>16.4</v>
      </c>
    </row>
    <row r="7">
      <c r="A7" s="31" t="s">
        <v>220</v>
      </c>
      <c r="B7" s="31">
        <v>54.69495</v>
      </c>
      <c r="C7" s="31">
        <v>11.38885</v>
      </c>
      <c r="D7" s="31" t="s">
        <v>215</v>
      </c>
      <c r="E7" s="31">
        <v>1.0</v>
      </c>
    </row>
    <row r="8">
      <c r="A8" s="31" t="s">
        <v>221</v>
      </c>
      <c r="B8" s="31">
        <v>54.69495</v>
      </c>
      <c r="C8" s="31">
        <v>11.38885</v>
      </c>
      <c r="D8" s="31" t="s">
        <v>215</v>
      </c>
      <c r="E8" s="31">
        <v>6.5</v>
      </c>
    </row>
    <row r="9">
      <c r="A9" s="31" t="s">
        <v>222</v>
      </c>
      <c r="B9" s="31">
        <v>55.540039</v>
      </c>
      <c r="C9" s="31">
        <v>11.591681</v>
      </c>
      <c r="D9" s="31" t="s">
        <v>215</v>
      </c>
      <c r="E9" s="31">
        <v>0.5</v>
      </c>
    </row>
    <row r="10">
      <c r="A10" s="31" t="s">
        <v>223</v>
      </c>
      <c r="B10" s="31">
        <v>43.4167</v>
      </c>
      <c r="C10" s="31">
        <v>-0.7167</v>
      </c>
      <c r="D10" s="31" t="s">
        <v>215</v>
      </c>
      <c r="E10" s="31">
        <v>1.0</v>
      </c>
    </row>
    <row r="11">
      <c r="A11" s="31" t="s">
        <v>224</v>
      </c>
      <c r="B11" s="31">
        <v>43.4167</v>
      </c>
      <c r="C11" s="31">
        <v>-0.7167</v>
      </c>
      <c r="D11" s="31" t="s">
        <v>215</v>
      </c>
      <c r="E11" s="31">
        <v>4.0</v>
      </c>
    </row>
    <row r="12">
      <c r="A12" s="31" t="s">
        <v>225</v>
      </c>
      <c r="B12" s="31">
        <v>64.0499</v>
      </c>
      <c r="C12" s="31">
        <v>-21.9889</v>
      </c>
      <c r="D12" s="31" t="s">
        <v>215</v>
      </c>
      <c r="E12" s="31">
        <v>0.7</v>
      </c>
    </row>
    <row r="13">
      <c r="A13" s="31" t="s">
        <v>226</v>
      </c>
      <c r="B13" s="31">
        <v>64.0499</v>
      </c>
      <c r="C13" s="31">
        <v>-21.9889</v>
      </c>
      <c r="D13" s="31" t="s">
        <v>215</v>
      </c>
      <c r="E13" s="31">
        <v>0.7</v>
      </c>
    </row>
    <row r="14">
      <c r="A14" s="31" t="s">
        <v>227</v>
      </c>
      <c r="B14" s="31">
        <v>64.0499</v>
      </c>
      <c r="C14" s="31">
        <v>-21.9889</v>
      </c>
      <c r="D14" s="31" t="s">
        <v>215</v>
      </c>
      <c r="E14" s="31">
        <v>1.6</v>
      </c>
    </row>
    <row r="15">
      <c r="A15" s="31" t="s">
        <v>228</v>
      </c>
      <c r="B15" s="31">
        <v>51.902841</v>
      </c>
      <c r="C15" s="31">
        <v>4.275543</v>
      </c>
      <c r="D15" s="31" t="s">
        <v>215</v>
      </c>
      <c r="E15" s="31">
        <v>2.5</v>
      </c>
    </row>
    <row r="16">
      <c r="A16" s="31" t="s">
        <v>229</v>
      </c>
      <c r="B16" s="31">
        <v>51.902841</v>
      </c>
      <c r="C16" s="31">
        <v>4.275543</v>
      </c>
      <c r="D16" s="31" t="s">
        <v>215</v>
      </c>
      <c r="E16" s="31">
        <v>7.7</v>
      </c>
    </row>
    <row r="17">
      <c r="A17" s="31" t="s">
        <v>230</v>
      </c>
      <c r="B17" s="31">
        <v>51.902841</v>
      </c>
      <c r="C17" s="31">
        <v>4.275543</v>
      </c>
      <c r="D17" s="31" t="s">
        <v>215</v>
      </c>
      <c r="E17" s="31">
        <v>3.1</v>
      </c>
    </row>
    <row r="18">
      <c r="A18" s="31" t="s">
        <v>231</v>
      </c>
      <c r="B18" s="31">
        <v>51.902841</v>
      </c>
      <c r="C18" s="31">
        <v>4.275543</v>
      </c>
      <c r="D18" s="31" t="s">
        <v>215</v>
      </c>
      <c r="E18" s="31">
        <v>5.0</v>
      </c>
    </row>
    <row r="19">
      <c r="A19" s="31" t="s">
        <v>232</v>
      </c>
      <c r="B19" s="31">
        <v>58.41421</v>
      </c>
      <c r="C19" s="31">
        <v>3.00439</v>
      </c>
      <c r="D19" s="31" t="s">
        <v>215</v>
      </c>
      <c r="E19" s="31">
        <v>1.0</v>
      </c>
    </row>
    <row r="20">
      <c r="A20" s="31" t="s">
        <v>233</v>
      </c>
      <c r="B20" s="31">
        <v>70.684829</v>
      </c>
      <c r="C20" s="31">
        <v>23.590642</v>
      </c>
      <c r="D20" s="31" t="s">
        <v>215</v>
      </c>
      <c r="E20" s="31">
        <v>0.7</v>
      </c>
    </row>
    <row r="21">
      <c r="A21" s="31" t="s">
        <v>234</v>
      </c>
      <c r="B21" s="31">
        <v>60.5</v>
      </c>
      <c r="C21" s="31">
        <v>3.5</v>
      </c>
      <c r="D21" s="31" t="s">
        <v>215</v>
      </c>
      <c r="E21" s="31">
        <v>1.5</v>
      </c>
    </row>
    <row r="22">
      <c r="A22" s="31" t="s">
        <v>235</v>
      </c>
      <c r="B22" s="31">
        <v>60.5</v>
      </c>
      <c r="C22" s="31">
        <v>3.5</v>
      </c>
      <c r="D22" s="31" t="s">
        <v>215</v>
      </c>
      <c r="E22" s="31">
        <v>3.7</v>
      </c>
    </row>
    <row r="23">
      <c r="A23" s="31" t="s">
        <v>236</v>
      </c>
      <c r="B23" s="31">
        <v>58.41421</v>
      </c>
      <c r="C23" s="31">
        <v>3.00439</v>
      </c>
      <c r="D23" s="31" t="s">
        <v>215</v>
      </c>
      <c r="E23" s="31">
        <v>3.0</v>
      </c>
    </row>
    <row r="24">
      <c r="A24" s="31" t="s">
        <v>237</v>
      </c>
      <c r="B24" s="31">
        <v>57.657364</v>
      </c>
      <c r="C24" s="31">
        <v>4.965125</v>
      </c>
      <c r="D24" s="31" t="s">
        <v>215</v>
      </c>
      <c r="E24" s="31">
        <v>4.275</v>
      </c>
    </row>
    <row r="25">
      <c r="A25" s="31" t="s">
        <v>238</v>
      </c>
      <c r="B25" s="31">
        <v>70.481</v>
      </c>
      <c r="C25" s="31">
        <v>24.265</v>
      </c>
      <c r="D25" s="31" t="s">
        <v>215</v>
      </c>
      <c r="E25" s="31">
        <v>8.0</v>
      </c>
    </row>
    <row r="26">
      <c r="A26" s="31" t="s">
        <v>239</v>
      </c>
      <c r="B26" s="31">
        <v>60.5</v>
      </c>
      <c r="C26" s="31">
        <v>3.1</v>
      </c>
      <c r="D26" s="31" t="s">
        <v>215</v>
      </c>
      <c r="E26" s="31">
        <v>5.0</v>
      </c>
    </row>
    <row r="27">
      <c r="A27" s="31" t="s">
        <v>240</v>
      </c>
      <c r="B27" s="31">
        <v>60.72</v>
      </c>
      <c r="C27" s="31">
        <v>4.07</v>
      </c>
      <c r="D27" s="31" t="s">
        <v>215</v>
      </c>
      <c r="E27" s="31">
        <v>24.0</v>
      </c>
    </row>
    <row r="28">
      <c r="A28" s="31" t="s">
        <v>241</v>
      </c>
      <c r="B28" s="31">
        <v>60.72</v>
      </c>
      <c r="C28" s="31">
        <v>4.07</v>
      </c>
      <c r="D28" s="31" t="s">
        <v>215</v>
      </c>
      <c r="E28" s="31">
        <v>5.0</v>
      </c>
    </row>
    <row r="29">
      <c r="A29" s="31" t="s">
        <v>242</v>
      </c>
      <c r="B29" s="31">
        <v>62.472229</v>
      </c>
      <c r="C29" s="31">
        <v>6.149482</v>
      </c>
      <c r="D29" s="31" t="s">
        <v>215</v>
      </c>
      <c r="E29" s="31">
        <v>10.0</v>
      </c>
    </row>
    <row r="30">
      <c r="A30" s="31" t="s">
        <v>243</v>
      </c>
      <c r="B30" s="31">
        <v>57.0</v>
      </c>
      <c r="C30" s="31">
        <v>5.0</v>
      </c>
      <c r="D30" s="31" t="s">
        <v>215</v>
      </c>
      <c r="E30" s="31">
        <v>5.0</v>
      </c>
    </row>
    <row r="31">
      <c r="A31" s="31" t="s">
        <v>244</v>
      </c>
      <c r="B31" s="31">
        <v>59.2</v>
      </c>
      <c r="C31" s="31">
        <v>2.4</v>
      </c>
      <c r="D31" s="31" t="s">
        <v>215</v>
      </c>
      <c r="E31" s="31">
        <v>7.5</v>
      </c>
    </row>
    <row r="32">
      <c r="A32" s="31" t="s">
        <v>245</v>
      </c>
      <c r="B32" s="31">
        <v>59.7</v>
      </c>
      <c r="C32" s="31">
        <v>3.2</v>
      </c>
      <c r="D32" s="31" t="s">
        <v>215</v>
      </c>
      <c r="E32" s="31">
        <v>5.0</v>
      </c>
    </row>
    <row r="33">
      <c r="A33" s="31" t="s">
        <v>246</v>
      </c>
      <c r="B33" s="31">
        <v>58.5</v>
      </c>
      <c r="C33" s="31">
        <v>3.2</v>
      </c>
      <c r="D33" s="31" t="s">
        <v>215</v>
      </c>
      <c r="E33" s="31">
        <v>5.0</v>
      </c>
    </row>
    <row r="34">
      <c r="A34" s="31" t="s">
        <v>247</v>
      </c>
      <c r="B34" s="31">
        <v>57.578984</v>
      </c>
      <c r="C34" s="31">
        <v>-1.841456</v>
      </c>
      <c r="D34" s="31" t="s">
        <v>215</v>
      </c>
      <c r="E34" s="31">
        <v>0.8</v>
      </c>
    </row>
    <row r="35">
      <c r="A35" s="31" t="s">
        <v>248</v>
      </c>
      <c r="B35" s="31">
        <v>57.578984</v>
      </c>
      <c r="C35" s="31">
        <v>-1.841456</v>
      </c>
      <c r="D35" s="31" t="s">
        <v>215</v>
      </c>
      <c r="E35" s="31">
        <v>5.0</v>
      </c>
    </row>
    <row r="36">
      <c r="A36" s="31" t="s">
        <v>249</v>
      </c>
      <c r="B36" s="31">
        <v>54.3</v>
      </c>
      <c r="C36" s="31">
        <v>1.0</v>
      </c>
      <c r="D36" s="31" t="s">
        <v>215</v>
      </c>
      <c r="E36" s="31">
        <v>4.0</v>
      </c>
    </row>
    <row r="37">
      <c r="A37" s="31" t="s">
        <v>250</v>
      </c>
      <c r="B37" s="31">
        <v>54.3</v>
      </c>
      <c r="C37" s="31">
        <v>1.0</v>
      </c>
      <c r="D37" s="31" t="s">
        <v>215</v>
      </c>
      <c r="E37" s="31">
        <v>4.0</v>
      </c>
    </row>
    <row r="38">
      <c r="A38" s="31" t="s">
        <v>251</v>
      </c>
      <c r="B38" s="31">
        <v>53.5</v>
      </c>
      <c r="C38" s="31">
        <v>-3.5</v>
      </c>
      <c r="D38" s="31" t="s">
        <v>215</v>
      </c>
      <c r="E38" s="31">
        <v>4.5</v>
      </c>
    </row>
    <row r="39">
      <c r="A39" s="31" t="s">
        <v>252</v>
      </c>
      <c r="B39" s="31">
        <v>53.5</v>
      </c>
      <c r="C39" s="31">
        <v>-3.5</v>
      </c>
      <c r="D39" s="31" t="s">
        <v>215</v>
      </c>
      <c r="E39" s="31">
        <v>5.5</v>
      </c>
    </row>
    <row r="40">
      <c r="A40" s="31" t="s">
        <v>253</v>
      </c>
      <c r="B40" s="31">
        <v>53.4</v>
      </c>
      <c r="C40" s="31">
        <v>2.3</v>
      </c>
      <c r="D40" s="31" t="s">
        <v>215</v>
      </c>
      <c r="E40" s="31">
        <v>3.6</v>
      </c>
    </row>
    <row r="41">
      <c r="A41" s="31" t="s">
        <v>254</v>
      </c>
      <c r="B41" s="31">
        <v>53.4</v>
      </c>
      <c r="C41" s="31">
        <v>2.3</v>
      </c>
      <c r="D41" s="31" t="s">
        <v>215</v>
      </c>
      <c r="E41" s="31">
        <v>6.4</v>
      </c>
    </row>
    <row r="42">
      <c r="A42" s="31" t="s">
        <v>255</v>
      </c>
      <c r="B42" s="31">
        <v>54.3</v>
      </c>
      <c r="C42" s="31">
        <v>1.0</v>
      </c>
      <c r="D42" s="31" t="s">
        <v>215</v>
      </c>
      <c r="E42" s="31">
        <v>2.0</v>
      </c>
    </row>
    <row r="43">
      <c r="A43" s="31" t="s">
        <v>256</v>
      </c>
      <c r="B43" s="31">
        <v>53.4</v>
      </c>
      <c r="C43" s="31">
        <v>2.3</v>
      </c>
      <c r="D43" s="31" t="s">
        <v>215</v>
      </c>
      <c r="E43" s="31">
        <v>5.0</v>
      </c>
    </row>
    <row r="44">
      <c r="A44" s="31" t="s">
        <v>257</v>
      </c>
      <c r="B44" s="31">
        <v>53.1</v>
      </c>
      <c r="C44" s="31">
        <v>1.7</v>
      </c>
      <c r="D44" s="31" t="s">
        <v>215</v>
      </c>
      <c r="E44" s="31">
        <v>10.0</v>
      </c>
    </row>
    <row r="45">
      <c r="A45" s="31" t="s">
        <v>258</v>
      </c>
      <c r="B45" s="31">
        <v>53.9</v>
      </c>
      <c r="C45" s="31">
        <v>-3.7</v>
      </c>
      <c r="D45" s="31" t="s">
        <v>215</v>
      </c>
      <c r="E45" s="31">
        <v>5.0</v>
      </c>
    </row>
    <row r="46">
      <c r="A46" s="31" t="s">
        <v>259</v>
      </c>
      <c r="B46" s="31">
        <v>53.2</v>
      </c>
      <c r="C46" s="31">
        <v>2.2</v>
      </c>
      <c r="D46" s="31" t="s">
        <v>215</v>
      </c>
      <c r="E46" s="31">
        <v>1.5</v>
      </c>
    </row>
    <row r="47">
      <c r="A47" s="31" t="s">
        <v>260</v>
      </c>
      <c r="B47" s="31">
        <v>53.2</v>
      </c>
      <c r="C47" s="31">
        <v>2.2</v>
      </c>
      <c r="D47" s="31" t="s">
        <v>215</v>
      </c>
      <c r="E47" s="31">
        <v>8.5</v>
      </c>
    </row>
    <row r="48">
      <c r="A48" s="31" t="s">
        <v>261</v>
      </c>
      <c r="B48" s="31">
        <v>53.2</v>
      </c>
      <c r="C48" s="31">
        <v>2.2</v>
      </c>
      <c r="D48" s="31" t="s">
        <v>215</v>
      </c>
      <c r="E48" s="31">
        <v>30.0</v>
      </c>
    </row>
    <row r="49">
      <c r="A49" s="31" t="s">
        <v>262</v>
      </c>
      <c r="B49" s="31">
        <v>57.5</v>
      </c>
      <c r="C49" s="31">
        <v>0.5</v>
      </c>
      <c r="D49" s="31" t="s">
        <v>215</v>
      </c>
      <c r="E49" s="31">
        <v>10.0</v>
      </c>
    </row>
    <row r="50">
      <c r="A50" s="31" t="s">
        <v>263</v>
      </c>
      <c r="B50" s="31">
        <v>53.7</v>
      </c>
      <c r="C50" s="31">
        <v>0.7</v>
      </c>
      <c r="D50" s="31" t="s">
        <v>215</v>
      </c>
      <c r="E50" s="31">
        <v>1.0</v>
      </c>
    </row>
    <row r="51">
      <c r="A51" s="31" t="s">
        <v>264</v>
      </c>
      <c r="B51" s="31">
        <v>53.7</v>
      </c>
      <c r="C51" s="31">
        <v>0.7</v>
      </c>
      <c r="D51" s="31" t="s">
        <v>215</v>
      </c>
      <c r="E51" s="31">
        <v>5.0</v>
      </c>
    </row>
    <row r="52">
      <c r="A52" s="31" t="s">
        <v>265</v>
      </c>
      <c r="B52" s="31">
        <v>58.2</v>
      </c>
      <c r="C52" s="31">
        <v>1.5</v>
      </c>
      <c r="D52" s="31" t="s">
        <v>215</v>
      </c>
      <c r="E52" s="31">
        <v>10.0</v>
      </c>
    </row>
    <row r="53">
      <c r="A53" s="31" t="s">
        <v>266</v>
      </c>
      <c r="B53" s="31">
        <v>54.6</v>
      </c>
      <c r="C53" s="31">
        <v>2.8</v>
      </c>
      <c r="D53" s="31" t="s">
        <v>215</v>
      </c>
      <c r="E53" s="31">
        <v>6.0</v>
      </c>
    </row>
    <row r="54">
      <c r="A54" s="31" t="s">
        <v>267</v>
      </c>
      <c r="B54" s="31">
        <v>54.3</v>
      </c>
      <c r="C54" s="31">
        <v>2.4</v>
      </c>
      <c r="D54" s="31" t="s">
        <v>215</v>
      </c>
      <c r="E54" s="31">
        <v>6.0</v>
      </c>
    </row>
    <row r="55">
      <c r="A55" s="31" t="s">
        <v>268</v>
      </c>
      <c r="B55" s="31">
        <v>61.2</v>
      </c>
      <c r="C55" s="31">
        <v>1.2</v>
      </c>
      <c r="D55" s="31" t="s">
        <v>215</v>
      </c>
      <c r="E55" s="31">
        <v>10.0</v>
      </c>
    </row>
    <row r="56">
      <c r="A56" s="31" t="s">
        <v>269</v>
      </c>
      <c r="B56" s="31">
        <v>44.325</v>
      </c>
      <c r="C56" s="31">
        <v>12.306</v>
      </c>
      <c r="D56" s="31" t="s">
        <v>215</v>
      </c>
      <c r="E56" s="31">
        <v>0.8</v>
      </c>
    </row>
    <row r="57">
      <c r="A57" s="31" t="s">
        <v>270</v>
      </c>
      <c r="B57" s="31">
        <v>42.921</v>
      </c>
      <c r="C57" s="31">
        <v>27.982</v>
      </c>
      <c r="D57" s="31" t="s">
        <v>215</v>
      </c>
      <c r="E57" s="31">
        <v>4.0</v>
      </c>
    </row>
    <row r="58">
      <c r="A58" s="31" t="s">
        <v>271</v>
      </c>
      <c r="B58" s="31">
        <v>40.64</v>
      </c>
      <c r="C58" s="31">
        <v>24.566</v>
      </c>
      <c r="D58" s="31" t="s">
        <v>215</v>
      </c>
      <c r="E58" s="31">
        <v>2.5</v>
      </c>
    </row>
    <row r="59">
      <c r="A59" s="31" t="s">
        <v>272</v>
      </c>
      <c r="B59" s="31">
        <v>43.410721</v>
      </c>
      <c r="C59" s="31">
        <v>-0.635305</v>
      </c>
      <c r="D59" s="31" t="s">
        <v>273</v>
      </c>
      <c r="E59" s="31">
        <v>15.0</v>
      </c>
    </row>
    <row r="60">
      <c r="A60" s="31" t="s">
        <v>274</v>
      </c>
      <c r="B60" s="31">
        <v>51.68289</v>
      </c>
      <c r="C60" s="31">
        <v>-4.99484</v>
      </c>
      <c r="D60" s="31" t="s">
        <v>273</v>
      </c>
      <c r="E60" s="31">
        <v>15.0</v>
      </c>
    </row>
    <row r="61">
      <c r="A61" s="31" t="s">
        <v>275</v>
      </c>
      <c r="B61" s="31">
        <v>53.45553532</v>
      </c>
      <c r="C61" s="31">
        <v>6.835219443</v>
      </c>
      <c r="D61" s="31" t="s">
        <v>273</v>
      </c>
      <c r="E61" s="31">
        <v>12.0</v>
      </c>
    </row>
    <row r="62">
      <c r="A62" s="31" t="s">
        <v>276</v>
      </c>
      <c r="B62" s="31">
        <v>50.834846</v>
      </c>
      <c r="C62" s="31">
        <v>-1.367647</v>
      </c>
      <c r="D62" s="31" t="s">
        <v>273</v>
      </c>
      <c r="E62" s="31">
        <v>10.0</v>
      </c>
    </row>
    <row r="63">
      <c r="A63" s="31" t="s">
        <v>277</v>
      </c>
      <c r="B63" s="31">
        <v>51.24049</v>
      </c>
      <c r="C63" s="31">
        <v>4.40742</v>
      </c>
      <c r="D63" s="31" t="s">
        <v>273</v>
      </c>
      <c r="E63" s="31">
        <v>9.0</v>
      </c>
    </row>
    <row r="64">
      <c r="A64" s="31" t="s">
        <v>278</v>
      </c>
      <c r="B64" s="31">
        <v>53.43886648</v>
      </c>
      <c r="C64" s="31">
        <v>6.861697289</v>
      </c>
      <c r="D64" s="31" t="s">
        <v>273</v>
      </c>
      <c r="E64" s="31">
        <v>8.0</v>
      </c>
    </row>
    <row r="65">
      <c r="A65" s="31" t="s">
        <v>279</v>
      </c>
      <c r="B65" s="31">
        <v>53.7389</v>
      </c>
      <c r="C65" s="31">
        <v>-0.996018</v>
      </c>
      <c r="D65" s="31" t="s">
        <v>273</v>
      </c>
      <c r="E65" s="31">
        <v>8.0</v>
      </c>
    </row>
    <row r="66">
      <c r="A66" s="31" t="s">
        <v>280</v>
      </c>
      <c r="B66" s="31">
        <v>51.33401</v>
      </c>
      <c r="C66" s="31">
        <v>3.82268</v>
      </c>
      <c r="D66" s="31" t="s">
        <v>273</v>
      </c>
      <c r="E66" s="31">
        <v>6.5</v>
      </c>
    </row>
    <row r="67">
      <c r="A67" s="31" t="s">
        <v>281</v>
      </c>
      <c r="B67" s="31">
        <v>51.68304747</v>
      </c>
      <c r="C67" s="31">
        <v>-4.994827721</v>
      </c>
      <c r="D67" s="31" t="s">
        <v>273</v>
      </c>
      <c r="E67" s="31">
        <v>5.0</v>
      </c>
    </row>
    <row r="68">
      <c r="A68" s="31" t="s">
        <v>282</v>
      </c>
      <c r="B68" s="31">
        <v>53.07533584</v>
      </c>
      <c r="C68" s="31">
        <v>-0.856732915</v>
      </c>
      <c r="D68" s="31" t="s">
        <v>273</v>
      </c>
      <c r="E68" s="31">
        <v>5.0</v>
      </c>
    </row>
    <row r="69">
      <c r="A69" s="31" t="s">
        <v>283</v>
      </c>
      <c r="B69" s="31">
        <v>53.56854</v>
      </c>
      <c r="C69" s="31">
        <v>8.12462</v>
      </c>
      <c r="D69" s="31" t="s">
        <v>273</v>
      </c>
      <c r="E69" s="31">
        <v>4.3</v>
      </c>
    </row>
    <row r="70">
      <c r="A70" s="31" t="s">
        <v>284</v>
      </c>
      <c r="B70" s="31">
        <v>55.71404</v>
      </c>
      <c r="C70" s="31">
        <v>12.59816</v>
      </c>
      <c r="D70" s="31" t="s">
        <v>273</v>
      </c>
      <c r="E70" s="31">
        <v>3.0</v>
      </c>
    </row>
    <row r="71">
      <c r="A71" s="31" t="s">
        <v>285</v>
      </c>
      <c r="B71" s="31">
        <v>51.02518</v>
      </c>
      <c r="C71" s="31">
        <v>2.29343</v>
      </c>
      <c r="D71" s="31" t="s">
        <v>273</v>
      </c>
      <c r="E71" s="31">
        <v>3.0</v>
      </c>
    </row>
    <row r="72">
      <c r="A72" s="31" t="s">
        <v>286</v>
      </c>
      <c r="B72" s="31">
        <v>51.70700691</v>
      </c>
      <c r="C72" s="31">
        <v>4.846226675</v>
      </c>
      <c r="D72" s="31" t="s">
        <v>273</v>
      </c>
      <c r="E72" s="31">
        <v>3.0</v>
      </c>
    </row>
    <row r="73">
      <c r="A73" s="31" t="s">
        <v>287</v>
      </c>
      <c r="B73" s="31">
        <v>54.39976</v>
      </c>
      <c r="C73" s="31">
        <v>18.69635</v>
      </c>
      <c r="D73" s="31" t="s">
        <v>273</v>
      </c>
      <c r="E73" s="31">
        <v>3.0</v>
      </c>
    </row>
    <row r="74">
      <c r="A74" s="31" t="s">
        <v>288</v>
      </c>
      <c r="B74" s="31">
        <v>53.21889007</v>
      </c>
      <c r="C74" s="31">
        <v>-1.870993602</v>
      </c>
      <c r="D74" s="31" t="s">
        <v>273</v>
      </c>
      <c r="E74" s="31">
        <v>3.0</v>
      </c>
    </row>
    <row r="75">
      <c r="A75" s="31" t="s">
        <v>289</v>
      </c>
      <c r="B75" s="31">
        <v>55.20463751</v>
      </c>
      <c r="C75" s="31">
        <v>-1.520701117</v>
      </c>
      <c r="D75" s="31" t="s">
        <v>273</v>
      </c>
      <c r="E75" s="31">
        <v>2.75</v>
      </c>
    </row>
    <row r="76">
      <c r="A76" s="31" t="s">
        <v>290</v>
      </c>
      <c r="B76" s="31">
        <v>47.29732875</v>
      </c>
      <c r="C76" s="31">
        <v>-2.16219476</v>
      </c>
      <c r="D76" s="31" t="s">
        <v>273</v>
      </c>
      <c r="E76" s="31">
        <v>2.6</v>
      </c>
    </row>
    <row r="77">
      <c r="A77" s="31" t="s">
        <v>291</v>
      </c>
      <c r="B77" s="31">
        <v>51.9443279</v>
      </c>
      <c r="C77" s="31">
        <v>4.072575583</v>
      </c>
      <c r="D77" s="31" t="s">
        <v>273</v>
      </c>
      <c r="E77" s="31">
        <v>2.5</v>
      </c>
    </row>
    <row r="78">
      <c r="A78" s="31" t="s">
        <v>292</v>
      </c>
      <c r="B78" s="31">
        <v>51.94797</v>
      </c>
      <c r="C78" s="31">
        <v>4.13722</v>
      </c>
      <c r="D78" s="31" t="s">
        <v>273</v>
      </c>
      <c r="E78" s="31">
        <v>2.5</v>
      </c>
    </row>
    <row r="79">
      <c r="A79" s="31" t="s">
        <v>293</v>
      </c>
      <c r="B79" s="31">
        <v>53.63784618</v>
      </c>
      <c r="C79" s="31">
        <v>-0.236925946</v>
      </c>
      <c r="D79" s="31" t="s">
        <v>273</v>
      </c>
      <c r="E79" s="31">
        <v>2.43</v>
      </c>
    </row>
    <row r="80">
      <c r="A80" s="31" t="s">
        <v>294</v>
      </c>
      <c r="B80" s="31">
        <v>53.232321</v>
      </c>
      <c r="C80" s="31">
        <v>-3.081545</v>
      </c>
      <c r="D80" s="31" t="s">
        <v>273</v>
      </c>
      <c r="E80" s="31">
        <v>2.4</v>
      </c>
    </row>
    <row r="81">
      <c r="A81" s="31" t="s">
        <v>295</v>
      </c>
      <c r="B81" s="31">
        <v>53.27676201</v>
      </c>
      <c r="C81" s="31">
        <v>-2.851590768</v>
      </c>
      <c r="D81" s="31" t="s">
        <v>273</v>
      </c>
      <c r="E81" s="31">
        <v>2.3</v>
      </c>
    </row>
    <row r="82">
      <c r="A82" s="31" t="s">
        <v>296</v>
      </c>
      <c r="B82" s="31">
        <v>54.158548</v>
      </c>
      <c r="C82" s="31">
        <v>12.097412</v>
      </c>
      <c r="D82" s="31" t="s">
        <v>273</v>
      </c>
      <c r="E82" s="31">
        <v>2.0</v>
      </c>
    </row>
    <row r="83">
      <c r="A83" s="31" t="s">
        <v>297</v>
      </c>
      <c r="B83" s="31">
        <v>38.37930585</v>
      </c>
      <c r="C83" s="31">
        <v>24.06533536</v>
      </c>
      <c r="D83" s="31" t="s">
        <v>273</v>
      </c>
      <c r="E83" s="31">
        <v>2.0</v>
      </c>
    </row>
    <row r="84">
      <c r="A84" s="31" t="s">
        <v>298</v>
      </c>
      <c r="B84" s="31">
        <v>70.479599</v>
      </c>
      <c r="C84" s="31">
        <v>24.262541</v>
      </c>
      <c r="D84" s="31" t="s">
        <v>273</v>
      </c>
      <c r="E84" s="31">
        <v>2.0</v>
      </c>
    </row>
    <row r="85">
      <c r="A85" s="31" t="s">
        <v>299</v>
      </c>
      <c r="B85" s="31">
        <v>54.52467429</v>
      </c>
      <c r="C85" s="31">
        <v>-1.295463579</v>
      </c>
      <c r="D85" s="31" t="s">
        <v>273</v>
      </c>
      <c r="E85" s="31">
        <v>2.0</v>
      </c>
    </row>
    <row r="86">
      <c r="A86" s="31" t="s">
        <v>300</v>
      </c>
      <c r="B86" s="31">
        <v>53.5872</v>
      </c>
      <c r="C86" s="31">
        <v>-0.1732</v>
      </c>
      <c r="D86" s="31" t="s">
        <v>273</v>
      </c>
      <c r="E86" s="31">
        <v>2.0</v>
      </c>
    </row>
    <row r="87">
      <c r="A87" s="31" t="s">
        <v>301</v>
      </c>
      <c r="B87" s="31">
        <v>54.60998365</v>
      </c>
      <c r="C87" s="31">
        <v>-1.196597174</v>
      </c>
      <c r="D87" s="31" t="s">
        <v>273</v>
      </c>
      <c r="E87" s="31">
        <v>2.0</v>
      </c>
    </row>
    <row r="88">
      <c r="A88" s="31" t="s">
        <v>302</v>
      </c>
      <c r="B88" s="31">
        <v>54.60998365</v>
      </c>
      <c r="C88" s="31">
        <v>-1.196597174</v>
      </c>
      <c r="D88" s="31" t="s">
        <v>273</v>
      </c>
      <c r="E88" s="31">
        <v>2.0</v>
      </c>
    </row>
    <row r="89">
      <c r="A89" s="31" t="s">
        <v>303</v>
      </c>
      <c r="B89" s="31">
        <v>51.443151</v>
      </c>
      <c r="C89" s="31">
        <v>0.708214</v>
      </c>
      <c r="D89" s="31" t="s">
        <v>273</v>
      </c>
      <c r="E89" s="31">
        <v>2.0</v>
      </c>
    </row>
    <row r="90">
      <c r="A90" s="31" t="s">
        <v>304</v>
      </c>
      <c r="B90" s="31">
        <v>38.12928058</v>
      </c>
      <c r="C90" s="31">
        <v>23.52932101</v>
      </c>
      <c r="D90" s="31" t="s">
        <v>273</v>
      </c>
      <c r="E90" s="31">
        <v>1.9</v>
      </c>
    </row>
    <row r="91">
      <c r="A91" s="31" t="s">
        <v>305</v>
      </c>
      <c r="B91" s="31">
        <v>53.45380457</v>
      </c>
      <c r="C91" s="31">
        <v>6.805438815</v>
      </c>
      <c r="D91" s="31" t="s">
        <v>273</v>
      </c>
      <c r="E91" s="31">
        <v>1.9</v>
      </c>
    </row>
    <row r="92">
      <c r="A92" s="31" t="s">
        <v>306</v>
      </c>
      <c r="B92" s="31">
        <v>57.715001</v>
      </c>
      <c r="C92" s="31">
        <v>18.801591</v>
      </c>
      <c r="D92" s="31" t="s">
        <v>273</v>
      </c>
      <c r="E92" s="31">
        <v>1.8</v>
      </c>
    </row>
    <row r="93">
      <c r="A93" s="31" t="s">
        <v>307</v>
      </c>
      <c r="B93" s="31">
        <v>53.36303702</v>
      </c>
      <c r="C93" s="31">
        <v>-0.798778628</v>
      </c>
      <c r="D93" s="31" t="s">
        <v>273</v>
      </c>
      <c r="E93" s="31">
        <v>1.79</v>
      </c>
    </row>
    <row r="94">
      <c r="A94" s="31" t="s">
        <v>308</v>
      </c>
      <c r="B94" s="31">
        <v>53.63952062</v>
      </c>
      <c r="C94" s="31">
        <v>-0.274752385</v>
      </c>
      <c r="D94" s="31" t="s">
        <v>273</v>
      </c>
      <c r="E94" s="31">
        <v>1.6</v>
      </c>
    </row>
    <row r="95">
      <c r="A95" s="31" t="s">
        <v>309</v>
      </c>
      <c r="B95" s="31">
        <v>66.31127</v>
      </c>
      <c r="C95" s="31">
        <v>14.16336</v>
      </c>
      <c r="D95" s="31" t="s">
        <v>273</v>
      </c>
      <c r="E95" s="31">
        <v>1.5</v>
      </c>
    </row>
    <row r="96">
      <c r="A96" s="31" t="s">
        <v>310</v>
      </c>
      <c r="B96" s="31">
        <v>52.47243291</v>
      </c>
      <c r="C96" s="31">
        <v>1.746511304</v>
      </c>
      <c r="D96" s="31" t="s">
        <v>273</v>
      </c>
      <c r="E96" s="31">
        <v>1.5</v>
      </c>
    </row>
    <row r="97">
      <c r="A97" s="31" t="s">
        <v>311</v>
      </c>
      <c r="B97" s="31">
        <v>53.5951664</v>
      </c>
      <c r="C97" s="31">
        <v>-0.739575384</v>
      </c>
      <c r="D97" s="31" t="s">
        <v>273</v>
      </c>
      <c r="E97" s="31">
        <v>1.5</v>
      </c>
    </row>
    <row r="98">
      <c r="A98" s="31" t="s">
        <v>312</v>
      </c>
      <c r="B98" s="31">
        <v>57.477854</v>
      </c>
      <c r="C98" s="31">
        <v>-1.789046</v>
      </c>
      <c r="D98" s="31" t="s">
        <v>273</v>
      </c>
      <c r="E98" s="31">
        <v>1.5</v>
      </c>
    </row>
    <row r="99">
      <c r="A99" s="31" t="s">
        <v>313</v>
      </c>
      <c r="B99" s="31">
        <v>53.718593</v>
      </c>
      <c r="C99" s="31">
        <v>-1.287227</v>
      </c>
      <c r="D99" s="31" t="s">
        <v>273</v>
      </c>
      <c r="E99" s="31">
        <v>1.42</v>
      </c>
    </row>
    <row r="100">
      <c r="A100" s="31" t="s">
        <v>314</v>
      </c>
      <c r="B100" s="31">
        <v>50.89963573</v>
      </c>
      <c r="C100" s="31">
        <v>-1.438088598</v>
      </c>
      <c r="D100" s="31" t="s">
        <v>273</v>
      </c>
      <c r="E100" s="31">
        <v>1.4</v>
      </c>
    </row>
    <row r="101">
      <c r="A101" s="31" t="s">
        <v>315</v>
      </c>
      <c r="B101" s="31">
        <v>51.50448363</v>
      </c>
      <c r="C101" s="31">
        <v>0.153959189</v>
      </c>
      <c r="D101" s="31" t="s">
        <v>273</v>
      </c>
      <c r="E101" s="31">
        <v>1.4</v>
      </c>
    </row>
    <row r="102">
      <c r="A102" s="31" t="s">
        <v>316</v>
      </c>
      <c r="B102" s="31">
        <v>53.549639</v>
      </c>
      <c r="C102" s="31">
        <v>8.153304</v>
      </c>
      <c r="D102" s="31" t="s">
        <v>273</v>
      </c>
      <c r="E102" s="31">
        <v>1.3</v>
      </c>
    </row>
    <row r="103">
      <c r="A103" s="31" t="s">
        <v>317</v>
      </c>
      <c r="B103" s="31">
        <v>51.8496</v>
      </c>
      <c r="C103" s="31">
        <v>4.24526</v>
      </c>
      <c r="D103" s="31" t="s">
        <v>273</v>
      </c>
      <c r="E103" s="31">
        <v>1.3</v>
      </c>
    </row>
    <row r="104">
      <c r="A104" s="31" t="s">
        <v>318</v>
      </c>
      <c r="B104" s="31">
        <v>52.48719682</v>
      </c>
      <c r="C104" s="31">
        <v>13.83246749</v>
      </c>
      <c r="D104" s="31" t="s">
        <v>273</v>
      </c>
      <c r="E104" s="31">
        <v>1.3</v>
      </c>
    </row>
    <row r="105">
      <c r="A105" s="31" t="s">
        <v>319</v>
      </c>
      <c r="B105" s="31">
        <v>52.3533</v>
      </c>
      <c r="C105" s="31">
        <v>9.8891</v>
      </c>
      <c r="D105" s="31" t="s">
        <v>273</v>
      </c>
      <c r="E105" s="31">
        <v>1.3</v>
      </c>
    </row>
    <row r="106">
      <c r="A106" s="31" t="s">
        <v>320</v>
      </c>
      <c r="B106" s="31">
        <v>37.92005179</v>
      </c>
      <c r="C106" s="31">
        <v>23.07692357</v>
      </c>
      <c r="D106" s="31" t="s">
        <v>273</v>
      </c>
      <c r="E106" s="31">
        <v>1.2</v>
      </c>
    </row>
    <row r="107">
      <c r="A107" s="31" t="s">
        <v>321</v>
      </c>
      <c r="B107" s="31">
        <v>53.64243114</v>
      </c>
      <c r="C107" s="31">
        <v>-0.254061132</v>
      </c>
      <c r="D107" s="31" t="s">
        <v>273</v>
      </c>
      <c r="E107" s="31">
        <v>1.1</v>
      </c>
    </row>
    <row r="108">
      <c r="A108" s="31" t="s">
        <v>322</v>
      </c>
      <c r="B108" s="31">
        <v>40.576635</v>
      </c>
      <c r="C108" s="31">
        <v>0.543689</v>
      </c>
      <c r="D108" s="31" t="s">
        <v>273</v>
      </c>
      <c r="E108" s="31">
        <v>1.1</v>
      </c>
    </row>
    <row r="109">
      <c r="A109" s="31" t="s">
        <v>323</v>
      </c>
      <c r="B109" s="31">
        <v>52.838333</v>
      </c>
      <c r="C109" s="31">
        <v>17.988974</v>
      </c>
      <c r="D109" s="31" t="s">
        <v>273</v>
      </c>
      <c r="E109" s="31">
        <v>1.02</v>
      </c>
    </row>
    <row r="110">
      <c r="A110" s="31" t="s">
        <v>324</v>
      </c>
      <c r="B110" s="31">
        <v>50.4734547</v>
      </c>
      <c r="C110" s="31">
        <v>3.992930626</v>
      </c>
      <c r="D110" s="31" t="s">
        <v>273</v>
      </c>
      <c r="E110" s="31">
        <v>1.0</v>
      </c>
    </row>
    <row r="111">
      <c r="A111" s="31" t="s">
        <v>325</v>
      </c>
      <c r="B111" s="31">
        <v>49.3754</v>
      </c>
      <c r="C111" s="31">
        <v>0.2601</v>
      </c>
      <c r="D111" s="31" t="s">
        <v>273</v>
      </c>
      <c r="E111" s="31">
        <v>1.0</v>
      </c>
    </row>
    <row r="112">
      <c r="A112" s="31" t="s">
        <v>232</v>
      </c>
      <c r="B112" s="31">
        <v>58.2353</v>
      </c>
      <c r="C112" s="31">
        <v>1.37829</v>
      </c>
      <c r="D112" s="31" t="s">
        <v>273</v>
      </c>
      <c r="E112" s="31">
        <v>1.0</v>
      </c>
    </row>
    <row r="113">
      <c r="A113" s="31" t="s">
        <v>326</v>
      </c>
      <c r="B113" s="31">
        <v>52.58657889</v>
      </c>
      <c r="C113" s="31">
        <v>19.67286687</v>
      </c>
      <c r="D113" s="31" t="s">
        <v>273</v>
      </c>
      <c r="E113" s="31">
        <v>1.0</v>
      </c>
    </row>
    <row r="114">
      <c r="A114" s="31" t="s">
        <v>327</v>
      </c>
      <c r="B114" s="31">
        <v>45.80301886</v>
      </c>
      <c r="C114" s="31">
        <v>5.419228997</v>
      </c>
      <c r="D114" s="31" t="s">
        <v>273</v>
      </c>
      <c r="E114" s="31">
        <v>1.0</v>
      </c>
    </row>
    <row r="115">
      <c r="A115" s="31" t="s">
        <v>328</v>
      </c>
      <c r="B115" s="31">
        <v>48.1082078</v>
      </c>
      <c r="C115" s="31">
        <v>-1.030902214</v>
      </c>
      <c r="D115" s="31" t="s">
        <v>273</v>
      </c>
      <c r="E115" s="31">
        <v>1.0</v>
      </c>
    </row>
    <row r="116">
      <c r="A116" s="31" t="s">
        <v>329</v>
      </c>
      <c r="B116" s="31">
        <v>46.81140553</v>
      </c>
      <c r="C116" s="31">
        <v>-0.135659657</v>
      </c>
      <c r="D116" s="31" t="s">
        <v>273</v>
      </c>
      <c r="E116" s="31">
        <v>1.0</v>
      </c>
    </row>
    <row r="117">
      <c r="A117" s="31" t="s">
        <v>330</v>
      </c>
      <c r="B117" s="31">
        <v>53.73406772</v>
      </c>
      <c r="C117" s="31">
        <v>-0.238886233</v>
      </c>
      <c r="D117" s="31" t="s">
        <v>273</v>
      </c>
      <c r="E117" s="31">
        <v>0.9</v>
      </c>
    </row>
    <row r="118">
      <c r="A118" s="31" t="s">
        <v>331</v>
      </c>
      <c r="B118" s="31">
        <v>53.32832</v>
      </c>
      <c r="C118" s="31">
        <v>-2.757207</v>
      </c>
      <c r="D118" s="31" t="s">
        <v>273</v>
      </c>
      <c r="E118" s="31">
        <v>0.9</v>
      </c>
    </row>
    <row r="119">
      <c r="A119" s="31" t="s">
        <v>332</v>
      </c>
      <c r="B119" s="31">
        <v>51.01134572</v>
      </c>
      <c r="C119" s="31">
        <v>2.158749615</v>
      </c>
      <c r="D119" s="31" t="s">
        <v>273</v>
      </c>
      <c r="E119" s="31">
        <v>0.9</v>
      </c>
    </row>
    <row r="120">
      <c r="A120" s="31" t="s">
        <v>333</v>
      </c>
      <c r="B120" s="31">
        <v>53.27220077</v>
      </c>
      <c r="C120" s="31">
        <v>-2.846090049</v>
      </c>
      <c r="D120" s="31" t="s">
        <v>273</v>
      </c>
      <c r="E120" s="31">
        <v>0.86</v>
      </c>
    </row>
    <row r="121">
      <c r="A121" s="31" t="s">
        <v>334</v>
      </c>
      <c r="B121" s="31">
        <v>50.69912</v>
      </c>
      <c r="C121" s="31">
        <v>2.109775</v>
      </c>
      <c r="D121" s="31" t="s">
        <v>273</v>
      </c>
      <c r="E121" s="31">
        <v>0.81</v>
      </c>
    </row>
    <row r="122">
      <c r="A122" s="31" t="s">
        <v>335</v>
      </c>
      <c r="B122" s="31">
        <v>50.57472325</v>
      </c>
      <c r="C122" s="31">
        <v>3.443378546</v>
      </c>
      <c r="D122" s="31" t="s">
        <v>273</v>
      </c>
      <c r="E122" s="31">
        <v>0.8</v>
      </c>
    </row>
    <row r="123">
      <c r="A123" s="31" t="s">
        <v>336</v>
      </c>
      <c r="B123" s="31">
        <v>43.234174</v>
      </c>
      <c r="C123" s="31">
        <v>27.593969</v>
      </c>
      <c r="D123" s="31" t="s">
        <v>273</v>
      </c>
      <c r="E123" s="31">
        <v>0.8</v>
      </c>
    </row>
    <row r="124">
      <c r="A124" s="31" t="s">
        <v>337</v>
      </c>
      <c r="B124" s="31">
        <v>51.4885</v>
      </c>
      <c r="C124" s="31">
        <v>3.72838</v>
      </c>
      <c r="D124" s="31" t="s">
        <v>273</v>
      </c>
      <c r="E124" s="31">
        <v>0.8</v>
      </c>
    </row>
    <row r="125">
      <c r="A125" s="31" t="s">
        <v>338</v>
      </c>
      <c r="B125" s="31">
        <v>51.272101</v>
      </c>
      <c r="C125" s="31">
        <v>3.849727</v>
      </c>
      <c r="D125" s="31" t="s">
        <v>273</v>
      </c>
      <c r="E125" s="31">
        <v>0.8</v>
      </c>
    </row>
    <row r="126">
      <c r="A126" s="31" t="s">
        <v>339</v>
      </c>
      <c r="B126" s="31">
        <v>59.35286</v>
      </c>
      <c r="C126" s="31">
        <v>18.1019</v>
      </c>
      <c r="D126" s="31" t="s">
        <v>273</v>
      </c>
      <c r="E126" s="31">
        <v>0.8</v>
      </c>
    </row>
    <row r="127">
      <c r="A127" s="31" t="s">
        <v>340</v>
      </c>
      <c r="B127" s="31">
        <v>53.15428696</v>
      </c>
      <c r="C127" s="31">
        <v>-3.062048046</v>
      </c>
      <c r="D127" s="31" t="s">
        <v>273</v>
      </c>
      <c r="E127" s="31">
        <v>0.8</v>
      </c>
    </row>
    <row r="128">
      <c r="A128" s="31" t="s">
        <v>341</v>
      </c>
      <c r="B128" s="31">
        <v>54.57512435</v>
      </c>
      <c r="C128" s="31">
        <v>-1.127010733</v>
      </c>
      <c r="D128" s="31" t="s">
        <v>273</v>
      </c>
      <c r="E128" s="31">
        <v>0.8</v>
      </c>
    </row>
    <row r="129">
      <c r="A129" s="31" t="s">
        <v>342</v>
      </c>
      <c r="B129" s="31">
        <v>56.69166211</v>
      </c>
      <c r="C129" s="31">
        <v>22.59123111</v>
      </c>
      <c r="D129" s="31" t="s">
        <v>273</v>
      </c>
      <c r="E129" s="31">
        <v>0.75</v>
      </c>
    </row>
    <row r="130">
      <c r="A130" s="31" t="s">
        <v>343</v>
      </c>
      <c r="B130" s="31">
        <v>45.4518737</v>
      </c>
      <c r="C130" s="31">
        <v>18.03971848</v>
      </c>
      <c r="D130" s="31" t="s">
        <v>273</v>
      </c>
      <c r="E130" s="31">
        <v>0.7</v>
      </c>
    </row>
    <row r="131">
      <c r="A131" s="31" t="s">
        <v>344</v>
      </c>
      <c r="B131" s="31">
        <v>51.61219288</v>
      </c>
      <c r="C131" s="31">
        <v>8.512661469</v>
      </c>
      <c r="D131" s="31" t="s">
        <v>273</v>
      </c>
      <c r="E131" s="31">
        <v>0.7</v>
      </c>
    </row>
    <row r="132">
      <c r="A132" s="31" t="s">
        <v>345</v>
      </c>
      <c r="B132" s="31">
        <v>51.6128</v>
      </c>
      <c r="C132" s="31">
        <v>-0.0448</v>
      </c>
      <c r="D132" s="31" t="s">
        <v>273</v>
      </c>
      <c r="E132" s="31">
        <v>0.7</v>
      </c>
    </row>
    <row r="133">
      <c r="A133" s="31" t="s">
        <v>346</v>
      </c>
      <c r="B133" s="31">
        <v>43.28236</v>
      </c>
      <c r="C133" s="31">
        <v>23.466038</v>
      </c>
      <c r="D133" s="31" t="s">
        <v>273</v>
      </c>
      <c r="E133" s="31">
        <v>0.7</v>
      </c>
    </row>
    <row r="134">
      <c r="A134" s="31" t="s">
        <v>347</v>
      </c>
      <c r="B134" s="31">
        <v>43.18614542</v>
      </c>
      <c r="C134" s="31">
        <v>0.98863174</v>
      </c>
      <c r="D134" s="31" t="s">
        <v>273</v>
      </c>
      <c r="E134" s="31">
        <v>0.7</v>
      </c>
    </row>
    <row r="135">
      <c r="A135" s="31" t="s">
        <v>348</v>
      </c>
      <c r="B135" s="31">
        <v>45.708134</v>
      </c>
      <c r="C135" s="31">
        <v>18.11649353</v>
      </c>
      <c r="D135" s="31" t="s">
        <v>273</v>
      </c>
      <c r="E135" s="31">
        <v>0.63</v>
      </c>
    </row>
    <row r="136">
      <c r="A136" s="31" t="s">
        <v>349</v>
      </c>
      <c r="B136" s="31">
        <v>59.18333</v>
      </c>
      <c r="C136" s="31">
        <v>10.96666</v>
      </c>
      <c r="D136" s="31" t="s">
        <v>273</v>
      </c>
      <c r="E136" s="31">
        <v>0.63</v>
      </c>
    </row>
    <row r="137">
      <c r="A137" s="31" t="s">
        <v>350</v>
      </c>
      <c r="B137" s="31">
        <v>51.362</v>
      </c>
      <c r="C137" s="31">
        <v>10.4835</v>
      </c>
      <c r="D137" s="31" t="s">
        <v>273</v>
      </c>
      <c r="E137" s="31">
        <v>0.62</v>
      </c>
    </row>
    <row r="138">
      <c r="A138" s="31" t="s">
        <v>351</v>
      </c>
      <c r="B138" s="31">
        <v>50.813614</v>
      </c>
      <c r="C138" s="31">
        <v>1.78149</v>
      </c>
      <c r="D138" s="31" t="s">
        <v>273</v>
      </c>
      <c r="E138" s="31">
        <v>0.61</v>
      </c>
    </row>
    <row r="139">
      <c r="A139" s="31" t="s">
        <v>352</v>
      </c>
      <c r="B139" s="31">
        <v>39.66366992</v>
      </c>
      <c r="C139" s="31">
        <v>-0.246932415</v>
      </c>
      <c r="D139" s="31" t="s">
        <v>273</v>
      </c>
      <c r="E139" s="31">
        <v>0.56</v>
      </c>
    </row>
    <row r="140">
      <c r="A140" s="31" t="s">
        <v>353</v>
      </c>
      <c r="B140" s="31">
        <v>57.06250177</v>
      </c>
      <c r="C140" s="31">
        <v>9.972268502</v>
      </c>
      <c r="D140" s="31" t="s">
        <v>273</v>
      </c>
      <c r="E140" s="31">
        <v>0.5</v>
      </c>
    </row>
    <row r="141">
      <c r="A141" s="31" t="s">
        <v>354</v>
      </c>
      <c r="B141" s="31">
        <v>51.29861502</v>
      </c>
      <c r="C141" s="31">
        <v>7.016463703</v>
      </c>
      <c r="D141" s="31" t="s">
        <v>273</v>
      </c>
      <c r="E141" s="31">
        <v>0.5</v>
      </c>
    </row>
    <row r="142">
      <c r="A142" s="31" t="s">
        <v>355</v>
      </c>
      <c r="B142" s="31">
        <v>58.347329</v>
      </c>
      <c r="C142" s="31">
        <v>11.423312</v>
      </c>
      <c r="D142" s="31" t="s">
        <v>273</v>
      </c>
      <c r="E142" s="31">
        <v>0.5</v>
      </c>
    </row>
    <row r="143">
      <c r="A143" s="31" t="s">
        <v>356</v>
      </c>
      <c r="B143" s="31">
        <v>52.40123598</v>
      </c>
      <c r="C143" s="31">
        <v>4.796638834</v>
      </c>
      <c r="D143" s="31" t="s">
        <v>273</v>
      </c>
      <c r="E143" s="31">
        <v>0.45</v>
      </c>
    </row>
    <row r="144">
      <c r="A144" s="31" t="s">
        <v>357</v>
      </c>
      <c r="B144" s="31">
        <v>57.15044798</v>
      </c>
      <c r="C144" s="31">
        <v>-2.104155856</v>
      </c>
      <c r="D144" s="31" t="s">
        <v>273</v>
      </c>
      <c r="E144" s="31">
        <v>0.45</v>
      </c>
    </row>
    <row r="145">
      <c r="A145" s="31" t="s">
        <v>358</v>
      </c>
      <c r="B145" s="31">
        <v>46.83464407</v>
      </c>
      <c r="C145" s="31">
        <v>18.91515755</v>
      </c>
      <c r="D145" s="31" t="s">
        <v>273</v>
      </c>
      <c r="E145" s="31">
        <v>0.4</v>
      </c>
    </row>
    <row r="146">
      <c r="A146" s="31" t="s">
        <v>359</v>
      </c>
      <c r="B146" s="31">
        <v>59.06071</v>
      </c>
      <c r="C146" s="31">
        <v>9.6905</v>
      </c>
      <c r="D146" s="31" t="s">
        <v>273</v>
      </c>
      <c r="E146" s="31">
        <v>0.4</v>
      </c>
    </row>
    <row r="147">
      <c r="A147" s="31" t="s">
        <v>360</v>
      </c>
      <c r="B147" s="31">
        <v>53.282709</v>
      </c>
      <c r="C147" s="31">
        <v>-2.806517</v>
      </c>
      <c r="D147" s="31" t="s">
        <v>273</v>
      </c>
      <c r="E147" s="31">
        <v>0.38</v>
      </c>
    </row>
    <row r="148">
      <c r="A148" s="31" t="s">
        <v>361</v>
      </c>
      <c r="B148" s="31">
        <v>44.96718325</v>
      </c>
      <c r="C148" s="31">
        <v>14.12184286</v>
      </c>
      <c r="D148" s="31" t="s">
        <v>273</v>
      </c>
      <c r="E148" s="31">
        <v>0.367</v>
      </c>
    </row>
    <row r="149">
      <c r="A149" s="31" t="s">
        <v>362</v>
      </c>
      <c r="B149" s="31">
        <v>60.30821</v>
      </c>
      <c r="C149" s="31">
        <v>25.521463</v>
      </c>
      <c r="D149" s="31" t="s">
        <v>273</v>
      </c>
      <c r="E149" s="31">
        <v>0.36</v>
      </c>
    </row>
    <row r="150">
      <c r="A150" s="31" t="s">
        <v>363</v>
      </c>
      <c r="B150" s="31">
        <v>59.92251</v>
      </c>
      <c r="C150" s="31">
        <v>10.68319</v>
      </c>
      <c r="D150" s="31" t="s">
        <v>273</v>
      </c>
      <c r="E150" s="31">
        <v>0.35</v>
      </c>
    </row>
    <row r="151">
      <c r="A151" s="31" t="s">
        <v>364</v>
      </c>
      <c r="B151" s="31">
        <v>55.660738</v>
      </c>
      <c r="C151" s="31">
        <v>11.08439021</v>
      </c>
      <c r="D151" s="31" t="s">
        <v>273</v>
      </c>
      <c r="E151" s="31">
        <v>0.28</v>
      </c>
    </row>
    <row r="152">
      <c r="A152" s="31" t="s">
        <v>365</v>
      </c>
      <c r="B152" s="31">
        <v>55.631909</v>
      </c>
      <c r="C152" s="31">
        <v>13.044291</v>
      </c>
      <c r="D152" s="31" t="s">
        <v>273</v>
      </c>
      <c r="E152" s="31">
        <v>0.26</v>
      </c>
    </row>
    <row r="153">
      <c r="A153" s="31" t="s">
        <v>366</v>
      </c>
      <c r="B153" s="31">
        <v>58.43895288</v>
      </c>
      <c r="C153" s="31">
        <v>15.65306113</v>
      </c>
      <c r="D153" s="31" t="s">
        <v>273</v>
      </c>
      <c r="E153" s="31">
        <v>0.25</v>
      </c>
    </row>
    <row r="154">
      <c r="A154" s="31" t="s">
        <v>367</v>
      </c>
      <c r="B154" s="31">
        <v>54.59521097</v>
      </c>
      <c r="C154" s="31">
        <v>-1.258697948</v>
      </c>
      <c r="D154" s="31" t="s">
        <v>273</v>
      </c>
      <c r="E154" s="31">
        <v>0.24</v>
      </c>
    </row>
    <row r="155">
      <c r="A155" s="31" t="s">
        <v>368</v>
      </c>
      <c r="B155" s="31">
        <v>53.237996</v>
      </c>
      <c r="C155" s="31">
        <v>-3.034115445</v>
      </c>
      <c r="D155" s="31" t="s">
        <v>273</v>
      </c>
      <c r="E155" s="31">
        <v>0.235</v>
      </c>
    </row>
    <row r="156">
      <c r="A156" s="31" t="s">
        <v>369</v>
      </c>
      <c r="B156" s="31">
        <v>63.39875</v>
      </c>
      <c r="C156" s="31">
        <v>10.39618</v>
      </c>
      <c r="D156" s="31" t="s">
        <v>273</v>
      </c>
      <c r="E156" s="31">
        <v>0.22</v>
      </c>
    </row>
    <row r="157">
      <c r="A157" s="31" t="s">
        <v>370</v>
      </c>
      <c r="B157" s="31">
        <v>37.19363536</v>
      </c>
      <c r="C157" s="31">
        <v>15.18227025</v>
      </c>
      <c r="D157" s="31" t="s">
        <v>273</v>
      </c>
      <c r="E157" s="31">
        <v>0.2</v>
      </c>
    </row>
    <row r="158">
      <c r="A158" s="31" t="s">
        <v>371</v>
      </c>
      <c r="B158" s="31">
        <v>59.85856</v>
      </c>
      <c r="C158" s="31">
        <v>17.63892</v>
      </c>
      <c r="D158" s="31" t="s">
        <v>273</v>
      </c>
      <c r="E158" s="31">
        <v>0.2</v>
      </c>
    </row>
    <row r="159">
      <c r="A159" s="31" t="s">
        <v>372</v>
      </c>
      <c r="B159" s="31">
        <v>57.58031273</v>
      </c>
      <c r="C159" s="31">
        <v>-1.844812875</v>
      </c>
      <c r="D159" s="31" t="s">
        <v>273</v>
      </c>
      <c r="E159" s="31">
        <v>0.2</v>
      </c>
    </row>
    <row r="160">
      <c r="A160" s="31" t="s">
        <v>373</v>
      </c>
      <c r="B160" s="31">
        <v>54.60212784</v>
      </c>
      <c r="C160" s="31">
        <v>-1.19128948</v>
      </c>
      <c r="D160" s="31" t="s">
        <v>273</v>
      </c>
      <c r="E160" s="31">
        <v>0.2</v>
      </c>
    </row>
    <row r="161">
      <c r="A161" s="31" t="s">
        <v>374</v>
      </c>
      <c r="B161" s="31">
        <v>56.06918895</v>
      </c>
      <c r="C161" s="31">
        <v>12.76732814</v>
      </c>
      <c r="D161" s="31" t="s">
        <v>273</v>
      </c>
      <c r="E161" s="31">
        <v>0.2</v>
      </c>
    </row>
    <row r="162">
      <c r="A162" s="31" t="s">
        <v>375</v>
      </c>
      <c r="B162" s="31">
        <v>52.96257025</v>
      </c>
      <c r="C162" s="31">
        <v>4.794602826</v>
      </c>
      <c r="D162" s="31" t="s">
        <v>273</v>
      </c>
      <c r="E162" s="31">
        <v>0.2</v>
      </c>
    </row>
    <row r="163">
      <c r="A163" s="31" t="s">
        <v>376</v>
      </c>
      <c r="B163" s="31">
        <v>45.471112</v>
      </c>
      <c r="C163" s="31">
        <v>16.79475</v>
      </c>
      <c r="D163" s="31" t="s">
        <v>273</v>
      </c>
      <c r="E163" s="31">
        <v>0.19</v>
      </c>
    </row>
    <row r="164">
      <c r="A164" s="31" t="s">
        <v>377</v>
      </c>
      <c r="B164" s="31">
        <v>56.86955868</v>
      </c>
      <c r="C164" s="31">
        <v>14.83690213</v>
      </c>
      <c r="D164" s="31" t="s">
        <v>273</v>
      </c>
      <c r="E164" s="31">
        <v>0.18</v>
      </c>
    </row>
    <row r="165">
      <c r="A165" s="31" t="s">
        <v>378</v>
      </c>
      <c r="B165" s="31">
        <v>63.31627878</v>
      </c>
      <c r="C165" s="31">
        <v>9.142134923</v>
      </c>
      <c r="D165" s="31" t="s">
        <v>273</v>
      </c>
      <c r="E165" s="31">
        <v>0.18</v>
      </c>
    </row>
    <row r="166">
      <c r="A166" s="31" t="s">
        <v>379</v>
      </c>
      <c r="B166" s="31">
        <v>55.603263</v>
      </c>
      <c r="C166" s="31">
        <v>12.483702</v>
      </c>
      <c r="D166" s="31" t="s">
        <v>273</v>
      </c>
      <c r="E166" s="31">
        <v>0.15</v>
      </c>
    </row>
    <row r="167">
      <c r="A167" s="31" t="s">
        <v>380</v>
      </c>
      <c r="B167" s="31">
        <v>64.7453</v>
      </c>
      <c r="C167" s="31">
        <v>21.0425</v>
      </c>
      <c r="D167" s="31" t="s">
        <v>273</v>
      </c>
      <c r="E167" s="31">
        <v>0.14</v>
      </c>
    </row>
    <row r="168">
      <c r="A168" s="31" t="s">
        <v>381</v>
      </c>
      <c r="B168" s="31">
        <v>47.13588</v>
      </c>
      <c r="C168" s="31">
        <v>9.04104</v>
      </c>
      <c r="D168" s="31" t="s">
        <v>273</v>
      </c>
      <c r="E168" s="31">
        <v>0.11</v>
      </c>
    </row>
    <row r="169">
      <c r="A169" s="31" t="s">
        <v>382</v>
      </c>
      <c r="B169" s="31">
        <v>44.46671929</v>
      </c>
      <c r="C169" s="31">
        <v>12.24176915</v>
      </c>
      <c r="D169" s="31" t="s">
        <v>273</v>
      </c>
      <c r="E169" s="31">
        <v>0.11</v>
      </c>
    </row>
    <row r="170">
      <c r="A170" s="31" t="s">
        <v>383</v>
      </c>
      <c r="B170" s="31">
        <v>51.85396029</v>
      </c>
      <c r="C170" s="31">
        <v>8.029169437</v>
      </c>
      <c r="D170" s="31" t="s">
        <v>273</v>
      </c>
      <c r="E170" s="31">
        <v>0.1</v>
      </c>
    </row>
    <row r="171">
      <c r="A171" s="31" t="s">
        <v>384</v>
      </c>
      <c r="B171" s="31">
        <v>64.79749861</v>
      </c>
      <c r="C171" s="31">
        <v>-18.32882171</v>
      </c>
      <c r="D171" s="31" t="s">
        <v>273</v>
      </c>
      <c r="E171" s="31">
        <v>0.1</v>
      </c>
    </row>
    <row r="172">
      <c r="A172" s="31" t="s">
        <v>385</v>
      </c>
      <c r="B172" s="31">
        <v>58.88333</v>
      </c>
      <c r="C172" s="31">
        <v>5.69923</v>
      </c>
      <c r="D172" s="31" t="s">
        <v>273</v>
      </c>
      <c r="E172" s="31">
        <v>0.1</v>
      </c>
    </row>
    <row r="173">
      <c r="A173" s="31" t="s">
        <v>386</v>
      </c>
      <c r="B173" s="31">
        <v>48.59495077</v>
      </c>
      <c r="C173" s="31">
        <v>2.95949967</v>
      </c>
      <c r="D173" s="31" t="s">
        <v>273</v>
      </c>
      <c r="E173" s="31">
        <v>0.1</v>
      </c>
    </row>
    <row r="174">
      <c r="A174" s="31" t="s">
        <v>387</v>
      </c>
      <c r="B174" s="31">
        <v>40.96296685</v>
      </c>
      <c r="C174" s="31">
        <v>24.53744473</v>
      </c>
      <c r="D174" s="31" t="s">
        <v>273</v>
      </c>
      <c r="E174" s="31">
        <v>0.1</v>
      </c>
    </row>
    <row r="175">
      <c r="A175" s="31" t="s">
        <v>388</v>
      </c>
      <c r="B175" s="31">
        <v>69.709129</v>
      </c>
      <c r="C175" s="31">
        <v>19.014855</v>
      </c>
      <c r="D175" s="31" t="s">
        <v>273</v>
      </c>
      <c r="E175" s="31">
        <v>0.1</v>
      </c>
    </row>
    <row r="176">
      <c r="A176" s="31" t="s">
        <v>389</v>
      </c>
      <c r="B176" s="31">
        <v>44.860177</v>
      </c>
      <c r="C176" s="31">
        <v>11.555133</v>
      </c>
      <c r="D176" s="31" t="s">
        <v>273</v>
      </c>
      <c r="E176" s="31">
        <v>0.064</v>
      </c>
    </row>
    <row r="177">
      <c r="A177" s="31" t="s">
        <v>390</v>
      </c>
      <c r="B177" s="31">
        <v>45.453651</v>
      </c>
      <c r="C177" s="31">
        <v>16.407503</v>
      </c>
      <c r="D177" s="31" t="s">
        <v>273</v>
      </c>
      <c r="E177" s="31">
        <v>0.052</v>
      </c>
    </row>
    <row r="178">
      <c r="A178" s="31" t="s">
        <v>391</v>
      </c>
      <c r="B178" s="31">
        <v>52.60990222</v>
      </c>
      <c r="C178" s="31">
        <v>4.762077733</v>
      </c>
      <c r="D178" s="31" t="s">
        <v>273</v>
      </c>
      <c r="E178" s="31">
        <v>0.05</v>
      </c>
    </row>
    <row r="179">
      <c r="A179" s="31" t="s">
        <v>392</v>
      </c>
      <c r="B179" s="31">
        <v>64.0494211</v>
      </c>
      <c r="C179" s="31">
        <v>-21.43160089</v>
      </c>
      <c r="D179" s="31" t="s">
        <v>273</v>
      </c>
      <c r="E179" s="31">
        <v>0.036</v>
      </c>
    </row>
    <row r="180">
      <c r="A180" s="31" t="s">
        <v>393</v>
      </c>
      <c r="B180" s="31">
        <v>47.3999013</v>
      </c>
      <c r="C180" s="31">
        <v>8.482579123</v>
      </c>
      <c r="D180" s="31" t="s">
        <v>273</v>
      </c>
      <c r="E180" s="31">
        <v>0.025</v>
      </c>
    </row>
    <row r="181">
      <c r="A181" s="31" t="s">
        <v>394</v>
      </c>
      <c r="B181" s="31">
        <v>64.79749861</v>
      </c>
      <c r="C181" s="31">
        <v>-18.32882171</v>
      </c>
      <c r="D181" s="31" t="s">
        <v>273</v>
      </c>
      <c r="E181" s="31">
        <v>0.002</v>
      </c>
    </row>
    <row r="182">
      <c r="A182" s="31"/>
      <c r="B182" s="31"/>
      <c r="C182" s="31"/>
      <c r="D182" s="31"/>
      <c r="E182" s="31"/>
    </row>
    <row r="183">
      <c r="A183" s="31"/>
      <c r="B183" s="31"/>
      <c r="C183" s="31"/>
      <c r="D183" s="31"/>
      <c r="E183" s="31"/>
    </row>
    <row r="184">
      <c r="A184" s="31"/>
      <c r="B184" s="31"/>
      <c r="C184" s="31"/>
      <c r="D184" s="31"/>
      <c r="E184" s="31"/>
    </row>
    <row r="185">
      <c r="A185" s="31"/>
      <c r="B185" s="31"/>
      <c r="C185" s="31"/>
      <c r="D185" s="31"/>
      <c r="E185" s="31"/>
    </row>
    <row r="186">
      <c r="A186" s="31"/>
      <c r="B186" s="31"/>
      <c r="C186" s="31"/>
      <c r="D186" s="31"/>
      <c r="E186" s="31"/>
    </row>
    <row r="187">
      <c r="A187" s="31"/>
      <c r="B187" s="31"/>
      <c r="C187" s="31"/>
      <c r="D187" s="31"/>
      <c r="E187" s="31"/>
    </row>
    <row r="188">
      <c r="A188" s="31"/>
      <c r="B188" s="31"/>
      <c r="C188" s="31"/>
      <c r="D188" s="31"/>
      <c r="E188" s="31"/>
    </row>
    <row r="189">
      <c r="A189" s="31"/>
      <c r="B189" s="31"/>
      <c r="C189" s="31"/>
      <c r="D189" s="31"/>
      <c r="E189" s="31"/>
    </row>
    <row r="190">
      <c r="A190" s="31"/>
      <c r="B190" s="31"/>
      <c r="C190" s="31"/>
      <c r="D190" s="31"/>
      <c r="E190" s="31"/>
    </row>
    <row r="191">
      <c r="A191" s="31"/>
      <c r="B191" s="31"/>
      <c r="C191" s="31"/>
      <c r="D191" s="31"/>
      <c r="E191" s="31"/>
    </row>
    <row r="192">
      <c r="A192" s="31"/>
      <c r="B192" s="31"/>
      <c r="C192" s="31"/>
      <c r="D192" s="31"/>
      <c r="E192" s="31"/>
    </row>
    <row r="193">
      <c r="A193" s="31"/>
      <c r="B193" s="31"/>
      <c r="C193" s="31"/>
      <c r="D193" s="31"/>
      <c r="E193" s="31"/>
    </row>
    <row r="194">
      <c r="A194" s="31"/>
      <c r="B194" s="31"/>
      <c r="C194" s="31"/>
      <c r="D194" s="31"/>
      <c r="E194" s="31"/>
    </row>
    <row r="195">
      <c r="A195" s="31"/>
      <c r="B195" s="31"/>
      <c r="C195" s="31"/>
      <c r="D195" s="31"/>
      <c r="E195" s="31"/>
    </row>
    <row r="196">
      <c r="A196" s="31"/>
      <c r="B196" s="31"/>
      <c r="C196" s="31"/>
      <c r="D196" s="31"/>
      <c r="E196" s="31"/>
    </row>
    <row r="197">
      <c r="A197" s="31"/>
      <c r="B197" s="31"/>
      <c r="C197" s="31"/>
      <c r="D197" s="31"/>
      <c r="E197" s="31"/>
    </row>
    <row r="198">
      <c r="A198" s="31"/>
      <c r="B198" s="31"/>
      <c r="C198" s="31"/>
      <c r="D198" s="31"/>
      <c r="E198" s="31"/>
    </row>
    <row r="199">
      <c r="A199" s="31"/>
      <c r="B199" s="31"/>
      <c r="C199" s="31"/>
      <c r="D199" s="31"/>
      <c r="E199" s="31"/>
    </row>
    <row r="200">
      <c r="A200" s="31"/>
      <c r="B200" s="31"/>
      <c r="C200" s="31"/>
      <c r="D200" s="31"/>
      <c r="E200" s="31"/>
    </row>
    <row r="201">
      <c r="A201" s="31"/>
      <c r="B201" s="31"/>
      <c r="C201" s="31"/>
      <c r="D201" s="31"/>
      <c r="E201" s="31"/>
    </row>
    <row r="202">
      <c r="A202" s="31"/>
      <c r="B202" s="31"/>
      <c r="C202" s="31"/>
      <c r="D202" s="31"/>
      <c r="E202" s="31"/>
    </row>
    <row r="203">
      <c r="A203" s="31"/>
      <c r="B203" s="31"/>
      <c r="C203" s="31"/>
      <c r="D203" s="31"/>
      <c r="E203" s="31"/>
    </row>
    <row r="204">
      <c r="A204" s="31"/>
      <c r="B204" s="31"/>
      <c r="C204" s="31"/>
      <c r="D204" s="31"/>
      <c r="E204" s="31"/>
    </row>
    <row r="205">
      <c r="A205" s="31"/>
      <c r="B205" s="31"/>
      <c r="C205" s="31"/>
      <c r="D205" s="31"/>
      <c r="E205" s="31"/>
    </row>
    <row r="206">
      <c r="A206" s="31"/>
      <c r="B206" s="31"/>
      <c r="C206" s="31"/>
      <c r="D206" s="31"/>
      <c r="E206" s="31"/>
    </row>
    <row r="207">
      <c r="A207" s="31"/>
      <c r="B207" s="31"/>
      <c r="C207" s="31"/>
      <c r="D207" s="31"/>
      <c r="E207" s="31"/>
    </row>
    <row r="208">
      <c r="A208" s="31"/>
      <c r="B208" s="31"/>
      <c r="C208" s="31"/>
      <c r="D208" s="31"/>
      <c r="E208" s="31"/>
    </row>
    <row r="209">
      <c r="A209" s="31"/>
      <c r="B209" s="31"/>
      <c r="C209" s="31"/>
      <c r="D209" s="31"/>
      <c r="E209" s="31"/>
    </row>
    <row r="210">
      <c r="A210" s="31"/>
      <c r="B210" s="31"/>
      <c r="C210" s="31"/>
      <c r="D210" s="31"/>
      <c r="E210" s="31"/>
    </row>
    <row r="211">
      <c r="A211" s="31"/>
      <c r="B211" s="31"/>
      <c r="C211" s="31"/>
      <c r="D211" s="31"/>
      <c r="E211" s="31"/>
    </row>
    <row r="212">
      <c r="A212" s="31"/>
      <c r="B212" s="31"/>
      <c r="C212" s="31"/>
      <c r="D212" s="31"/>
      <c r="E212" s="31"/>
    </row>
    <row r="213">
      <c r="A213" s="31"/>
      <c r="B213" s="31"/>
      <c r="C213" s="31"/>
      <c r="D213" s="31"/>
      <c r="E213" s="31"/>
    </row>
    <row r="214">
      <c r="A214" s="31"/>
      <c r="B214" s="31"/>
      <c r="C214" s="31"/>
      <c r="D214" s="31"/>
      <c r="E214" s="31"/>
    </row>
    <row r="215">
      <c r="A215" s="31"/>
      <c r="B215" s="31"/>
      <c r="C215" s="31"/>
      <c r="D215" s="31"/>
      <c r="E215" s="31"/>
    </row>
    <row r="216">
      <c r="A216" s="31"/>
      <c r="B216" s="31"/>
      <c r="C216" s="31"/>
      <c r="D216" s="31"/>
      <c r="E216" s="31"/>
    </row>
    <row r="217">
      <c r="A217" s="31"/>
      <c r="B217" s="31"/>
      <c r="C217" s="31"/>
      <c r="D217" s="31"/>
      <c r="E217" s="31"/>
    </row>
    <row r="218">
      <c r="A218" s="31"/>
      <c r="B218" s="31"/>
      <c r="C218" s="31"/>
      <c r="D218" s="31"/>
      <c r="E218" s="31"/>
    </row>
    <row r="219">
      <c r="A219" s="31"/>
      <c r="B219" s="31"/>
      <c r="C219" s="31"/>
      <c r="D219" s="31"/>
      <c r="E219" s="31"/>
    </row>
    <row r="220">
      <c r="A220" s="31"/>
      <c r="B220" s="31"/>
      <c r="C220" s="31"/>
      <c r="D220" s="31"/>
      <c r="E220" s="31"/>
    </row>
    <row r="221">
      <c r="A221" s="31"/>
      <c r="B221" s="31"/>
      <c r="C221" s="31"/>
      <c r="D221" s="31"/>
      <c r="E221" s="31"/>
    </row>
    <row r="222">
      <c r="A222" s="31"/>
      <c r="B222" s="31"/>
      <c r="C222" s="31"/>
      <c r="D222" s="31"/>
      <c r="E222" s="31"/>
    </row>
    <row r="223">
      <c r="A223" s="31"/>
      <c r="B223" s="31"/>
      <c r="C223" s="31"/>
      <c r="D223" s="31"/>
      <c r="E223" s="31"/>
    </row>
    <row r="224">
      <c r="A224" s="31"/>
      <c r="B224" s="31"/>
      <c r="C224" s="31"/>
      <c r="D224" s="31"/>
      <c r="E224" s="31"/>
    </row>
    <row r="225">
      <c r="A225" s="31"/>
      <c r="B225" s="31"/>
      <c r="C225" s="31"/>
      <c r="D225" s="31"/>
      <c r="E225" s="31"/>
    </row>
    <row r="226">
      <c r="A226" s="31"/>
      <c r="B226" s="31"/>
      <c r="C226" s="31"/>
      <c r="D226" s="31"/>
      <c r="E226" s="31"/>
    </row>
    <row r="227">
      <c r="A227" s="31"/>
      <c r="B227" s="31"/>
      <c r="C227" s="31"/>
      <c r="D227" s="31"/>
      <c r="E227" s="31"/>
    </row>
    <row r="228">
      <c r="A228" s="31"/>
      <c r="B228" s="31"/>
      <c r="C228" s="31"/>
      <c r="D228" s="31"/>
      <c r="E228" s="31"/>
    </row>
    <row r="229">
      <c r="A229" s="31"/>
      <c r="B229" s="31"/>
      <c r="C229" s="31"/>
      <c r="D229" s="31"/>
      <c r="E229" s="31"/>
    </row>
    <row r="230">
      <c r="A230" s="31"/>
      <c r="B230" s="31"/>
      <c r="C230" s="31"/>
      <c r="D230" s="31"/>
      <c r="E230" s="31"/>
    </row>
    <row r="231">
      <c r="A231" s="31"/>
      <c r="B231" s="31"/>
      <c r="C231" s="31"/>
      <c r="D231" s="31"/>
      <c r="E231" s="31"/>
    </row>
    <row r="232">
      <c r="A232" s="31"/>
      <c r="B232" s="31"/>
      <c r="C232" s="31"/>
      <c r="D232" s="31"/>
      <c r="E232" s="31"/>
    </row>
    <row r="233">
      <c r="A233" s="31"/>
      <c r="B233" s="31"/>
      <c r="C233" s="31"/>
      <c r="D233" s="31"/>
      <c r="E233" s="31"/>
    </row>
    <row r="234">
      <c r="A234" s="31"/>
      <c r="B234" s="31"/>
      <c r="C234" s="31"/>
      <c r="D234" s="31"/>
      <c r="E234" s="31"/>
    </row>
    <row r="235">
      <c r="A235" s="31"/>
      <c r="B235" s="31"/>
      <c r="C235" s="31"/>
      <c r="D235" s="31"/>
      <c r="E235" s="31"/>
    </row>
    <row r="236">
      <c r="A236" s="31"/>
      <c r="B236" s="31"/>
      <c r="C236" s="31"/>
      <c r="D236" s="31"/>
      <c r="E236" s="31"/>
    </row>
    <row r="237">
      <c r="A237" s="31"/>
      <c r="B237" s="31"/>
      <c r="C237" s="31"/>
      <c r="D237" s="31"/>
      <c r="E237" s="31"/>
    </row>
    <row r="238">
      <c r="A238" s="31"/>
      <c r="B238" s="31"/>
      <c r="C238" s="31"/>
      <c r="D238" s="31"/>
      <c r="E238" s="31"/>
    </row>
    <row r="239">
      <c r="A239" s="31"/>
      <c r="B239" s="31"/>
      <c r="C239" s="31"/>
      <c r="D239" s="31"/>
      <c r="E239" s="31"/>
    </row>
    <row r="240">
      <c r="A240" s="31"/>
      <c r="B240" s="31"/>
      <c r="C240" s="31"/>
      <c r="D240" s="31"/>
      <c r="E240" s="31"/>
    </row>
    <row r="241">
      <c r="A241" s="31"/>
      <c r="B241" s="31"/>
      <c r="C241" s="31"/>
      <c r="D241" s="31"/>
      <c r="E241" s="31"/>
    </row>
    <row r="242">
      <c r="A242" s="31"/>
      <c r="B242" s="31"/>
      <c r="C242" s="31"/>
      <c r="D242" s="31"/>
      <c r="E242" s="31"/>
    </row>
    <row r="243">
      <c r="A243" s="31"/>
      <c r="B243" s="31"/>
      <c r="C243" s="31"/>
      <c r="D243" s="31"/>
      <c r="E243" s="31"/>
    </row>
    <row r="244">
      <c r="A244" s="31"/>
      <c r="B244" s="31"/>
      <c r="C244" s="31"/>
      <c r="D244" s="31"/>
      <c r="E244" s="31"/>
    </row>
    <row r="245">
      <c r="A245" s="31"/>
      <c r="B245" s="31"/>
      <c r="C245" s="31"/>
      <c r="D245" s="31"/>
      <c r="E245" s="31"/>
    </row>
    <row r="246">
      <c r="A246" s="31"/>
      <c r="B246" s="31"/>
      <c r="C246" s="31"/>
      <c r="D246" s="31"/>
      <c r="E246" s="31"/>
    </row>
    <row r="247">
      <c r="A247" s="31"/>
      <c r="B247" s="31"/>
      <c r="C247" s="31"/>
      <c r="D247" s="31"/>
      <c r="E247" s="31"/>
    </row>
    <row r="248">
      <c r="A248" s="31"/>
      <c r="B248" s="31"/>
      <c r="C248" s="31"/>
      <c r="D248" s="31"/>
      <c r="E248" s="31"/>
    </row>
    <row r="249">
      <c r="A249" s="31"/>
      <c r="B249" s="31"/>
      <c r="C249" s="31"/>
      <c r="D249" s="31"/>
      <c r="E249" s="31"/>
    </row>
    <row r="250">
      <c r="A250" s="31"/>
      <c r="B250" s="31"/>
      <c r="C250" s="31"/>
      <c r="D250" s="31"/>
      <c r="E250" s="31"/>
    </row>
    <row r="251">
      <c r="A251" s="31"/>
      <c r="B251" s="31"/>
      <c r="C251" s="31"/>
      <c r="D251" s="31"/>
      <c r="E251" s="31"/>
    </row>
    <row r="252">
      <c r="A252" s="31"/>
      <c r="B252" s="31"/>
      <c r="C252" s="31"/>
      <c r="D252" s="31"/>
      <c r="E252" s="31"/>
    </row>
    <row r="253">
      <c r="A253" s="31"/>
      <c r="B253" s="31"/>
      <c r="C253" s="31"/>
      <c r="D253" s="31"/>
      <c r="E253" s="31"/>
    </row>
    <row r="254">
      <c r="A254" s="31"/>
      <c r="B254" s="31"/>
      <c r="C254" s="31"/>
      <c r="D254" s="31"/>
      <c r="E254" s="31"/>
    </row>
    <row r="255">
      <c r="A255" s="31"/>
      <c r="B255" s="31"/>
      <c r="C255" s="31"/>
      <c r="D255" s="31"/>
      <c r="E255" s="31"/>
    </row>
    <row r="256">
      <c r="A256" s="31"/>
      <c r="B256" s="31"/>
      <c r="C256" s="31"/>
      <c r="D256" s="31"/>
      <c r="E256" s="31"/>
    </row>
    <row r="257">
      <c r="A257" s="31"/>
      <c r="B257" s="31"/>
      <c r="C257" s="31"/>
      <c r="D257" s="31"/>
      <c r="E257" s="31"/>
    </row>
    <row r="258">
      <c r="A258" s="31"/>
      <c r="B258" s="31"/>
      <c r="C258" s="31"/>
      <c r="D258" s="31"/>
      <c r="E258" s="31"/>
    </row>
    <row r="259">
      <c r="A259" s="31"/>
      <c r="B259" s="31"/>
      <c r="C259" s="31"/>
      <c r="D259" s="31"/>
      <c r="E259" s="31"/>
    </row>
    <row r="260">
      <c r="A260" s="31"/>
      <c r="B260" s="31"/>
      <c r="C260" s="31"/>
      <c r="D260" s="31"/>
      <c r="E260" s="31"/>
    </row>
    <row r="261">
      <c r="A261" s="31"/>
      <c r="B261" s="31"/>
      <c r="C261" s="31"/>
      <c r="D261" s="31"/>
      <c r="E261" s="31"/>
    </row>
    <row r="262">
      <c r="A262" s="31"/>
      <c r="B262" s="31"/>
      <c r="C262" s="31"/>
      <c r="D262" s="31"/>
      <c r="E262" s="31"/>
    </row>
    <row r="263">
      <c r="A263" s="31"/>
      <c r="B263" s="31"/>
      <c r="C263" s="31"/>
      <c r="D263" s="31"/>
      <c r="E263" s="31"/>
    </row>
    <row r="264">
      <c r="A264" s="31"/>
      <c r="B264" s="31"/>
      <c r="C264" s="31"/>
      <c r="D264" s="31"/>
      <c r="E264" s="31"/>
    </row>
    <row r="265">
      <c r="A265" s="31"/>
      <c r="B265" s="31"/>
      <c r="C265" s="31"/>
      <c r="D265" s="31"/>
      <c r="E265" s="31"/>
    </row>
    <row r="266">
      <c r="A266" s="31"/>
      <c r="B266" s="31"/>
      <c r="C266" s="31"/>
      <c r="D266" s="31"/>
      <c r="E266" s="31"/>
    </row>
    <row r="267">
      <c r="A267" s="31"/>
      <c r="B267" s="31"/>
      <c r="C267" s="31"/>
      <c r="D267" s="31"/>
      <c r="E267" s="31"/>
    </row>
    <row r="268">
      <c r="A268" s="31"/>
      <c r="B268" s="31"/>
      <c r="C268" s="31"/>
      <c r="D268" s="31"/>
      <c r="E268" s="31"/>
    </row>
    <row r="269">
      <c r="A269" s="31"/>
      <c r="B269" s="31"/>
      <c r="C269" s="31"/>
      <c r="D269" s="31"/>
      <c r="E269" s="31"/>
    </row>
    <row r="270">
      <c r="A270" s="31"/>
      <c r="B270" s="31"/>
      <c r="C270" s="31"/>
      <c r="D270" s="31"/>
      <c r="E270" s="31"/>
    </row>
    <row r="271">
      <c r="A271" s="31"/>
      <c r="B271" s="31"/>
      <c r="C271" s="31"/>
      <c r="D271" s="31"/>
      <c r="E271" s="31"/>
    </row>
    <row r="272">
      <c r="A272" s="31"/>
      <c r="B272" s="31"/>
      <c r="C272" s="31"/>
      <c r="D272" s="31"/>
      <c r="E272" s="31"/>
    </row>
    <row r="273">
      <c r="A273" s="31"/>
      <c r="B273" s="31"/>
      <c r="C273" s="31"/>
      <c r="D273" s="31"/>
      <c r="E273" s="31"/>
    </row>
    <row r="274">
      <c r="A274" s="31"/>
      <c r="B274" s="31"/>
      <c r="C274" s="31"/>
      <c r="D274" s="31"/>
      <c r="E274" s="31"/>
    </row>
    <row r="275">
      <c r="A275" s="31"/>
      <c r="B275" s="31"/>
      <c r="C275" s="31"/>
      <c r="D275" s="31"/>
      <c r="E275" s="31"/>
    </row>
    <row r="276">
      <c r="A276" s="31"/>
      <c r="B276" s="31"/>
      <c r="C276" s="31"/>
      <c r="D276" s="31"/>
      <c r="E276" s="31"/>
    </row>
    <row r="277">
      <c r="A277" s="31"/>
      <c r="B277" s="31"/>
      <c r="C277" s="31"/>
      <c r="D277" s="31"/>
      <c r="E277" s="31"/>
    </row>
    <row r="278">
      <c r="A278" s="31"/>
      <c r="B278" s="31"/>
      <c r="C278" s="31"/>
      <c r="D278" s="31"/>
      <c r="E278" s="31"/>
    </row>
    <row r="279">
      <c r="A279" s="31"/>
      <c r="B279" s="31"/>
      <c r="C279" s="31"/>
      <c r="D279" s="31"/>
      <c r="E279" s="31"/>
    </row>
    <row r="280">
      <c r="A280" s="31"/>
      <c r="B280" s="31"/>
      <c r="C280" s="31"/>
      <c r="D280" s="31"/>
      <c r="E280" s="31"/>
    </row>
    <row r="281">
      <c r="A281" s="31"/>
      <c r="B281" s="31"/>
      <c r="C281" s="31"/>
      <c r="D281" s="31"/>
      <c r="E281" s="31"/>
    </row>
    <row r="282">
      <c r="A282" s="31"/>
      <c r="B282" s="31"/>
      <c r="C282" s="31"/>
      <c r="D282" s="31"/>
      <c r="E282" s="31"/>
    </row>
    <row r="283">
      <c r="A283" s="31"/>
      <c r="B283" s="31"/>
      <c r="C283" s="31"/>
      <c r="D283" s="31"/>
      <c r="E283" s="31"/>
    </row>
    <row r="284">
      <c r="A284" s="31"/>
      <c r="B284" s="31"/>
      <c r="C284" s="31"/>
      <c r="D284" s="31"/>
      <c r="E284" s="31"/>
    </row>
    <row r="285">
      <c r="A285" s="31"/>
      <c r="B285" s="31"/>
      <c r="C285" s="31"/>
      <c r="D285" s="31"/>
      <c r="E285" s="31"/>
    </row>
    <row r="286">
      <c r="A286" s="31"/>
      <c r="B286" s="31"/>
      <c r="C286" s="31"/>
      <c r="D286" s="31"/>
      <c r="E286" s="31"/>
    </row>
    <row r="287">
      <c r="A287" s="31"/>
      <c r="B287" s="31"/>
      <c r="C287" s="31"/>
      <c r="D287" s="31"/>
      <c r="E287" s="31"/>
    </row>
    <row r="288">
      <c r="A288" s="31"/>
      <c r="B288" s="31"/>
      <c r="C288" s="31"/>
      <c r="D288" s="31"/>
      <c r="E288" s="31"/>
    </row>
    <row r="289">
      <c r="A289" s="31"/>
      <c r="B289" s="31"/>
      <c r="C289" s="31"/>
      <c r="D289" s="31"/>
      <c r="E289" s="31"/>
    </row>
    <row r="290">
      <c r="A290" s="31"/>
      <c r="B290" s="31"/>
      <c r="C290" s="31"/>
      <c r="D290" s="31"/>
      <c r="E290" s="31"/>
    </row>
    <row r="291">
      <c r="A291" s="31"/>
      <c r="B291" s="31"/>
      <c r="C291" s="31"/>
      <c r="D291" s="31"/>
      <c r="E291" s="31"/>
    </row>
    <row r="292">
      <c r="A292" s="31"/>
      <c r="B292" s="31"/>
      <c r="C292" s="31"/>
      <c r="D292" s="31"/>
      <c r="E292" s="31"/>
    </row>
    <row r="293">
      <c r="A293" s="31"/>
      <c r="B293" s="31"/>
      <c r="C293" s="31"/>
      <c r="D293" s="31"/>
      <c r="E293" s="31"/>
    </row>
    <row r="294">
      <c r="A294" s="31"/>
      <c r="B294" s="31"/>
      <c r="C294" s="31"/>
      <c r="D294" s="31"/>
      <c r="E294" s="31"/>
    </row>
    <row r="295">
      <c r="A295" s="31"/>
      <c r="B295" s="31"/>
      <c r="C295" s="31"/>
      <c r="D295" s="31"/>
      <c r="E295" s="31"/>
    </row>
    <row r="296">
      <c r="A296" s="31"/>
      <c r="B296" s="31"/>
      <c r="C296" s="31"/>
      <c r="D296" s="31"/>
      <c r="E296" s="31"/>
    </row>
    <row r="297">
      <c r="A297" s="31"/>
      <c r="B297" s="31"/>
      <c r="C297" s="31"/>
      <c r="D297" s="31"/>
      <c r="E297" s="31"/>
    </row>
    <row r="298">
      <c r="A298" s="31"/>
      <c r="B298" s="31"/>
      <c r="C298" s="31"/>
      <c r="D298" s="31"/>
      <c r="E298" s="31"/>
    </row>
    <row r="299">
      <c r="A299" s="31"/>
      <c r="B299" s="31"/>
      <c r="C299" s="31"/>
      <c r="D299" s="31"/>
      <c r="E299" s="31"/>
    </row>
    <row r="300">
      <c r="A300" s="31"/>
      <c r="B300" s="31"/>
      <c r="C300" s="31"/>
      <c r="D300" s="31"/>
      <c r="E300" s="31"/>
    </row>
    <row r="301">
      <c r="A301" s="31"/>
      <c r="B301" s="31"/>
      <c r="C301" s="31"/>
      <c r="D301" s="31"/>
      <c r="E301" s="31"/>
    </row>
    <row r="302">
      <c r="A302" s="31"/>
      <c r="B302" s="31"/>
      <c r="C302" s="31"/>
      <c r="D302" s="31"/>
      <c r="E302" s="31"/>
    </row>
    <row r="303">
      <c r="A303" s="31"/>
      <c r="B303" s="31"/>
      <c r="C303" s="31"/>
      <c r="D303" s="31"/>
      <c r="E303" s="31"/>
    </row>
    <row r="304">
      <c r="A304" s="31"/>
      <c r="B304" s="31"/>
      <c r="C304" s="31"/>
      <c r="D304" s="31"/>
      <c r="E304" s="31"/>
    </row>
    <row r="305">
      <c r="A305" s="31"/>
      <c r="B305" s="31"/>
      <c r="C305" s="31"/>
      <c r="D305" s="31"/>
      <c r="E305" s="31"/>
    </row>
    <row r="306">
      <c r="A306" s="31"/>
      <c r="B306" s="31"/>
      <c r="C306" s="31"/>
      <c r="D306" s="31"/>
      <c r="E306" s="31"/>
    </row>
    <row r="307">
      <c r="A307" s="31"/>
      <c r="B307" s="31"/>
      <c r="C307" s="31"/>
      <c r="D307" s="31"/>
      <c r="E307" s="31"/>
    </row>
    <row r="308">
      <c r="A308" s="31"/>
      <c r="B308" s="31"/>
      <c r="C308" s="31"/>
      <c r="D308" s="31"/>
      <c r="E308" s="31"/>
    </row>
    <row r="309">
      <c r="A309" s="31"/>
      <c r="B309" s="31"/>
      <c r="C309" s="31"/>
      <c r="D309" s="31"/>
      <c r="E309" s="31"/>
    </row>
    <row r="310">
      <c r="A310" s="31"/>
      <c r="B310" s="31"/>
      <c r="C310" s="31"/>
      <c r="D310" s="31"/>
      <c r="E310" s="31"/>
    </row>
    <row r="311">
      <c r="A311" s="31"/>
      <c r="B311" s="31"/>
      <c r="C311" s="31"/>
      <c r="D311" s="31"/>
      <c r="E311" s="31"/>
    </row>
    <row r="312">
      <c r="A312" s="31"/>
      <c r="B312" s="31"/>
      <c r="C312" s="31"/>
      <c r="D312" s="31"/>
      <c r="E312" s="31"/>
    </row>
    <row r="313">
      <c r="A313" s="31"/>
      <c r="B313" s="31"/>
      <c r="C313" s="31"/>
      <c r="D313" s="31"/>
      <c r="E313" s="31"/>
    </row>
    <row r="314">
      <c r="A314" s="31"/>
      <c r="B314" s="31"/>
      <c r="C314" s="31"/>
      <c r="D314" s="31"/>
      <c r="E314" s="31"/>
    </row>
    <row r="315">
      <c r="A315" s="31"/>
      <c r="B315" s="31"/>
      <c r="C315" s="31"/>
      <c r="D315" s="31"/>
      <c r="E315" s="31"/>
    </row>
    <row r="316">
      <c r="A316" s="31"/>
      <c r="B316" s="31"/>
      <c r="C316" s="31"/>
      <c r="D316" s="31"/>
      <c r="E316" s="31"/>
    </row>
    <row r="317">
      <c r="A317" s="31"/>
      <c r="B317" s="31"/>
      <c r="C317" s="31"/>
      <c r="D317" s="31"/>
      <c r="E317" s="31"/>
    </row>
    <row r="318">
      <c r="A318" s="31"/>
      <c r="B318" s="31"/>
      <c r="C318" s="31"/>
      <c r="D318" s="31"/>
      <c r="E318" s="31"/>
    </row>
    <row r="319">
      <c r="A319" s="31"/>
      <c r="B319" s="31"/>
      <c r="C319" s="31"/>
      <c r="D319" s="31"/>
      <c r="E319" s="31"/>
    </row>
    <row r="320">
      <c r="A320" s="31"/>
      <c r="B320" s="31"/>
      <c r="C320" s="31"/>
      <c r="D320" s="31"/>
      <c r="E320" s="31"/>
    </row>
    <row r="321">
      <c r="A321" s="31"/>
      <c r="B321" s="31"/>
      <c r="C321" s="31"/>
      <c r="D321" s="31"/>
      <c r="E321" s="31"/>
    </row>
    <row r="322">
      <c r="A322" s="31"/>
      <c r="B322" s="31"/>
      <c r="C322" s="31"/>
      <c r="D322" s="31"/>
      <c r="E322" s="31"/>
    </row>
    <row r="323">
      <c r="A323" s="31"/>
      <c r="B323" s="31"/>
      <c r="C323" s="31"/>
      <c r="D323" s="31"/>
      <c r="E323" s="31"/>
    </row>
    <row r="324">
      <c r="A324" s="31"/>
      <c r="B324" s="31"/>
      <c r="C324" s="31"/>
      <c r="D324" s="31"/>
      <c r="E324" s="31"/>
    </row>
    <row r="325">
      <c r="A325" s="31"/>
      <c r="B325" s="31"/>
      <c r="C325" s="31"/>
      <c r="D325" s="31"/>
      <c r="E325" s="31"/>
    </row>
    <row r="326">
      <c r="A326" s="31"/>
      <c r="B326" s="31"/>
      <c r="C326" s="31"/>
      <c r="D326" s="31"/>
      <c r="E326" s="31"/>
    </row>
    <row r="327">
      <c r="A327" s="31"/>
      <c r="B327" s="31"/>
      <c r="C327" s="31"/>
      <c r="D327" s="31"/>
      <c r="E327" s="31"/>
    </row>
    <row r="328">
      <c r="A328" s="31"/>
      <c r="B328" s="31"/>
      <c r="C328" s="31"/>
      <c r="D328" s="31"/>
      <c r="E328" s="31"/>
    </row>
    <row r="329">
      <c r="A329" s="31"/>
      <c r="B329" s="31"/>
      <c r="C329" s="31"/>
      <c r="D329" s="31"/>
      <c r="E329" s="31"/>
    </row>
    <row r="330">
      <c r="A330" s="31"/>
      <c r="B330" s="31"/>
      <c r="C330" s="31"/>
      <c r="D330" s="31"/>
      <c r="E330" s="31"/>
    </row>
    <row r="331">
      <c r="A331" s="31"/>
      <c r="B331" s="31"/>
      <c r="C331" s="31"/>
      <c r="D331" s="31"/>
      <c r="E331" s="31"/>
    </row>
    <row r="332">
      <c r="A332" s="31"/>
      <c r="B332" s="31"/>
      <c r="C332" s="31"/>
      <c r="D332" s="31"/>
      <c r="E332" s="31"/>
    </row>
    <row r="333">
      <c r="A333" s="31"/>
      <c r="B333" s="31"/>
      <c r="C333" s="31"/>
      <c r="D333" s="31"/>
      <c r="E333" s="31"/>
    </row>
    <row r="334">
      <c r="A334" s="31"/>
      <c r="B334" s="31"/>
      <c r="C334" s="31"/>
      <c r="D334" s="31"/>
      <c r="E334" s="31"/>
    </row>
    <row r="335">
      <c r="A335" s="31"/>
      <c r="B335" s="31"/>
      <c r="C335" s="31"/>
      <c r="D335" s="31"/>
      <c r="E335" s="31"/>
    </row>
    <row r="336">
      <c r="A336" s="31"/>
      <c r="B336" s="31"/>
      <c r="C336" s="31"/>
      <c r="D336" s="31"/>
      <c r="E336" s="31"/>
    </row>
    <row r="337">
      <c r="A337" s="31"/>
      <c r="B337" s="31"/>
      <c r="C337" s="31"/>
      <c r="D337" s="31"/>
      <c r="E337" s="31"/>
    </row>
    <row r="338">
      <c r="A338" s="31"/>
      <c r="B338" s="31"/>
      <c r="C338" s="31"/>
      <c r="D338" s="31"/>
      <c r="E338" s="31"/>
    </row>
    <row r="339">
      <c r="A339" s="31"/>
      <c r="B339" s="31"/>
      <c r="C339" s="31"/>
      <c r="D339" s="31"/>
      <c r="E339" s="31"/>
    </row>
    <row r="340">
      <c r="A340" s="31"/>
      <c r="B340" s="31"/>
      <c r="C340" s="31"/>
      <c r="D340" s="31"/>
      <c r="E340" s="31"/>
    </row>
    <row r="341">
      <c r="A341" s="31"/>
      <c r="B341" s="31"/>
      <c r="C341" s="31"/>
      <c r="D341" s="31"/>
      <c r="E341" s="31"/>
    </row>
    <row r="342">
      <c r="A342" s="31"/>
      <c r="B342" s="31"/>
      <c r="C342" s="31"/>
      <c r="D342" s="31"/>
      <c r="E342" s="31"/>
    </row>
    <row r="343">
      <c r="A343" s="31"/>
      <c r="B343" s="31"/>
      <c r="C343" s="31"/>
      <c r="D343" s="31"/>
      <c r="E343" s="31"/>
    </row>
    <row r="344">
      <c r="A344" s="31"/>
      <c r="B344" s="31"/>
      <c r="C344" s="31"/>
      <c r="D344" s="31"/>
      <c r="E344" s="31"/>
    </row>
    <row r="345">
      <c r="A345" s="31"/>
      <c r="B345" s="31"/>
      <c r="C345" s="31"/>
      <c r="D345" s="31"/>
      <c r="E345" s="31"/>
    </row>
    <row r="346">
      <c r="A346" s="31"/>
      <c r="B346" s="31"/>
      <c r="C346" s="31"/>
      <c r="D346" s="31"/>
      <c r="E346" s="31"/>
    </row>
    <row r="347">
      <c r="A347" s="31"/>
      <c r="B347" s="31"/>
      <c r="C347" s="31"/>
      <c r="D347" s="31"/>
      <c r="E347" s="31"/>
    </row>
    <row r="348">
      <c r="A348" s="31"/>
      <c r="B348" s="31"/>
      <c r="C348" s="31"/>
      <c r="D348" s="31"/>
      <c r="E348" s="31"/>
    </row>
    <row r="349">
      <c r="A349" s="31"/>
      <c r="B349" s="31"/>
      <c r="C349" s="31"/>
      <c r="D349" s="31"/>
      <c r="E349" s="31"/>
    </row>
    <row r="350">
      <c r="A350" s="31"/>
      <c r="B350" s="31"/>
      <c r="C350" s="31"/>
      <c r="D350" s="31"/>
      <c r="E350" s="31"/>
    </row>
    <row r="351">
      <c r="A351" s="31"/>
      <c r="B351" s="31"/>
      <c r="C351" s="31"/>
      <c r="D351" s="31"/>
      <c r="E351" s="31"/>
    </row>
    <row r="352">
      <c r="A352" s="31"/>
      <c r="B352" s="31"/>
      <c r="C352" s="31"/>
      <c r="D352" s="31"/>
      <c r="E352" s="31"/>
    </row>
    <row r="353">
      <c r="A353" s="31"/>
      <c r="B353" s="31"/>
      <c r="C353" s="31"/>
      <c r="D353" s="31"/>
      <c r="E353" s="31"/>
    </row>
    <row r="354">
      <c r="A354" s="31"/>
      <c r="B354" s="31"/>
      <c r="C354" s="31"/>
      <c r="D354" s="31"/>
      <c r="E354" s="31"/>
    </row>
    <row r="355">
      <c r="A355" s="31"/>
      <c r="B355" s="31"/>
      <c r="C355" s="31"/>
      <c r="D355" s="31"/>
      <c r="E355" s="31"/>
    </row>
    <row r="356">
      <c r="A356" s="31"/>
      <c r="B356" s="31"/>
      <c r="C356" s="31"/>
      <c r="D356" s="31"/>
      <c r="E356" s="31"/>
    </row>
    <row r="357">
      <c r="A357" s="31"/>
      <c r="B357" s="31"/>
      <c r="C357" s="31"/>
      <c r="D357" s="31"/>
      <c r="E357" s="31"/>
    </row>
    <row r="358">
      <c r="A358" s="31"/>
      <c r="B358" s="31"/>
      <c r="C358" s="31"/>
      <c r="D358" s="31"/>
      <c r="E358" s="31"/>
    </row>
    <row r="359">
      <c r="A359" s="31"/>
      <c r="B359" s="31"/>
      <c r="C359" s="31"/>
      <c r="D359" s="31"/>
      <c r="E359" s="31"/>
    </row>
    <row r="360">
      <c r="A360" s="31"/>
      <c r="B360" s="31"/>
      <c r="C360" s="31"/>
      <c r="D360" s="31"/>
      <c r="E360" s="31"/>
    </row>
    <row r="361">
      <c r="A361" s="31"/>
      <c r="B361" s="31"/>
      <c r="C361" s="31"/>
      <c r="D361" s="31"/>
      <c r="E361" s="31"/>
    </row>
    <row r="362">
      <c r="A362" s="31"/>
      <c r="B362" s="31"/>
      <c r="C362" s="31"/>
      <c r="D362" s="31"/>
      <c r="E362" s="31"/>
    </row>
    <row r="363">
      <c r="A363" s="31"/>
      <c r="B363" s="31"/>
      <c r="C363" s="31"/>
      <c r="D363" s="31"/>
      <c r="E363" s="31"/>
    </row>
    <row r="364">
      <c r="A364" s="31"/>
      <c r="B364" s="31"/>
      <c r="C364" s="31"/>
      <c r="D364" s="31"/>
      <c r="E364" s="31"/>
    </row>
    <row r="365">
      <c r="A365" s="31"/>
      <c r="B365" s="31"/>
      <c r="C365" s="31"/>
      <c r="D365" s="31"/>
      <c r="E365" s="31"/>
    </row>
    <row r="366">
      <c r="A366" s="31"/>
      <c r="B366" s="31"/>
      <c r="C366" s="31"/>
      <c r="D366" s="31"/>
      <c r="E366" s="31"/>
    </row>
    <row r="367">
      <c r="A367" s="31"/>
      <c r="B367" s="31"/>
      <c r="C367" s="31"/>
      <c r="D367" s="31"/>
      <c r="E367" s="31"/>
    </row>
    <row r="368">
      <c r="A368" s="31"/>
      <c r="B368" s="31"/>
      <c r="C368" s="31"/>
      <c r="D368" s="31"/>
      <c r="E368" s="31"/>
    </row>
    <row r="369">
      <c r="A369" s="31"/>
      <c r="B369" s="31"/>
      <c r="C369" s="31"/>
      <c r="D369" s="31"/>
      <c r="E369" s="31"/>
    </row>
    <row r="370">
      <c r="A370" s="31"/>
      <c r="B370" s="31"/>
      <c r="C370" s="31"/>
      <c r="D370" s="31"/>
      <c r="E370" s="31"/>
    </row>
    <row r="371">
      <c r="A371" s="31"/>
      <c r="B371" s="31"/>
      <c r="C371" s="31"/>
      <c r="D371" s="31"/>
      <c r="E371" s="31"/>
    </row>
    <row r="372">
      <c r="A372" s="31"/>
      <c r="B372" s="31"/>
      <c r="C372" s="31"/>
      <c r="D372" s="31"/>
      <c r="E372" s="31"/>
    </row>
    <row r="373">
      <c r="A373" s="31"/>
      <c r="B373" s="31"/>
      <c r="C373" s="31"/>
      <c r="D373" s="31"/>
      <c r="E373" s="31"/>
    </row>
    <row r="374">
      <c r="A374" s="31"/>
      <c r="B374" s="31"/>
      <c r="C374" s="31"/>
      <c r="D374" s="31"/>
      <c r="E374" s="31"/>
    </row>
    <row r="375">
      <c r="A375" s="31"/>
      <c r="B375" s="31"/>
      <c r="C375" s="31"/>
      <c r="D375" s="31"/>
      <c r="E375" s="31"/>
    </row>
    <row r="376">
      <c r="A376" s="31"/>
      <c r="B376" s="31"/>
      <c r="C376" s="31"/>
      <c r="D376" s="31"/>
      <c r="E376" s="31"/>
    </row>
    <row r="377">
      <c r="A377" s="31"/>
      <c r="B377" s="31"/>
      <c r="C377" s="31"/>
      <c r="D377" s="31"/>
      <c r="E377" s="31"/>
    </row>
    <row r="378">
      <c r="A378" s="31"/>
      <c r="B378" s="31"/>
      <c r="C378" s="31"/>
      <c r="D378" s="31"/>
      <c r="E378" s="31"/>
    </row>
    <row r="379">
      <c r="A379" s="31"/>
      <c r="B379" s="31"/>
      <c r="C379" s="31"/>
      <c r="D379" s="31"/>
      <c r="E379" s="31"/>
    </row>
    <row r="380">
      <c r="A380" s="31"/>
      <c r="B380" s="31"/>
      <c r="C380" s="31"/>
      <c r="D380" s="31"/>
      <c r="E380" s="31"/>
    </row>
    <row r="381">
      <c r="A381" s="31"/>
      <c r="B381" s="31"/>
      <c r="C381" s="31"/>
      <c r="D381" s="31"/>
      <c r="E381" s="31"/>
    </row>
    <row r="382">
      <c r="A382" s="31"/>
      <c r="B382" s="31"/>
      <c r="C382" s="31"/>
      <c r="D382" s="31"/>
      <c r="E382" s="31"/>
    </row>
    <row r="383">
      <c r="A383" s="31"/>
      <c r="B383" s="31"/>
      <c r="C383" s="31"/>
      <c r="D383" s="31"/>
      <c r="E383" s="31"/>
    </row>
    <row r="384">
      <c r="A384" s="31"/>
      <c r="B384" s="31"/>
      <c r="C384" s="31"/>
      <c r="D384" s="31"/>
      <c r="E384" s="31"/>
    </row>
    <row r="385">
      <c r="A385" s="31"/>
      <c r="B385" s="31"/>
      <c r="C385" s="31"/>
      <c r="D385" s="31"/>
      <c r="E385" s="31"/>
    </row>
    <row r="386">
      <c r="A386" s="31"/>
      <c r="B386" s="31"/>
      <c r="C386" s="31"/>
      <c r="D386" s="31"/>
      <c r="E386" s="31"/>
    </row>
    <row r="387">
      <c r="A387" s="31"/>
      <c r="B387" s="31"/>
      <c r="C387" s="31"/>
      <c r="D387" s="31"/>
      <c r="E387" s="31"/>
    </row>
    <row r="388">
      <c r="A388" s="31"/>
      <c r="B388" s="31"/>
      <c r="C388" s="31"/>
      <c r="D388" s="31"/>
      <c r="E388" s="31"/>
    </row>
    <row r="389">
      <c r="A389" s="31"/>
      <c r="B389" s="31"/>
      <c r="C389" s="31"/>
      <c r="D389" s="31"/>
      <c r="E389" s="31"/>
    </row>
    <row r="390">
      <c r="A390" s="31"/>
      <c r="B390" s="31"/>
      <c r="C390" s="31"/>
      <c r="D390" s="31"/>
      <c r="E390" s="31"/>
    </row>
    <row r="391">
      <c r="A391" s="31"/>
      <c r="B391" s="31"/>
      <c r="C391" s="31"/>
      <c r="D391" s="31"/>
      <c r="E391" s="31"/>
    </row>
    <row r="392">
      <c r="A392" s="31"/>
      <c r="B392" s="31"/>
      <c r="C392" s="31"/>
      <c r="D392" s="31"/>
      <c r="E392" s="31"/>
    </row>
    <row r="393">
      <c r="A393" s="31"/>
      <c r="B393" s="31"/>
      <c r="C393" s="31"/>
      <c r="D393" s="31"/>
      <c r="E393" s="31"/>
    </row>
    <row r="394">
      <c r="A394" s="31"/>
      <c r="B394" s="31"/>
      <c r="C394" s="31"/>
      <c r="D394" s="31"/>
      <c r="E394" s="31"/>
    </row>
    <row r="395">
      <c r="A395" s="31"/>
      <c r="B395" s="31"/>
      <c r="C395" s="31"/>
      <c r="D395" s="31"/>
      <c r="E395" s="31"/>
    </row>
    <row r="396">
      <c r="A396" s="31"/>
      <c r="B396" s="31"/>
      <c r="C396" s="31"/>
      <c r="D396" s="31"/>
      <c r="E396" s="31"/>
    </row>
    <row r="397">
      <c r="A397" s="31"/>
      <c r="B397" s="31"/>
      <c r="C397" s="31"/>
      <c r="D397" s="31"/>
      <c r="E397" s="31"/>
    </row>
    <row r="398">
      <c r="A398" s="31"/>
      <c r="B398" s="31"/>
      <c r="C398" s="31"/>
      <c r="D398" s="31"/>
      <c r="E398" s="31"/>
    </row>
    <row r="399">
      <c r="A399" s="31"/>
      <c r="B399" s="31"/>
      <c r="C399" s="31"/>
      <c r="D399" s="31"/>
      <c r="E399" s="31"/>
    </row>
    <row r="400">
      <c r="A400" s="31"/>
      <c r="B400" s="31"/>
      <c r="C400" s="31"/>
      <c r="D400" s="31"/>
      <c r="E400" s="31"/>
    </row>
    <row r="401">
      <c r="A401" s="31"/>
      <c r="B401" s="31"/>
      <c r="C401" s="31"/>
      <c r="D401" s="31"/>
      <c r="E401" s="31"/>
    </row>
    <row r="402">
      <c r="A402" s="31"/>
      <c r="B402" s="31"/>
      <c r="C402" s="31"/>
      <c r="D402" s="31"/>
      <c r="E402" s="31"/>
    </row>
    <row r="403">
      <c r="A403" s="31"/>
      <c r="B403" s="31"/>
      <c r="C403" s="31"/>
      <c r="D403" s="31"/>
      <c r="E403" s="31"/>
    </row>
    <row r="404">
      <c r="A404" s="31"/>
      <c r="B404" s="31"/>
      <c r="C404" s="31"/>
      <c r="D404" s="31"/>
      <c r="E404" s="31"/>
    </row>
    <row r="405">
      <c r="A405" s="31"/>
      <c r="B405" s="31"/>
      <c r="C405" s="31"/>
      <c r="D405" s="31"/>
      <c r="E405" s="31"/>
    </row>
    <row r="406">
      <c r="A406" s="31"/>
      <c r="B406" s="31"/>
      <c r="C406" s="31"/>
      <c r="D406" s="31"/>
      <c r="E406" s="31"/>
    </row>
    <row r="407">
      <c r="A407" s="31"/>
      <c r="B407" s="31"/>
      <c r="C407" s="31"/>
      <c r="D407" s="31"/>
      <c r="E407" s="31"/>
    </row>
    <row r="408">
      <c r="A408" s="31"/>
      <c r="B408" s="31"/>
      <c r="C408" s="31"/>
      <c r="D408" s="31"/>
      <c r="E408" s="31"/>
    </row>
    <row r="409">
      <c r="A409" s="31"/>
      <c r="B409" s="31"/>
      <c r="C409" s="31"/>
      <c r="D409" s="31"/>
      <c r="E409" s="31"/>
    </row>
    <row r="410">
      <c r="A410" s="31"/>
      <c r="B410" s="31"/>
      <c r="C410" s="31"/>
      <c r="D410" s="31"/>
      <c r="E410" s="31"/>
    </row>
    <row r="411">
      <c r="A411" s="31"/>
      <c r="B411" s="31"/>
      <c r="C411" s="31"/>
      <c r="D411" s="31"/>
      <c r="E411" s="31"/>
    </row>
    <row r="412">
      <c r="A412" s="31"/>
      <c r="B412" s="31"/>
      <c r="C412" s="31"/>
      <c r="D412" s="31"/>
      <c r="E412" s="31"/>
    </row>
    <row r="413">
      <c r="A413" s="31"/>
      <c r="B413" s="31"/>
      <c r="C413" s="31"/>
      <c r="D413" s="31"/>
      <c r="E413" s="31"/>
    </row>
    <row r="414">
      <c r="A414" s="31"/>
      <c r="B414" s="31"/>
      <c r="C414" s="31"/>
      <c r="D414" s="31"/>
      <c r="E414" s="31"/>
    </row>
    <row r="415">
      <c r="A415" s="31"/>
      <c r="B415" s="31"/>
      <c r="C415" s="31"/>
      <c r="D415" s="31"/>
      <c r="E415" s="31"/>
    </row>
    <row r="416">
      <c r="A416" s="31"/>
      <c r="B416" s="31"/>
      <c r="C416" s="31"/>
      <c r="D416" s="31"/>
      <c r="E416" s="31"/>
    </row>
    <row r="417">
      <c r="A417" s="31"/>
      <c r="B417" s="31"/>
      <c r="C417" s="31"/>
      <c r="D417" s="31"/>
      <c r="E417" s="31"/>
    </row>
    <row r="418">
      <c r="A418" s="31"/>
      <c r="B418" s="31"/>
      <c r="C418" s="31"/>
      <c r="D418" s="31"/>
      <c r="E418" s="31"/>
    </row>
    <row r="419">
      <c r="A419" s="31"/>
      <c r="B419" s="31"/>
      <c r="C419" s="31"/>
      <c r="D419" s="31"/>
      <c r="E419" s="31"/>
    </row>
    <row r="420">
      <c r="A420" s="31"/>
      <c r="B420" s="31"/>
      <c r="C420" s="31"/>
      <c r="D420" s="31"/>
      <c r="E420" s="31"/>
    </row>
    <row r="421">
      <c r="A421" s="31"/>
      <c r="B421" s="31"/>
      <c r="C421" s="31"/>
      <c r="D421" s="31"/>
      <c r="E421" s="31"/>
    </row>
    <row r="422">
      <c r="A422" s="31"/>
      <c r="B422" s="31"/>
      <c r="C422" s="31"/>
      <c r="D422" s="31"/>
      <c r="E422" s="31"/>
    </row>
    <row r="423">
      <c r="A423" s="31"/>
      <c r="B423" s="31"/>
      <c r="C423" s="31"/>
      <c r="D423" s="31"/>
      <c r="E423" s="31"/>
    </row>
    <row r="424">
      <c r="A424" s="31"/>
      <c r="B424" s="31"/>
      <c r="C424" s="31"/>
      <c r="D424" s="31"/>
      <c r="E424" s="31"/>
    </row>
    <row r="425">
      <c r="A425" s="31"/>
      <c r="B425" s="31"/>
      <c r="C425" s="31"/>
      <c r="D425" s="31"/>
      <c r="E425" s="31"/>
    </row>
    <row r="426">
      <c r="A426" s="31"/>
      <c r="B426" s="31"/>
      <c r="C426" s="31"/>
      <c r="D426" s="31"/>
      <c r="E426" s="31"/>
    </row>
    <row r="427">
      <c r="A427" s="31"/>
      <c r="B427" s="31"/>
      <c r="C427" s="31"/>
      <c r="D427" s="31"/>
      <c r="E427" s="31"/>
    </row>
    <row r="428">
      <c r="A428" s="31"/>
      <c r="B428" s="31"/>
      <c r="C428" s="31"/>
      <c r="D428" s="31"/>
      <c r="E428" s="31"/>
    </row>
    <row r="429">
      <c r="A429" s="31"/>
      <c r="B429" s="31"/>
      <c r="C429" s="31"/>
      <c r="D429" s="31"/>
      <c r="E429" s="31"/>
    </row>
    <row r="430">
      <c r="A430" s="31"/>
      <c r="B430" s="31"/>
      <c r="C430" s="31"/>
      <c r="D430" s="31"/>
      <c r="E430" s="31"/>
    </row>
    <row r="431">
      <c r="A431" s="31"/>
      <c r="B431" s="31"/>
      <c r="C431" s="31"/>
      <c r="D431" s="31"/>
      <c r="E431" s="31"/>
    </row>
    <row r="432">
      <c r="A432" s="31"/>
      <c r="B432" s="31"/>
      <c r="C432" s="31"/>
      <c r="D432" s="31"/>
      <c r="E432" s="31"/>
    </row>
    <row r="433">
      <c r="A433" s="31"/>
      <c r="B433" s="31"/>
      <c r="C433" s="31"/>
      <c r="D433" s="31"/>
      <c r="E433" s="31"/>
    </row>
    <row r="434">
      <c r="A434" s="31"/>
      <c r="B434" s="31"/>
      <c r="C434" s="31"/>
      <c r="D434" s="31"/>
      <c r="E434" s="31"/>
    </row>
    <row r="435">
      <c r="A435" s="31"/>
      <c r="B435" s="31"/>
      <c r="C435" s="31"/>
      <c r="D435" s="31"/>
      <c r="E435" s="31"/>
    </row>
    <row r="436">
      <c r="A436" s="31"/>
      <c r="B436" s="31"/>
      <c r="C436" s="31"/>
      <c r="D436" s="31"/>
      <c r="E436" s="31"/>
    </row>
    <row r="437">
      <c r="A437" s="31"/>
      <c r="B437" s="31"/>
      <c r="C437" s="31"/>
      <c r="D437" s="31"/>
      <c r="E437" s="31"/>
    </row>
    <row r="438">
      <c r="A438" s="31"/>
      <c r="B438" s="31"/>
      <c r="C438" s="31"/>
      <c r="D438" s="31"/>
      <c r="E438" s="31"/>
    </row>
    <row r="439">
      <c r="A439" s="31"/>
      <c r="B439" s="31"/>
      <c r="C439" s="31"/>
      <c r="D439" s="31"/>
      <c r="E439" s="31"/>
    </row>
    <row r="440">
      <c r="A440" s="31"/>
      <c r="B440" s="31"/>
      <c r="C440" s="31"/>
      <c r="D440" s="31"/>
      <c r="E440" s="31"/>
    </row>
    <row r="441">
      <c r="A441" s="31"/>
      <c r="B441" s="31"/>
      <c r="C441" s="31"/>
      <c r="D441" s="31"/>
      <c r="E441" s="31"/>
    </row>
    <row r="442">
      <c r="A442" s="31"/>
      <c r="B442" s="31"/>
      <c r="C442" s="31"/>
      <c r="D442" s="31"/>
      <c r="E442" s="31"/>
    </row>
    <row r="443">
      <c r="A443" s="31"/>
      <c r="B443" s="31"/>
      <c r="C443" s="31"/>
      <c r="D443" s="31"/>
      <c r="E443" s="31"/>
    </row>
    <row r="444">
      <c r="A444" s="31"/>
      <c r="B444" s="31"/>
      <c r="C444" s="31"/>
      <c r="D444" s="31"/>
      <c r="E444" s="31"/>
    </row>
    <row r="445">
      <c r="A445" s="31"/>
      <c r="B445" s="31"/>
      <c r="C445" s="31"/>
      <c r="D445" s="31"/>
      <c r="E445" s="31"/>
    </row>
    <row r="446">
      <c r="A446" s="31"/>
      <c r="B446" s="31"/>
      <c r="C446" s="31"/>
      <c r="D446" s="31"/>
      <c r="E446" s="31"/>
    </row>
    <row r="447">
      <c r="A447" s="31"/>
      <c r="B447" s="31"/>
      <c r="C447" s="31"/>
      <c r="D447" s="31"/>
      <c r="E447" s="31"/>
    </row>
    <row r="448">
      <c r="A448" s="31"/>
      <c r="B448" s="31"/>
      <c r="C448" s="31"/>
      <c r="D448" s="31"/>
      <c r="E448" s="31"/>
    </row>
    <row r="449">
      <c r="A449" s="31"/>
      <c r="B449" s="31"/>
      <c r="C449" s="31"/>
      <c r="D449" s="31"/>
      <c r="E449" s="31"/>
    </row>
    <row r="450">
      <c r="A450" s="31"/>
      <c r="B450" s="31"/>
      <c r="C450" s="31"/>
      <c r="D450" s="31"/>
      <c r="E450" s="31"/>
    </row>
    <row r="451">
      <c r="A451" s="31"/>
      <c r="B451" s="31"/>
      <c r="C451" s="31"/>
      <c r="D451" s="31"/>
      <c r="E451" s="31"/>
    </row>
    <row r="452">
      <c r="A452" s="31"/>
      <c r="B452" s="31"/>
      <c r="C452" s="31"/>
      <c r="D452" s="31"/>
      <c r="E452" s="31"/>
    </row>
    <row r="453">
      <c r="A453" s="31"/>
      <c r="B453" s="31"/>
      <c r="C453" s="31"/>
      <c r="D453" s="31"/>
      <c r="E453" s="31"/>
    </row>
    <row r="454">
      <c r="A454" s="31"/>
      <c r="B454" s="31"/>
      <c r="C454" s="31"/>
      <c r="D454" s="31"/>
      <c r="E454" s="31"/>
    </row>
    <row r="455">
      <c r="A455" s="31"/>
      <c r="B455" s="31"/>
      <c r="C455" s="31"/>
      <c r="D455" s="31"/>
      <c r="E455" s="31"/>
    </row>
    <row r="456">
      <c r="A456" s="31"/>
      <c r="B456" s="31"/>
      <c r="C456" s="31"/>
      <c r="D456" s="31"/>
      <c r="E456" s="31"/>
    </row>
    <row r="457">
      <c r="A457" s="31"/>
      <c r="B457" s="31"/>
      <c r="C457" s="31"/>
      <c r="D457" s="31"/>
      <c r="E457" s="31"/>
    </row>
    <row r="458">
      <c r="A458" s="31"/>
      <c r="B458" s="31"/>
      <c r="C458" s="31"/>
      <c r="D458" s="31"/>
      <c r="E458" s="31"/>
    </row>
    <row r="459">
      <c r="A459" s="31"/>
      <c r="B459" s="31"/>
      <c r="C459" s="31"/>
      <c r="D459" s="31"/>
      <c r="E459" s="31"/>
    </row>
    <row r="460">
      <c r="A460" s="31"/>
      <c r="B460" s="31"/>
      <c r="C460" s="31"/>
      <c r="D460" s="31"/>
      <c r="E460" s="31"/>
    </row>
    <row r="461">
      <c r="A461" s="31"/>
      <c r="B461" s="31"/>
      <c r="C461" s="31"/>
      <c r="D461" s="31"/>
      <c r="E461" s="31"/>
    </row>
    <row r="462">
      <c r="A462" s="31"/>
      <c r="B462" s="31"/>
      <c r="C462" s="31"/>
      <c r="D462" s="31"/>
      <c r="E462" s="31"/>
    </row>
    <row r="463">
      <c r="A463" s="31"/>
      <c r="B463" s="31"/>
      <c r="C463" s="31"/>
      <c r="D463" s="31"/>
      <c r="E463" s="31"/>
    </row>
    <row r="464">
      <c r="A464" s="31"/>
      <c r="B464" s="31"/>
      <c r="C464" s="31"/>
      <c r="D464" s="31"/>
      <c r="E464" s="31"/>
    </row>
    <row r="465">
      <c r="A465" s="31"/>
      <c r="B465" s="31"/>
      <c r="C465" s="31"/>
      <c r="D465" s="31"/>
      <c r="E465" s="31"/>
    </row>
    <row r="466">
      <c r="A466" s="31"/>
      <c r="B466" s="31"/>
      <c r="C466" s="31"/>
      <c r="D466" s="31"/>
      <c r="E466" s="31"/>
    </row>
    <row r="467">
      <c r="A467" s="31"/>
      <c r="B467" s="31"/>
      <c r="C467" s="31"/>
      <c r="D467" s="31"/>
      <c r="E467" s="31"/>
    </row>
    <row r="468">
      <c r="A468" s="31"/>
      <c r="B468" s="31"/>
      <c r="C468" s="31"/>
      <c r="D468" s="31"/>
      <c r="E468" s="31"/>
    </row>
    <row r="469">
      <c r="A469" s="31"/>
      <c r="B469" s="31"/>
      <c r="C469" s="31"/>
      <c r="D469" s="31"/>
      <c r="E469" s="31"/>
    </row>
    <row r="470">
      <c r="A470" s="31"/>
      <c r="B470" s="31"/>
      <c r="C470" s="31"/>
      <c r="D470" s="31"/>
      <c r="E470" s="31"/>
    </row>
    <row r="471">
      <c r="A471" s="31"/>
      <c r="B471" s="31"/>
      <c r="C471" s="31"/>
      <c r="D471" s="31"/>
      <c r="E471" s="31"/>
    </row>
    <row r="472">
      <c r="A472" s="31"/>
      <c r="B472" s="31"/>
      <c r="C472" s="31"/>
      <c r="D472" s="31"/>
      <c r="E472" s="31"/>
    </row>
    <row r="473">
      <c r="A473" s="31"/>
      <c r="B473" s="31"/>
      <c r="C473" s="31"/>
      <c r="D473" s="31"/>
      <c r="E473" s="31"/>
    </row>
    <row r="474">
      <c r="A474" s="31"/>
      <c r="B474" s="31"/>
      <c r="C474" s="31"/>
      <c r="D474" s="31"/>
      <c r="E474" s="31"/>
    </row>
    <row r="475">
      <c r="A475" s="31"/>
      <c r="B475" s="31"/>
      <c r="C475" s="31"/>
      <c r="D475" s="31"/>
      <c r="E475" s="31"/>
    </row>
    <row r="476">
      <c r="A476" s="31"/>
      <c r="B476" s="31"/>
      <c r="C476" s="31"/>
      <c r="D476" s="31"/>
      <c r="E476" s="31"/>
    </row>
    <row r="477">
      <c r="A477" s="31"/>
      <c r="B477" s="31"/>
      <c r="C477" s="31"/>
      <c r="D477" s="31"/>
      <c r="E477" s="31"/>
    </row>
    <row r="478">
      <c r="A478" s="31"/>
      <c r="B478" s="31"/>
      <c r="C478" s="31"/>
      <c r="D478" s="31"/>
      <c r="E478" s="31"/>
    </row>
    <row r="479">
      <c r="A479" s="31"/>
      <c r="B479" s="31"/>
      <c r="C479" s="31"/>
      <c r="D479" s="31"/>
      <c r="E479" s="31"/>
    </row>
    <row r="480">
      <c r="A480" s="31"/>
      <c r="B480" s="31"/>
      <c r="C480" s="31"/>
      <c r="D480" s="31"/>
      <c r="E480" s="31"/>
    </row>
    <row r="481">
      <c r="A481" s="31"/>
      <c r="B481" s="31"/>
      <c r="C481" s="31"/>
      <c r="D481" s="31"/>
      <c r="E481" s="31"/>
    </row>
    <row r="482">
      <c r="A482" s="31"/>
      <c r="B482" s="31"/>
      <c r="C482" s="31"/>
      <c r="D482" s="31"/>
      <c r="E482" s="31"/>
    </row>
    <row r="483">
      <c r="A483" s="31"/>
      <c r="B483" s="31"/>
      <c r="C483" s="31"/>
      <c r="D483" s="31"/>
      <c r="E483" s="31"/>
    </row>
    <row r="484">
      <c r="A484" s="31"/>
      <c r="B484" s="31"/>
      <c r="C484" s="31"/>
      <c r="D484" s="31"/>
      <c r="E484" s="31"/>
    </row>
    <row r="485">
      <c r="A485" s="31"/>
      <c r="B485" s="31"/>
      <c r="C485" s="31"/>
      <c r="D485" s="31"/>
      <c r="E485" s="31"/>
    </row>
    <row r="486">
      <c r="A486" s="31"/>
      <c r="B486" s="31"/>
      <c r="C486" s="31"/>
      <c r="D486" s="31"/>
      <c r="E486" s="31"/>
    </row>
    <row r="487">
      <c r="A487" s="31"/>
      <c r="B487" s="31"/>
      <c r="C487" s="31"/>
      <c r="D487" s="31"/>
      <c r="E487" s="31"/>
    </row>
    <row r="488">
      <c r="A488" s="31"/>
      <c r="B488" s="31"/>
      <c r="C488" s="31"/>
      <c r="D488" s="31"/>
      <c r="E488" s="31"/>
    </row>
    <row r="489">
      <c r="A489" s="31"/>
      <c r="B489" s="31"/>
      <c r="C489" s="31"/>
      <c r="D489" s="31"/>
      <c r="E489" s="31"/>
    </row>
    <row r="490">
      <c r="A490" s="31"/>
      <c r="B490" s="31"/>
      <c r="C490" s="31"/>
      <c r="D490" s="31"/>
      <c r="E490" s="31"/>
    </row>
    <row r="491">
      <c r="A491" s="31"/>
      <c r="B491" s="31"/>
      <c r="C491" s="31"/>
      <c r="D491" s="31"/>
      <c r="E491" s="31"/>
    </row>
    <row r="492">
      <c r="A492" s="31"/>
      <c r="B492" s="31"/>
      <c r="C492" s="31"/>
      <c r="D492" s="31"/>
      <c r="E492" s="31"/>
    </row>
    <row r="493">
      <c r="A493" s="31"/>
      <c r="B493" s="31"/>
      <c r="C493" s="31"/>
      <c r="D493" s="31"/>
      <c r="E493" s="31"/>
    </row>
    <row r="494">
      <c r="A494" s="31"/>
      <c r="B494" s="31"/>
      <c r="C494" s="31"/>
      <c r="D494" s="31"/>
      <c r="E494" s="31"/>
    </row>
    <row r="495">
      <c r="A495" s="31"/>
      <c r="B495" s="31"/>
      <c r="C495" s="31"/>
      <c r="D495" s="31"/>
      <c r="E495" s="31"/>
    </row>
    <row r="496">
      <c r="A496" s="31"/>
      <c r="B496" s="31"/>
      <c r="C496" s="31"/>
      <c r="D496" s="31"/>
      <c r="E496" s="31"/>
    </row>
    <row r="497">
      <c r="A497" s="31"/>
      <c r="B497" s="31"/>
      <c r="C497" s="31"/>
      <c r="D497" s="31"/>
      <c r="E497" s="31"/>
    </row>
    <row r="498">
      <c r="A498" s="31"/>
      <c r="B498" s="31"/>
      <c r="C498" s="31"/>
      <c r="D498" s="31"/>
      <c r="E498" s="31"/>
    </row>
    <row r="499">
      <c r="A499" s="31"/>
      <c r="B499" s="31"/>
      <c r="C499" s="31"/>
      <c r="D499" s="31"/>
      <c r="E499" s="31"/>
    </row>
    <row r="500">
      <c r="A500" s="31"/>
      <c r="B500" s="31"/>
      <c r="C500" s="31"/>
      <c r="D500" s="31"/>
      <c r="E500" s="31"/>
    </row>
    <row r="501">
      <c r="A501" s="31"/>
      <c r="B501" s="31"/>
      <c r="C501" s="31"/>
      <c r="D501" s="31"/>
      <c r="E501" s="31"/>
    </row>
    <row r="502">
      <c r="A502" s="31"/>
      <c r="B502" s="31"/>
      <c r="C502" s="31"/>
      <c r="D502" s="31"/>
      <c r="E502" s="31"/>
    </row>
    <row r="503">
      <c r="A503" s="31"/>
      <c r="B503" s="31"/>
      <c r="C503" s="31"/>
      <c r="D503" s="31"/>
      <c r="E503" s="31"/>
    </row>
    <row r="504">
      <c r="A504" s="31"/>
      <c r="B504" s="31"/>
      <c r="C504" s="31"/>
      <c r="D504" s="31"/>
      <c r="E504" s="31"/>
    </row>
    <row r="505">
      <c r="A505" s="31"/>
      <c r="B505" s="31"/>
      <c r="C505" s="31"/>
      <c r="D505" s="31"/>
      <c r="E505" s="31"/>
    </row>
    <row r="506">
      <c r="A506" s="31"/>
      <c r="B506" s="31"/>
      <c r="C506" s="31"/>
      <c r="D506" s="31"/>
      <c r="E506" s="31"/>
    </row>
    <row r="507">
      <c r="A507" s="31"/>
      <c r="B507" s="31"/>
      <c r="C507" s="31"/>
      <c r="D507" s="31"/>
      <c r="E507" s="31"/>
    </row>
    <row r="508">
      <c r="A508" s="31"/>
      <c r="B508" s="31"/>
      <c r="C508" s="31"/>
      <c r="D508" s="31"/>
      <c r="E508" s="31"/>
    </row>
    <row r="509">
      <c r="A509" s="31"/>
      <c r="B509" s="31"/>
      <c r="C509" s="31"/>
      <c r="D509" s="31"/>
      <c r="E509" s="31"/>
    </row>
    <row r="510">
      <c r="A510" s="31"/>
      <c r="B510" s="31"/>
      <c r="C510" s="31"/>
      <c r="D510" s="31"/>
      <c r="E510" s="31"/>
    </row>
    <row r="511">
      <c r="A511" s="31"/>
      <c r="B511" s="31"/>
      <c r="C511" s="31"/>
      <c r="D511" s="31"/>
      <c r="E511" s="31"/>
    </row>
    <row r="512">
      <c r="A512" s="31"/>
      <c r="B512" s="31"/>
      <c r="C512" s="31"/>
      <c r="D512" s="31"/>
      <c r="E512" s="31"/>
    </row>
    <row r="513">
      <c r="A513" s="31"/>
      <c r="B513" s="31"/>
      <c r="C513" s="31"/>
      <c r="D513" s="31"/>
      <c r="E513" s="31"/>
    </row>
    <row r="514">
      <c r="A514" s="31"/>
      <c r="B514" s="31"/>
      <c r="C514" s="31"/>
      <c r="D514" s="31"/>
      <c r="E514" s="31"/>
    </row>
    <row r="515">
      <c r="A515" s="31"/>
      <c r="B515" s="31"/>
      <c r="C515" s="31"/>
      <c r="D515" s="31"/>
      <c r="E515" s="31"/>
    </row>
    <row r="516">
      <c r="A516" s="31"/>
      <c r="B516" s="31"/>
      <c r="C516" s="31"/>
      <c r="D516" s="31"/>
      <c r="E516" s="31"/>
    </row>
    <row r="517">
      <c r="A517" s="31"/>
      <c r="B517" s="31"/>
      <c r="C517" s="31"/>
      <c r="D517" s="31"/>
      <c r="E517" s="31"/>
    </row>
    <row r="518">
      <c r="A518" s="31"/>
      <c r="B518" s="31"/>
      <c r="C518" s="31"/>
      <c r="D518" s="31"/>
      <c r="E518" s="31"/>
    </row>
    <row r="519">
      <c r="A519" s="31"/>
      <c r="B519" s="31"/>
      <c r="C519" s="31"/>
      <c r="D519" s="31"/>
      <c r="E519" s="31"/>
    </row>
    <row r="520">
      <c r="A520" s="31"/>
      <c r="B520" s="31"/>
      <c r="C520" s="31"/>
      <c r="D520" s="31"/>
      <c r="E520" s="31"/>
    </row>
    <row r="521">
      <c r="A521" s="31"/>
      <c r="B521" s="31"/>
      <c r="C521" s="31"/>
      <c r="D521" s="31"/>
      <c r="E521" s="31"/>
    </row>
    <row r="522">
      <c r="A522" s="31"/>
      <c r="B522" s="31"/>
      <c r="C522" s="31"/>
      <c r="D522" s="31"/>
      <c r="E522" s="31"/>
    </row>
    <row r="523">
      <c r="A523" s="31"/>
      <c r="B523" s="31"/>
      <c r="C523" s="31"/>
      <c r="D523" s="31"/>
      <c r="E523" s="31"/>
    </row>
    <row r="524">
      <c r="A524" s="31"/>
      <c r="B524" s="31"/>
      <c r="C524" s="31"/>
      <c r="D524" s="31"/>
      <c r="E524" s="31"/>
    </row>
    <row r="525">
      <c r="A525" s="31"/>
      <c r="B525" s="31"/>
      <c r="C525" s="31"/>
      <c r="D525" s="31"/>
      <c r="E525" s="31"/>
    </row>
    <row r="526">
      <c r="A526" s="31"/>
      <c r="B526" s="31"/>
      <c r="C526" s="31"/>
      <c r="D526" s="31"/>
      <c r="E526" s="31"/>
    </row>
    <row r="527">
      <c r="A527" s="31"/>
      <c r="B527" s="31"/>
      <c r="C527" s="31"/>
      <c r="D527" s="31"/>
      <c r="E527" s="31"/>
    </row>
    <row r="528">
      <c r="A528" s="31"/>
      <c r="B528" s="31"/>
      <c r="C528" s="31"/>
      <c r="D528" s="31"/>
      <c r="E528" s="31"/>
    </row>
    <row r="529">
      <c r="A529" s="31"/>
      <c r="B529" s="31"/>
      <c r="C529" s="31"/>
      <c r="D529" s="31"/>
      <c r="E529" s="31"/>
    </row>
    <row r="530">
      <c r="A530" s="31"/>
      <c r="B530" s="31"/>
      <c r="C530" s="31"/>
      <c r="D530" s="31"/>
      <c r="E530" s="31"/>
    </row>
    <row r="531">
      <c r="A531" s="31"/>
      <c r="B531" s="31"/>
      <c r="C531" s="31"/>
      <c r="D531" s="31"/>
      <c r="E531" s="31"/>
    </row>
    <row r="532">
      <c r="A532" s="31"/>
      <c r="B532" s="31"/>
      <c r="C532" s="31"/>
      <c r="D532" s="31"/>
      <c r="E532" s="31"/>
    </row>
    <row r="533">
      <c r="A533" s="31"/>
      <c r="B533" s="31"/>
      <c r="C533" s="31"/>
      <c r="D533" s="31"/>
      <c r="E533" s="31"/>
    </row>
    <row r="534">
      <c r="A534" s="31"/>
      <c r="B534" s="31"/>
      <c r="C534" s="31"/>
      <c r="D534" s="31"/>
      <c r="E534" s="31"/>
    </row>
    <row r="535">
      <c r="A535" s="31"/>
      <c r="B535" s="31"/>
      <c r="C535" s="31"/>
      <c r="D535" s="31"/>
      <c r="E535" s="31"/>
    </row>
    <row r="536">
      <c r="A536" s="31"/>
      <c r="B536" s="31"/>
      <c r="C536" s="31"/>
      <c r="D536" s="31"/>
      <c r="E536" s="31"/>
    </row>
    <row r="537">
      <c r="A537" s="31"/>
      <c r="B537" s="31"/>
      <c r="C537" s="31"/>
      <c r="D537" s="31"/>
      <c r="E537" s="31"/>
    </row>
    <row r="538">
      <c r="A538" s="31"/>
      <c r="B538" s="31"/>
      <c r="C538" s="31"/>
      <c r="D538" s="31"/>
      <c r="E538" s="31"/>
    </row>
    <row r="539">
      <c r="A539" s="31"/>
      <c r="B539" s="31"/>
      <c r="C539" s="31"/>
      <c r="D539" s="31"/>
      <c r="E539" s="31"/>
    </row>
    <row r="540">
      <c r="A540" s="31"/>
      <c r="B540" s="31"/>
      <c r="C540" s="31"/>
      <c r="D540" s="31"/>
      <c r="E540" s="31"/>
    </row>
    <row r="541">
      <c r="A541" s="31"/>
      <c r="B541" s="31"/>
      <c r="C541" s="31"/>
      <c r="D541" s="31"/>
      <c r="E541" s="31"/>
    </row>
    <row r="542">
      <c r="A542" s="31"/>
      <c r="B542" s="31"/>
      <c r="C542" s="31"/>
      <c r="D542" s="31"/>
      <c r="E542" s="31"/>
    </row>
    <row r="543">
      <c r="A543" s="31"/>
      <c r="B543" s="31"/>
      <c r="C543" s="31"/>
      <c r="D543" s="31"/>
      <c r="E543" s="31"/>
    </row>
    <row r="544">
      <c r="A544" s="31"/>
      <c r="B544" s="31"/>
      <c r="C544" s="31"/>
      <c r="D544" s="31"/>
      <c r="E544" s="31"/>
    </row>
    <row r="545">
      <c r="A545" s="31"/>
      <c r="B545" s="31"/>
      <c r="C545" s="31"/>
      <c r="D545" s="31"/>
      <c r="E545" s="31"/>
    </row>
    <row r="546">
      <c r="A546" s="31"/>
      <c r="B546" s="31"/>
      <c r="C546" s="31"/>
      <c r="D546" s="31"/>
      <c r="E546" s="31"/>
    </row>
    <row r="547">
      <c r="A547" s="31"/>
      <c r="B547" s="31"/>
      <c r="C547" s="31"/>
      <c r="D547" s="31"/>
      <c r="E547" s="31"/>
    </row>
    <row r="548">
      <c r="A548" s="31"/>
      <c r="B548" s="31"/>
      <c r="C548" s="31"/>
      <c r="D548" s="31"/>
      <c r="E548" s="31"/>
    </row>
    <row r="549">
      <c r="A549" s="31"/>
      <c r="B549" s="31"/>
      <c r="C549" s="31"/>
      <c r="D549" s="31"/>
      <c r="E549" s="31"/>
    </row>
    <row r="550">
      <c r="A550" s="31"/>
      <c r="B550" s="31"/>
      <c r="C550" s="31"/>
      <c r="D550" s="31"/>
      <c r="E550" s="31"/>
    </row>
    <row r="551">
      <c r="A551" s="31"/>
      <c r="B551" s="31"/>
      <c r="C551" s="31"/>
      <c r="D551" s="31"/>
      <c r="E551" s="31"/>
    </row>
    <row r="552">
      <c r="A552" s="31"/>
      <c r="B552" s="31"/>
      <c r="C552" s="31"/>
      <c r="D552" s="31"/>
      <c r="E552" s="31"/>
    </row>
    <row r="553">
      <c r="A553" s="31"/>
      <c r="B553" s="31"/>
      <c r="C553" s="31"/>
      <c r="D553" s="31"/>
      <c r="E553" s="31"/>
    </row>
    <row r="554">
      <c r="A554" s="31"/>
      <c r="B554" s="31"/>
      <c r="C554" s="31"/>
      <c r="D554" s="31"/>
      <c r="E554" s="31"/>
    </row>
    <row r="555">
      <c r="A555" s="31"/>
      <c r="B555" s="31"/>
      <c r="C555" s="31"/>
      <c r="D555" s="31"/>
      <c r="E555" s="31"/>
    </row>
    <row r="556">
      <c r="A556" s="31"/>
      <c r="B556" s="31"/>
      <c r="C556" s="31"/>
      <c r="D556" s="31"/>
      <c r="E556" s="31"/>
    </row>
    <row r="557">
      <c r="A557" s="31"/>
      <c r="B557" s="31"/>
      <c r="C557" s="31"/>
      <c r="D557" s="31"/>
      <c r="E557" s="31"/>
    </row>
    <row r="558">
      <c r="A558" s="31"/>
      <c r="B558" s="31"/>
      <c r="C558" s="31"/>
      <c r="D558" s="31"/>
      <c r="E558" s="31"/>
    </row>
    <row r="559">
      <c r="A559" s="31"/>
      <c r="B559" s="31"/>
      <c r="C559" s="31"/>
      <c r="D559" s="31"/>
      <c r="E559" s="31"/>
    </row>
    <row r="560">
      <c r="A560" s="31"/>
      <c r="B560" s="31"/>
      <c r="C560" s="31"/>
      <c r="D560" s="31"/>
      <c r="E560" s="31"/>
    </row>
    <row r="561">
      <c r="A561" s="31"/>
      <c r="B561" s="31"/>
      <c r="C561" s="31"/>
      <c r="D561" s="31"/>
      <c r="E561" s="31"/>
    </row>
    <row r="562">
      <c r="A562" s="31"/>
      <c r="B562" s="31"/>
      <c r="C562" s="31"/>
      <c r="D562" s="31"/>
      <c r="E562" s="31"/>
    </row>
    <row r="563">
      <c r="A563" s="31"/>
      <c r="B563" s="31"/>
      <c r="C563" s="31"/>
      <c r="D563" s="31"/>
      <c r="E563" s="31"/>
    </row>
    <row r="564">
      <c r="A564" s="31"/>
      <c r="B564" s="31"/>
      <c r="C564" s="31"/>
      <c r="D564" s="31"/>
      <c r="E564" s="31"/>
    </row>
    <row r="565">
      <c r="A565" s="31"/>
      <c r="B565" s="31"/>
      <c r="C565" s="31"/>
      <c r="D565" s="31"/>
      <c r="E565" s="31"/>
    </row>
    <row r="566">
      <c r="A566" s="31"/>
      <c r="B566" s="31"/>
      <c r="C566" s="31"/>
      <c r="D566" s="31"/>
      <c r="E566" s="31"/>
    </row>
    <row r="567">
      <c r="A567" s="31"/>
      <c r="B567" s="31"/>
      <c r="C567" s="31"/>
      <c r="D567" s="31"/>
      <c r="E567" s="31"/>
    </row>
    <row r="568">
      <c r="A568" s="31"/>
      <c r="B568" s="31"/>
      <c r="C568" s="31"/>
      <c r="D568" s="31"/>
      <c r="E568" s="31"/>
    </row>
    <row r="569">
      <c r="A569" s="31"/>
      <c r="B569" s="31"/>
      <c r="C569" s="31"/>
      <c r="D569" s="31"/>
      <c r="E569" s="31"/>
    </row>
    <row r="570">
      <c r="A570" s="31"/>
      <c r="B570" s="31"/>
      <c r="C570" s="31"/>
      <c r="D570" s="31"/>
      <c r="E570" s="31"/>
    </row>
    <row r="571">
      <c r="A571" s="31"/>
      <c r="B571" s="31"/>
      <c r="C571" s="31"/>
      <c r="D571" s="31"/>
      <c r="E571" s="31"/>
    </row>
    <row r="572">
      <c r="A572" s="31"/>
      <c r="B572" s="31"/>
      <c r="C572" s="31"/>
      <c r="D572" s="31"/>
      <c r="E572" s="31"/>
    </row>
    <row r="573">
      <c r="A573" s="31"/>
      <c r="B573" s="31"/>
      <c r="C573" s="31"/>
      <c r="D573" s="31"/>
      <c r="E573" s="31"/>
    </row>
    <row r="574">
      <c r="A574" s="31"/>
      <c r="B574" s="31"/>
      <c r="C574" s="31"/>
      <c r="D574" s="31"/>
      <c r="E574" s="31"/>
    </row>
    <row r="575">
      <c r="A575" s="31"/>
      <c r="B575" s="31"/>
      <c r="C575" s="31"/>
      <c r="D575" s="31"/>
      <c r="E575" s="31"/>
    </row>
    <row r="576">
      <c r="A576" s="31"/>
      <c r="B576" s="31"/>
      <c r="C576" s="31"/>
      <c r="D576" s="31"/>
      <c r="E576" s="31"/>
    </row>
    <row r="577">
      <c r="A577" s="31"/>
      <c r="B577" s="31"/>
      <c r="C577" s="31"/>
      <c r="D577" s="31"/>
      <c r="E577" s="31"/>
    </row>
    <row r="578">
      <c r="A578" s="31"/>
      <c r="B578" s="31"/>
      <c r="C578" s="31"/>
      <c r="D578" s="31"/>
      <c r="E578" s="31"/>
    </row>
    <row r="579">
      <c r="A579" s="31"/>
      <c r="B579" s="31"/>
      <c r="C579" s="31"/>
      <c r="D579" s="31"/>
      <c r="E579" s="31"/>
    </row>
    <row r="580">
      <c r="A580" s="31"/>
      <c r="B580" s="31"/>
      <c r="C580" s="31"/>
      <c r="D580" s="31"/>
      <c r="E580" s="31"/>
    </row>
    <row r="581">
      <c r="A581" s="31"/>
      <c r="B581" s="31"/>
      <c r="C581" s="31"/>
      <c r="D581" s="31"/>
      <c r="E581" s="31"/>
    </row>
    <row r="582">
      <c r="A582" s="31"/>
      <c r="B582" s="31"/>
      <c r="C582" s="31"/>
      <c r="D582" s="31"/>
      <c r="E582" s="31"/>
    </row>
    <row r="583">
      <c r="A583" s="31"/>
      <c r="B583" s="31"/>
      <c r="C583" s="31"/>
      <c r="D583" s="31"/>
      <c r="E583" s="31"/>
    </row>
    <row r="584">
      <c r="A584" s="31"/>
      <c r="B584" s="31"/>
      <c r="C584" s="31"/>
      <c r="D584" s="31"/>
      <c r="E584" s="31"/>
    </row>
    <row r="585">
      <c r="A585" s="31"/>
      <c r="B585" s="31"/>
      <c r="C585" s="31"/>
      <c r="D585" s="31"/>
      <c r="E585" s="31"/>
    </row>
    <row r="586">
      <c r="A586" s="31"/>
      <c r="B586" s="31"/>
      <c r="C586" s="31"/>
      <c r="D586" s="31"/>
      <c r="E586" s="31"/>
    </row>
    <row r="587">
      <c r="A587" s="31"/>
      <c r="B587" s="31"/>
      <c r="C587" s="31"/>
      <c r="D587" s="31"/>
      <c r="E587" s="31"/>
    </row>
    <row r="588">
      <c r="A588" s="31"/>
      <c r="B588" s="31"/>
      <c r="C588" s="31"/>
      <c r="D588" s="31"/>
      <c r="E588" s="31"/>
    </row>
    <row r="589">
      <c r="A589" s="31"/>
      <c r="B589" s="31"/>
      <c r="C589" s="31"/>
      <c r="D589" s="31"/>
      <c r="E589" s="31"/>
    </row>
    <row r="590">
      <c r="A590" s="31"/>
      <c r="B590" s="31"/>
      <c r="C590" s="31"/>
      <c r="D590" s="31"/>
      <c r="E590" s="31"/>
    </row>
    <row r="591">
      <c r="A591" s="31"/>
      <c r="B591" s="31"/>
      <c r="C591" s="31"/>
      <c r="D591" s="31"/>
      <c r="E591" s="31"/>
    </row>
    <row r="592">
      <c r="A592" s="31"/>
      <c r="B592" s="31"/>
      <c r="C592" s="31"/>
      <c r="D592" s="31"/>
      <c r="E592" s="31"/>
    </row>
    <row r="593">
      <c r="A593" s="31"/>
      <c r="B593" s="31"/>
      <c r="C593" s="31"/>
      <c r="D593" s="31"/>
      <c r="E593" s="31"/>
    </row>
    <row r="594">
      <c r="A594" s="31"/>
      <c r="B594" s="31"/>
      <c r="C594" s="31"/>
      <c r="D594" s="31"/>
      <c r="E594" s="31"/>
    </row>
    <row r="595">
      <c r="A595" s="31"/>
      <c r="B595" s="31"/>
      <c r="C595" s="31"/>
      <c r="D595" s="31"/>
      <c r="E595" s="31"/>
    </row>
    <row r="596">
      <c r="A596" s="31"/>
      <c r="B596" s="31"/>
      <c r="C596" s="31"/>
      <c r="D596" s="31"/>
      <c r="E596" s="31"/>
    </row>
    <row r="597">
      <c r="A597" s="31"/>
      <c r="B597" s="31"/>
      <c r="C597" s="31"/>
      <c r="D597" s="31"/>
      <c r="E597" s="31"/>
    </row>
    <row r="598">
      <c r="A598" s="31"/>
      <c r="B598" s="31"/>
      <c r="C598" s="31"/>
      <c r="D598" s="31"/>
      <c r="E598" s="31"/>
    </row>
    <row r="599">
      <c r="A599" s="31"/>
      <c r="B599" s="31"/>
      <c r="C599" s="31"/>
      <c r="D599" s="31"/>
      <c r="E599" s="31"/>
    </row>
    <row r="600">
      <c r="A600" s="31"/>
      <c r="B600" s="31"/>
      <c r="C600" s="31"/>
      <c r="D600" s="31"/>
      <c r="E600" s="31"/>
    </row>
    <row r="601">
      <c r="A601" s="31"/>
      <c r="B601" s="31"/>
      <c r="C601" s="31"/>
      <c r="D601" s="31"/>
      <c r="E601" s="31"/>
    </row>
    <row r="602">
      <c r="A602" s="31"/>
      <c r="B602" s="31"/>
      <c r="C602" s="31"/>
      <c r="D602" s="31"/>
      <c r="E602" s="31"/>
    </row>
    <row r="603">
      <c r="A603" s="31"/>
      <c r="B603" s="31"/>
      <c r="C603" s="31"/>
      <c r="D603" s="31"/>
      <c r="E603" s="31"/>
    </row>
    <row r="604">
      <c r="A604" s="31"/>
      <c r="B604" s="31"/>
      <c r="C604" s="31"/>
      <c r="D604" s="31"/>
      <c r="E604" s="31"/>
    </row>
    <row r="605">
      <c r="A605" s="31"/>
      <c r="B605" s="31"/>
      <c r="C605" s="31"/>
      <c r="D605" s="31"/>
      <c r="E605" s="31"/>
    </row>
    <row r="606">
      <c r="A606" s="31"/>
      <c r="B606" s="31"/>
      <c r="C606" s="31"/>
      <c r="D606" s="31"/>
      <c r="E606" s="31"/>
    </row>
    <row r="607">
      <c r="A607" s="31"/>
      <c r="B607" s="31"/>
      <c r="C607" s="31"/>
      <c r="D607" s="31"/>
      <c r="E607" s="31"/>
    </row>
    <row r="608">
      <c r="A608" s="31"/>
      <c r="B608" s="31"/>
      <c r="C608" s="31"/>
      <c r="D608" s="31"/>
      <c r="E608" s="31"/>
    </row>
    <row r="609">
      <c r="A609" s="31"/>
      <c r="B609" s="31"/>
      <c r="C609" s="31"/>
      <c r="D609" s="31"/>
      <c r="E609" s="31"/>
    </row>
    <row r="610">
      <c r="A610" s="31"/>
      <c r="B610" s="31"/>
      <c r="C610" s="31"/>
      <c r="D610" s="31"/>
      <c r="E610" s="31"/>
    </row>
    <row r="611">
      <c r="A611" s="31"/>
      <c r="B611" s="31"/>
      <c r="C611" s="31"/>
      <c r="D611" s="31"/>
      <c r="E611" s="31"/>
    </row>
    <row r="612">
      <c r="A612" s="31"/>
      <c r="B612" s="31"/>
      <c r="C612" s="31"/>
      <c r="D612" s="31"/>
      <c r="E612" s="31"/>
    </row>
    <row r="613">
      <c r="A613" s="31"/>
      <c r="B613" s="31"/>
      <c r="C613" s="31"/>
      <c r="D613" s="31"/>
      <c r="E613" s="31"/>
    </row>
    <row r="614">
      <c r="A614" s="31"/>
      <c r="B614" s="31"/>
      <c r="C614" s="31"/>
      <c r="D614" s="31"/>
      <c r="E614" s="31"/>
    </row>
    <row r="615">
      <c r="A615" s="31"/>
      <c r="B615" s="31"/>
      <c r="C615" s="31"/>
      <c r="D615" s="31"/>
      <c r="E615" s="31"/>
    </row>
    <row r="616">
      <c r="A616" s="31"/>
      <c r="B616" s="31"/>
      <c r="C616" s="31"/>
      <c r="D616" s="31"/>
      <c r="E616" s="31"/>
    </row>
    <row r="617">
      <c r="A617" s="31"/>
      <c r="B617" s="31"/>
      <c r="C617" s="31"/>
      <c r="D617" s="31"/>
      <c r="E617" s="31"/>
    </row>
    <row r="618">
      <c r="A618" s="31"/>
      <c r="B618" s="31"/>
      <c r="C618" s="31"/>
      <c r="D618" s="31"/>
      <c r="E618" s="31"/>
    </row>
    <row r="619">
      <c r="A619" s="31"/>
      <c r="B619" s="31"/>
      <c r="C619" s="31"/>
      <c r="D619" s="31"/>
      <c r="E619" s="31"/>
    </row>
    <row r="620">
      <c r="A620" s="31"/>
      <c r="B620" s="31"/>
      <c r="C620" s="31"/>
      <c r="D620" s="31"/>
      <c r="E620" s="31"/>
    </row>
    <row r="621">
      <c r="A621" s="31"/>
      <c r="B621" s="31"/>
      <c r="C621" s="31"/>
      <c r="D621" s="31"/>
      <c r="E621" s="31"/>
    </row>
    <row r="622">
      <c r="A622" s="31"/>
      <c r="B622" s="31"/>
      <c r="C622" s="31"/>
      <c r="D622" s="31"/>
      <c r="E622" s="31"/>
    </row>
    <row r="623">
      <c r="A623" s="31"/>
      <c r="B623" s="31"/>
      <c r="C623" s="31"/>
      <c r="D623" s="31"/>
      <c r="E623" s="31"/>
    </row>
    <row r="624">
      <c r="A624" s="31"/>
      <c r="B624" s="31"/>
      <c r="C624" s="31"/>
      <c r="D624" s="31"/>
      <c r="E624" s="31"/>
    </row>
    <row r="625">
      <c r="A625" s="31"/>
      <c r="B625" s="31"/>
      <c r="C625" s="31"/>
      <c r="D625" s="31"/>
      <c r="E625" s="31"/>
    </row>
    <row r="626">
      <c r="A626" s="31"/>
      <c r="B626" s="31"/>
      <c r="C626" s="31"/>
      <c r="D626" s="31"/>
      <c r="E626" s="31"/>
    </row>
    <row r="627">
      <c r="A627" s="31"/>
      <c r="B627" s="31"/>
      <c r="C627" s="31"/>
      <c r="D627" s="31"/>
      <c r="E627" s="31"/>
    </row>
    <row r="628">
      <c r="A628" s="31"/>
      <c r="B628" s="31"/>
      <c r="C628" s="31"/>
      <c r="D628" s="31"/>
      <c r="E628" s="31"/>
    </row>
    <row r="629">
      <c r="A629" s="31"/>
      <c r="B629" s="31"/>
      <c r="C629" s="31"/>
      <c r="D629" s="31"/>
      <c r="E629" s="31"/>
    </row>
    <row r="630">
      <c r="A630" s="31"/>
      <c r="B630" s="31"/>
      <c r="C630" s="31"/>
      <c r="D630" s="31"/>
      <c r="E630" s="31"/>
    </row>
    <row r="631">
      <c r="A631" s="31"/>
      <c r="B631" s="31"/>
      <c r="C631" s="31"/>
      <c r="D631" s="31"/>
      <c r="E631" s="31"/>
    </row>
    <row r="632">
      <c r="A632" s="31"/>
      <c r="B632" s="31"/>
      <c r="C632" s="31"/>
      <c r="D632" s="31"/>
      <c r="E632" s="31"/>
    </row>
    <row r="633">
      <c r="A633" s="31"/>
      <c r="B633" s="31"/>
      <c r="C633" s="31"/>
      <c r="D633" s="31"/>
      <c r="E633" s="31"/>
    </row>
    <row r="634">
      <c r="A634" s="31"/>
      <c r="B634" s="31"/>
      <c r="C634" s="31"/>
      <c r="D634" s="31"/>
      <c r="E634" s="31"/>
    </row>
    <row r="635">
      <c r="A635" s="31"/>
      <c r="B635" s="31"/>
      <c r="C635" s="31"/>
      <c r="D635" s="31"/>
      <c r="E635" s="31"/>
    </row>
    <row r="636">
      <c r="A636" s="31"/>
      <c r="B636" s="31"/>
      <c r="C636" s="31"/>
      <c r="D636" s="31"/>
      <c r="E636" s="31"/>
    </row>
    <row r="637">
      <c r="A637" s="31"/>
      <c r="B637" s="31"/>
      <c r="C637" s="31"/>
      <c r="D637" s="31"/>
      <c r="E637" s="31"/>
    </row>
    <row r="638">
      <c r="A638" s="31"/>
      <c r="B638" s="31"/>
      <c r="C638" s="31"/>
      <c r="D638" s="31"/>
      <c r="E638" s="31"/>
    </row>
    <row r="639">
      <c r="A639" s="31"/>
      <c r="B639" s="31"/>
      <c r="C639" s="31"/>
      <c r="D639" s="31"/>
      <c r="E639" s="31"/>
    </row>
    <row r="640">
      <c r="A640" s="31"/>
      <c r="B640" s="31"/>
      <c r="C640" s="31"/>
      <c r="D640" s="31"/>
      <c r="E640" s="31"/>
    </row>
    <row r="641">
      <c r="A641" s="31"/>
      <c r="B641" s="31"/>
      <c r="C641" s="31"/>
      <c r="D641" s="31"/>
      <c r="E641" s="31"/>
    </row>
    <row r="642">
      <c r="A642" s="31"/>
      <c r="B642" s="31"/>
      <c r="C642" s="31"/>
      <c r="D642" s="31"/>
      <c r="E642" s="31"/>
    </row>
    <row r="643">
      <c r="A643" s="31"/>
      <c r="B643" s="31"/>
      <c r="C643" s="31"/>
      <c r="D643" s="31"/>
      <c r="E643" s="31"/>
    </row>
    <row r="644">
      <c r="A644" s="31"/>
      <c r="B644" s="31"/>
      <c r="C644" s="31"/>
      <c r="D644" s="31"/>
      <c r="E644" s="31"/>
    </row>
    <row r="645">
      <c r="A645" s="31"/>
      <c r="B645" s="31"/>
      <c r="C645" s="31"/>
      <c r="D645" s="31"/>
      <c r="E645" s="31"/>
    </row>
    <row r="646">
      <c r="A646" s="31"/>
      <c r="B646" s="31"/>
      <c r="C646" s="31"/>
      <c r="D646" s="31"/>
      <c r="E646" s="31"/>
    </row>
    <row r="647">
      <c r="A647" s="31"/>
      <c r="B647" s="31"/>
      <c r="C647" s="31"/>
      <c r="D647" s="31"/>
      <c r="E647" s="31"/>
    </row>
    <row r="648">
      <c r="A648" s="31"/>
      <c r="B648" s="31"/>
      <c r="C648" s="31"/>
      <c r="D648" s="31"/>
      <c r="E648" s="31"/>
    </row>
    <row r="649">
      <c r="A649" s="31"/>
      <c r="B649" s="31"/>
      <c r="C649" s="31"/>
      <c r="D649" s="31"/>
      <c r="E649" s="31"/>
    </row>
    <row r="650">
      <c r="A650" s="31"/>
      <c r="B650" s="31"/>
      <c r="C650" s="31"/>
      <c r="D650" s="31"/>
      <c r="E650" s="31"/>
    </row>
    <row r="651">
      <c r="A651" s="31"/>
      <c r="B651" s="31"/>
      <c r="C651" s="31"/>
      <c r="D651" s="31"/>
      <c r="E651" s="31"/>
    </row>
    <row r="652">
      <c r="A652" s="31"/>
      <c r="B652" s="31"/>
      <c r="C652" s="31"/>
      <c r="D652" s="31"/>
      <c r="E652" s="31"/>
    </row>
    <row r="653">
      <c r="A653" s="31"/>
      <c r="B653" s="31"/>
      <c r="C653" s="31"/>
      <c r="D653" s="31"/>
      <c r="E653" s="31"/>
    </row>
    <row r="654">
      <c r="A654" s="31"/>
      <c r="B654" s="31"/>
      <c r="C654" s="31"/>
      <c r="D654" s="31"/>
      <c r="E654" s="31"/>
    </row>
    <row r="655">
      <c r="A655" s="31"/>
      <c r="B655" s="31"/>
      <c r="C655" s="31"/>
      <c r="D655" s="31"/>
      <c r="E655" s="31"/>
    </row>
    <row r="656">
      <c r="A656" s="31"/>
      <c r="B656" s="31"/>
      <c r="C656" s="31"/>
      <c r="D656" s="31"/>
      <c r="E656" s="31"/>
    </row>
    <row r="657">
      <c r="A657" s="31"/>
      <c r="B657" s="31"/>
      <c r="C657" s="31"/>
      <c r="D657" s="31"/>
      <c r="E657" s="31"/>
    </row>
    <row r="658">
      <c r="A658" s="31"/>
      <c r="B658" s="31"/>
      <c r="C658" s="31"/>
      <c r="D658" s="31"/>
      <c r="E658" s="31"/>
    </row>
    <row r="659">
      <c r="A659" s="31"/>
      <c r="B659" s="31"/>
      <c r="C659" s="31"/>
      <c r="D659" s="31"/>
      <c r="E659" s="31"/>
    </row>
    <row r="660">
      <c r="A660" s="31"/>
      <c r="B660" s="31"/>
      <c r="C660" s="31"/>
      <c r="D660" s="31"/>
      <c r="E660" s="31"/>
    </row>
    <row r="661">
      <c r="A661" s="31"/>
      <c r="B661" s="31"/>
      <c r="C661" s="31"/>
      <c r="D661" s="31"/>
      <c r="E661" s="31"/>
    </row>
    <row r="662">
      <c r="A662" s="31"/>
      <c r="B662" s="31"/>
      <c r="C662" s="31"/>
      <c r="D662" s="31"/>
      <c r="E662" s="31"/>
    </row>
    <row r="663">
      <c r="A663" s="31"/>
      <c r="B663" s="31"/>
      <c r="C663" s="31"/>
      <c r="D663" s="31"/>
      <c r="E663" s="31"/>
    </row>
    <row r="664">
      <c r="A664" s="31"/>
      <c r="B664" s="31"/>
      <c r="C664" s="31"/>
      <c r="D664" s="31"/>
      <c r="E664" s="31"/>
    </row>
    <row r="665">
      <c r="A665" s="31"/>
      <c r="B665" s="31"/>
      <c r="C665" s="31"/>
      <c r="D665" s="31"/>
      <c r="E665" s="31"/>
    </row>
    <row r="666">
      <c r="A666" s="31"/>
      <c r="B666" s="31"/>
      <c r="C666" s="31"/>
      <c r="D666" s="31"/>
      <c r="E666" s="31"/>
    </row>
    <row r="667">
      <c r="A667" s="31"/>
      <c r="B667" s="31"/>
      <c r="C667" s="31"/>
      <c r="D667" s="31"/>
      <c r="E667" s="31"/>
    </row>
    <row r="668">
      <c r="A668" s="31"/>
      <c r="B668" s="31"/>
      <c r="C668" s="31"/>
      <c r="D668" s="31"/>
      <c r="E668" s="31"/>
    </row>
    <row r="669">
      <c r="A669" s="31"/>
      <c r="B669" s="31"/>
      <c r="C669" s="31"/>
      <c r="D669" s="31"/>
      <c r="E669" s="31"/>
    </row>
    <row r="670">
      <c r="A670" s="31"/>
      <c r="B670" s="31"/>
      <c r="C670" s="31"/>
      <c r="D670" s="31"/>
      <c r="E670" s="31"/>
    </row>
    <row r="671">
      <c r="A671" s="31"/>
      <c r="B671" s="31"/>
      <c r="C671" s="31"/>
      <c r="D671" s="31"/>
      <c r="E671" s="31"/>
    </row>
    <row r="672">
      <c r="A672" s="31"/>
      <c r="B672" s="31"/>
      <c r="C672" s="31"/>
      <c r="D672" s="31"/>
      <c r="E672" s="31"/>
    </row>
    <row r="673">
      <c r="A673" s="31"/>
      <c r="B673" s="31"/>
      <c r="C673" s="31"/>
      <c r="D673" s="31"/>
      <c r="E673" s="31"/>
    </row>
    <row r="674">
      <c r="A674" s="31"/>
      <c r="B674" s="31"/>
      <c r="C674" s="31"/>
      <c r="D674" s="31"/>
      <c r="E674" s="31"/>
    </row>
    <row r="675">
      <c r="A675" s="31"/>
      <c r="B675" s="31"/>
      <c r="C675" s="31"/>
      <c r="D675" s="31"/>
      <c r="E675" s="31"/>
    </row>
    <row r="676">
      <c r="A676" s="31"/>
      <c r="B676" s="31"/>
      <c r="C676" s="31"/>
      <c r="D676" s="31"/>
      <c r="E676" s="31"/>
    </row>
    <row r="677">
      <c r="A677" s="31"/>
      <c r="B677" s="31"/>
      <c r="C677" s="31"/>
      <c r="D677" s="31"/>
      <c r="E677" s="31"/>
    </row>
    <row r="678">
      <c r="A678" s="31"/>
      <c r="B678" s="31"/>
      <c r="C678" s="31"/>
      <c r="D678" s="31"/>
      <c r="E678" s="31"/>
    </row>
    <row r="679">
      <c r="A679" s="31"/>
      <c r="B679" s="31"/>
      <c r="C679" s="31"/>
      <c r="D679" s="31"/>
      <c r="E679" s="31"/>
    </row>
    <row r="680">
      <c r="A680" s="31"/>
      <c r="B680" s="31"/>
      <c r="C680" s="31"/>
      <c r="D680" s="31"/>
      <c r="E680" s="31"/>
    </row>
    <row r="681">
      <c r="A681" s="31"/>
      <c r="B681" s="31"/>
      <c r="C681" s="31"/>
      <c r="D681" s="31"/>
      <c r="E681" s="31"/>
    </row>
    <row r="682">
      <c r="A682" s="31"/>
      <c r="B682" s="31"/>
      <c r="C682" s="31"/>
      <c r="D682" s="31"/>
      <c r="E682" s="31"/>
    </row>
    <row r="683">
      <c r="A683" s="31"/>
      <c r="B683" s="31"/>
      <c r="C683" s="31"/>
      <c r="D683" s="31"/>
      <c r="E683" s="31"/>
    </row>
    <row r="684">
      <c r="A684" s="31"/>
      <c r="B684" s="31"/>
      <c r="C684" s="31"/>
      <c r="D684" s="31"/>
      <c r="E684" s="31"/>
    </row>
    <row r="685">
      <c r="A685" s="31"/>
      <c r="B685" s="31"/>
      <c r="C685" s="31"/>
      <c r="D685" s="31"/>
      <c r="E685" s="31"/>
    </row>
    <row r="686">
      <c r="A686" s="31"/>
      <c r="B686" s="31"/>
      <c r="C686" s="31"/>
      <c r="D686" s="31"/>
      <c r="E686" s="31"/>
    </row>
    <row r="687">
      <c r="A687" s="31"/>
      <c r="B687" s="31"/>
      <c r="C687" s="31"/>
      <c r="D687" s="31"/>
      <c r="E687" s="31"/>
    </row>
    <row r="688">
      <c r="A688" s="31"/>
      <c r="B688" s="31"/>
      <c r="C688" s="31"/>
      <c r="D688" s="31"/>
      <c r="E688" s="31"/>
    </row>
    <row r="689">
      <c r="A689" s="31"/>
      <c r="B689" s="31"/>
      <c r="C689" s="31"/>
      <c r="D689" s="31"/>
      <c r="E689" s="31"/>
    </row>
    <row r="690">
      <c r="A690" s="31"/>
      <c r="B690" s="31"/>
      <c r="C690" s="31"/>
      <c r="D690" s="31"/>
      <c r="E690" s="31"/>
    </row>
    <row r="691">
      <c r="A691" s="31"/>
      <c r="B691" s="31"/>
      <c r="C691" s="31"/>
      <c r="D691" s="31"/>
      <c r="E691" s="31"/>
    </row>
    <row r="692">
      <c r="A692" s="31"/>
      <c r="B692" s="31"/>
      <c r="C692" s="31"/>
      <c r="D692" s="31"/>
      <c r="E692" s="31"/>
    </row>
    <row r="693">
      <c r="A693" s="31"/>
      <c r="B693" s="31"/>
      <c r="C693" s="31"/>
      <c r="D693" s="31"/>
      <c r="E693" s="31"/>
    </row>
    <row r="694">
      <c r="A694" s="31"/>
      <c r="B694" s="31"/>
      <c r="C694" s="31"/>
      <c r="D694" s="31"/>
      <c r="E694" s="31"/>
    </row>
    <row r="695">
      <c r="A695" s="31"/>
      <c r="B695" s="31"/>
      <c r="C695" s="31"/>
      <c r="D695" s="31"/>
      <c r="E695" s="31"/>
    </row>
    <row r="696">
      <c r="A696" s="31"/>
      <c r="B696" s="31"/>
      <c r="C696" s="31"/>
      <c r="D696" s="31"/>
      <c r="E696" s="31"/>
    </row>
    <row r="697">
      <c r="A697" s="31"/>
      <c r="B697" s="31"/>
      <c r="C697" s="31"/>
      <c r="D697" s="31"/>
      <c r="E697" s="31"/>
    </row>
    <row r="698">
      <c r="A698" s="31"/>
      <c r="B698" s="31"/>
      <c r="C698" s="31"/>
      <c r="D698" s="31"/>
      <c r="E698" s="31"/>
    </row>
    <row r="699">
      <c r="A699" s="31"/>
      <c r="B699" s="31"/>
      <c r="C699" s="31"/>
      <c r="D699" s="31"/>
      <c r="E699" s="31"/>
    </row>
    <row r="700">
      <c r="A700" s="31"/>
      <c r="B700" s="31"/>
      <c r="C700" s="31"/>
      <c r="D700" s="31"/>
      <c r="E700" s="31"/>
    </row>
    <row r="701">
      <c r="A701" s="31"/>
      <c r="B701" s="31"/>
      <c r="C701" s="31"/>
      <c r="D701" s="31"/>
      <c r="E701" s="31"/>
    </row>
    <row r="702">
      <c r="A702" s="31"/>
      <c r="B702" s="31"/>
      <c r="C702" s="31"/>
      <c r="D702" s="31"/>
      <c r="E702" s="31"/>
    </row>
    <row r="703">
      <c r="A703" s="31"/>
      <c r="B703" s="31"/>
      <c r="C703" s="31"/>
      <c r="D703" s="31"/>
      <c r="E703" s="31"/>
    </row>
    <row r="704">
      <c r="A704" s="31"/>
      <c r="B704" s="31"/>
      <c r="C704" s="31"/>
      <c r="D704" s="31"/>
      <c r="E704" s="31"/>
    </row>
    <row r="705">
      <c r="A705" s="31"/>
      <c r="B705" s="31"/>
      <c r="C705" s="31"/>
      <c r="D705" s="31"/>
      <c r="E705" s="31"/>
    </row>
    <row r="706">
      <c r="A706" s="31"/>
      <c r="B706" s="31"/>
      <c r="C706" s="31"/>
      <c r="D706" s="31"/>
      <c r="E706" s="31"/>
    </row>
    <row r="707">
      <c r="A707" s="31"/>
      <c r="B707" s="31"/>
      <c r="C707" s="31"/>
      <c r="D707" s="31"/>
      <c r="E707" s="31"/>
    </row>
    <row r="708">
      <c r="A708" s="31"/>
      <c r="B708" s="31"/>
      <c r="C708" s="31"/>
      <c r="D708" s="31"/>
      <c r="E708" s="31"/>
    </row>
    <row r="709">
      <c r="A709" s="31"/>
      <c r="B709" s="31"/>
      <c r="C709" s="31"/>
      <c r="D709" s="31"/>
      <c r="E709" s="31"/>
    </row>
    <row r="710">
      <c r="A710" s="31"/>
      <c r="B710" s="31"/>
      <c r="C710" s="31"/>
      <c r="D710" s="31"/>
      <c r="E710" s="31"/>
    </row>
    <row r="711">
      <c r="A711" s="31"/>
      <c r="B711" s="31"/>
      <c r="C711" s="31"/>
      <c r="D711" s="31"/>
      <c r="E711" s="31"/>
    </row>
    <row r="712">
      <c r="A712" s="31"/>
      <c r="B712" s="31"/>
      <c r="C712" s="31"/>
      <c r="D712" s="31"/>
      <c r="E712" s="31"/>
    </row>
    <row r="713">
      <c r="A713" s="31"/>
      <c r="B713" s="31"/>
      <c r="C713" s="31"/>
      <c r="D713" s="31"/>
      <c r="E713" s="31"/>
    </row>
    <row r="714">
      <c r="A714" s="31"/>
      <c r="B714" s="31"/>
      <c r="C714" s="31"/>
      <c r="D714" s="31"/>
      <c r="E714" s="31"/>
    </row>
    <row r="715">
      <c r="A715" s="31"/>
      <c r="B715" s="31"/>
      <c r="C715" s="31"/>
      <c r="D715" s="31"/>
      <c r="E715" s="31"/>
    </row>
    <row r="716">
      <c r="A716" s="31"/>
      <c r="B716" s="31"/>
      <c r="C716" s="31"/>
      <c r="D716" s="31"/>
      <c r="E716" s="31"/>
    </row>
    <row r="717">
      <c r="A717" s="31"/>
      <c r="B717" s="31"/>
      <c r="C717" s="31"/>
      <c r="D717" s="31"/>
      <c r="E717" s="31"/>
    </row>
    <row r="718">
      <c r="A718" s="31"/>
      <c r="B718" s="31"/>
      <c r="C718" s="31"/>
      <c r="D718" s="31"/>
      <c r="E718" s="31"/>
    </row>
    <row r="719">
      <c r="A719" s="31"/>
      <c r="B719" s="31"/>
      <c r="C719" s="31"/>
      <c r="D719" s="31"/>
      <c r="E719" s="31"/>
    </row>
    <row r="720">
      <c r="A720" s="31"/>
      <c r="B720" s="31"/>
      <c r="C720" s="31"/>
      <c r="D720" s="31"/>
      <c r="E720" s="31"/>
    </row>
    <row r="721">
      <c r="A721" s="31"/>
      <c r="B721" s="31"/>
      <c r="C721" s="31"/>
      <c r="D721" s="31"/>
      <c r="E721" s="31"/>
    </row>
    <row r="722">
      <c r="A722" s="31"/>
      <c r="B722" s="31"/>
      <c r="C722" s="31"/>
      <c r="D722" s="31"/>
      <c r="E722" s="31"/>
    </row>
    <row r="723">
      <c r="A723" s="31"/>
      <c r="B723" s="31"/>
      <c r="C723" s="31"/>
      <c r="D723" s="31"/>
      <c r="E723" s="31"/>
    </row>
    <row r="724">
      <c r="A724" s="31"/>
      <c r="B724" s="31"/>
      <c r="C724" s="31"/>
      <c r="D724" s="31"/>
      <c r="E724" s="31"/>
    </row>
    <row r="725">
      <c r="A725" s="31"/>
      <c r="B725" s="31"/>
      <c r="C725" s="31"/>
      <c r="D725" s="31"/>
      <c r="E725" s="31"/>
    </row>
    <row r="726">
      <c r="A726" s="31"/>
      <c r="B726" s="31"/>
      <c r="C726" s="31"/>
      <c r="D726" s="31"/>
      <c r="E726" s="31"/>
    </row>
    <row r="727">
      <c r="A727" s="31"/>
      <c r="B727" s="31"/>
      <c r="C727" s="31"/>
      <c r="D727" s="31"/>
      <c r="E727" s="31"/>
    </row>
    <row r="728">
      <c r="A728" s="31"/>
      <c r="B728" s="31"/>
      <c r="C728" s="31"/>
      <c r="D728" s="31"/>
      <c r="E728" s="31"/>
    </row>
    <row r="729">
      <c r="A729" s="31"/>
      <c r="B729" s="31"/>
      <c r="C729" s="31"/>
      <c r="D729" s="31"/>
      <c r="E729" s="31"/>
    </row>
    <row r="730">
      <c r="A730" s="31"/>
      <c r="B730" s="31"/>
      <c r="C730" s="31"/>
      <c r="D730" s="31"/>
      <c r="E730" s="31"/>
    </row>
    <row r="731">
      <c r="A731" s="31"/>
      <c r="B731" s="31"/>
      <c r="C731" s="31"/>
      <c r="D731" s="31"/>
      <c r="E731" s="31"/>
    </row>
    <row r="732">
      <c r="A732" s="31"/>
      <c r="B732" s="31"/>
      <c r="C732" s="31"/>
      <c r="D732" s="31"/>
      <c r="E732" s="31"/>
    </row>
    <row r="733">
      <c r="A733" s="31"/>
      <c r="B733" s="31"/>
      <c r="C733" s="31"/>
      <c r="D733" s="31"/>
      <c r="E733" s="31"/>
    </row>
    <row r="734">
      <c r="A734" s="31"/>
      <c r="B734" s="31"/>
      <c r="C734" s="31"/>
      <c r="D734" s="31"/>
      <c r="E734" s="31"/>
    </row>
    <row r="735">
      <c r="A735" s="31"/>
      <c r="B735" s="31"/>
      <c r="C735" s="31"/>
      <c r="D735" s="31"/>
      <c r="E735" s="31"/>
    </row>
    <row r="736">
      <c r="A736" s="31"/>
      <c r="B736" s="31"/>
      <c r="C736" s="31"/>
      <c r="D736" s="31"/>
      <c r="E736" s="31"/>
    </row>
    <row r="737">
      <c r="A737" s="31"/>
      <c r="B737" s="31"/>
      <c r="C737" s="31"/>
      <c r="D737" s="31"/>
      <c r="E737" s="31"/>
    </row>
    <row r="738">
      <c r="A738" s="31"/>
      <c r="B738" s="31"/>
      <c r="C738" s="31"/>
      <c r="D738" s="31"/>
      <c r="E738" s="31"/>
    </row>
    <row r="739">
      <c r="A739" s="31"/>
      <c r="B739" s="31"/>
      <c r="C739" s="31"/>
      <c r="D739" s="31"/>
      <c r="E739" s="31"/>
    </row>
    <row r="740">
      <c r="A740" s="31"/>
      <c r="B740" s="31"/>
      <c r="C740" s="31"/>
      <c r="D740" s="31"/>
      <c r="E740" s="31"/>
    </row>
    <row r="741">
      <c r="A741" s="31"/>
      <c r="B741" s="31"/>
      <c r="C741" s="31"/>
      <c r="D741" s="31"/>
      <c r="E741" s="31"/>
    </row>
    <row r="742">
      <c r="A742" s="31"/>
      <c r="B742" s="31"/>
      <c r="C742" s="31"/>
      <c r="D742" s="31"/>
      <c r="E742" s="31"/>
    </row>
    <row r="743">
      <c r="A743" s="31"/>
      <c r="B743" s="31"/>
      <c r="C743" s="31"/>
      <c r="D743" s="31"/>
      <c r="E743" s="31"/>
    </row>
    <row r="744">
      <c r="A744" s="31"/>
      <c r="B744" s="31"/>
      <c r="C744" s="31"/>
      <c r="D744" s="31"/>
      <c r="E744" s="31"/>
    </row>
    <row r="745">
      <c r="A745" s="31"/>
      <c r="B745" s="31"/>
      <c r="C745" s="31"/>
      <c r="D745" s="31"/>
      <c r="E745" s="31"/>
    </row>
    <row r="746">
      <c r="A746" s="31"/>
      <c r="B746" s="31"/>
      <c r="C746" s="31"/>
      <c r="D746" s="31"/>
      <c r="E746" s="31"/>
    </row>
    <row r="747">
      <c r="A747" s="31"/>
      <c r="B747" s="31"/>
      <c r="C747" s="31"/>
      <c r="D747" s="31"/>
      <c r="E747" s="31"/>
    </row>
    <row r="748">
      <c r="A748" s="31"/>
      <c r="B748" s="31"/>
      <c r="C748" s="31"/>
      <c r="D748" s="31"/>
      <c r="E748" s="31"/>
    </row>
    <row r="749">
      <c r="A749" s="31"/>
      <c r="B749" s="31"/>
      <c r="C749" s="31"/>
      <c r="D749" s="31"/>
      <c r="E749" s="31"/>
    </row>
    <row r="750">
      <c r="A750" s="31"/>
      <c r="B750" s="31"/>
      <c r="C750" s="31"/>
      <c r="D750" s="31"/>
      <c r="E750" s="31"/>
    </row>
    <row r="751">
      <c r="A751" s="31"/>
      <c r="B751" s="31"/>
      <c r="C751" s="31"/>
      <c r="D751" s="31"/>
      <c r="E751" s="31"/>
    </row>
    <row r="752">
      <c r="A752" s="31"/>
      <c r="B752" s="31"/>
      <c r="C752" s="31"/>
      <c r="D752" s="31"/>
      <c r="E752" s="31"/>
    </row>
    <row r="753">
      <c r="A753" s="31"/>
      <c r="B753" s="31"/>
      <c r="C753" s="31"/>
      <c r="D753" s="31"/>
      <c r="E753" s="31"/>
    </row>
    <row r="754">
      <c r="A754" s="31"/>
      <c r="B754" s="31"/>
      <c r="C754" s="31"/>
      <c r="D754" s="31"/>
      <c r="E754" s="31"/>
    </row>
    <row r="755">
      <c r="A755" s="31"/>
      <c r="B755" s="31"/>
      <c r="C755" s="31"/>
      <c r="D755" s="31"/>
      <c r="E755" s="31"/>
    </row>
    <row r="756">
      <c r="A756" s="31"/>
      <c r="B756" s="31"/>
      <c r="C756" s="31"/>
      <c r="D756" s="31"/>
      <c r="E756" s="31"/>
    </row>
    <row r="757">
      <c r="A757" s="31"/>
      <c r="B757" s="31"/>
      <c r="C757" s="31"/>
      <c r="D757" s="31"/>
      <c r="E757" s="31"/>
    </row>
    <row r="758">
      <c r="A758" s="31"/>
      <c r="B758" s="31"/>
      <c r="C758" s="31"/>
      <c r="D758" s="31"/>
      <c r="E758" s="31"/>
    </row>
    <row r="759">
      <c r="A759" s="31"/>
      <c r="B759" s="31"/>
      <c r="C759" s="31"/>
      <c r="D759" s="31"/>
      <c r="E759" s="31"/>
    </row>
    <row r="760">
      <c r="A760" s="31"/>
      <c r="B760" s="31"/>
      <c r="C760" s="31"/>
      <c r="D760" s="31"/>
      <c r="E760" s="31"/>
    </row>
    <row r="761">
      <c r="A761" s="31"/>
      <c r="B761" s="31"/>
      <c r="C761" s="31"/>
      <c r="D761" s="31"/>
      <c r="E761" s="31"/>
    </row>
    <row r="762">
      <c r="A762" s="31"/>
      <c r="B762" s="31"/>
      <c r="C762" s="31"/>
      <c r="D762" s="31"/>
      <c r="E762" s="31"/>
    </row>
    <row r="763">
      <c r="A763" s="31"/>
      <c r="B763" s="31"/>
      <c r="C763" s="31"/>
      <c r="D763" s="31"/>
      <c r="E763" s="31"/>
    </row>
    <row r="764">
      <c r="A764" s="31"/>
      <c r="B764" s="31"/>
      <c r="C764" s="31"/>
      <c r="D764" s="31"/>
      <c r="E764" s="31"/>
    </row>
    <row r="765">
      <c r="A765" s="31"/>
      <c r="B765" s="31"/>
      <c r="C765" s="31"/>
      <c r="D765" s="31"/>
      <c r="E765" s="31"/>
    </row>
    <row r="766">
      <c r="A766" s="31"/>
      <c r="B766" s="31"/>
      <c r="C766" s="31"/>
      <c r="D766" s="31"/>
      <c r="E766" s="31"/>
    </row>
    <row r="767">
      <c r="A767" s="31"/>
      <c r="B767" s="31"/>
      <c r="C767" s="31"/>
      <c r="D767" s="31"/>
      <c r="E767" s="31"/>
    </row>
    <row r="768">
      <c r="A768" s="31"/>
      <c r="B768" s="31"/>
      <c r="C768" s="31"/>
      <c r="D768" s="31"/>
      <c r="E768" s="31"/>
    </row>
    <row r="769">
      <c r="A769" s="31"/>
      <c r="B769" s="31"/>
      <c r="C769" s="31"/>
      <c r="D769" s="31"/>
      <c r="E769" s="31"/>
    </row>
    <row r="770">
      <c r="A770" s="31"/>
      <c r="B770" s="31"/>
      <c r="C770" s="31"/>
      <c r="D770" s="31"/>
      <c r="E770" s="31"/>
    </row>
    <row r="771">
      <c r="A771" s="31"/>
      <c r="B771" s="31"/>
      <c r="C771" s="31"/>
      <c r="D771" s="31"/>
      <c r="E771" s="31"/>
    </row>
    <row r="772">
      <c r="A772" s="31"/>
      <c r="B772" s="31"/>
      <c r="C772" s="31"/>
      <c r="D772" s="31"/>
      <c r="E772" s="31"/>
    </row>
    <row r="773">
      <c r="A773" s="31"/>
      <c r="B773" s="31"/>
      <c r="C773" s="31"/>
      <c r="D773" s="31"/>
      <c r="E773" s="31"/>
    </row>
    <row r="774">
      <c r="A774" s="31"/>
      <c r="B774" s="31"/>
      <c r="C774" s="31"/>
      <c r="D774" s="31"/>
      <c r="E774" s="31"/>
    </row>
    <row r="775">
      <c r="A775" s="31"/>
      <c r="B775" s="31"/>
      <c r="C775" s="31"/>
      <c r="D775" s="31"/>
      <c r="E775" s="31"/>
    </row>
    <row r="776">
      <c r="A776" s="31"/>
      <c r="B776" s="31"/>
      <c r="C776" s="31"/>
      <c r="D776" s="31"/>
      <c r="E776" s="31"/>
    </row>
    <row r="777">
      <c r="A777" s="31"/>
      <c r="B777" s="31"/>
      <c r="C777" s="31"/>
      <c r="D777" s="31"/>
      <c r="E777" s="31"/>
    </row>
    <row r="778">
      <c r="A778" s="31"/>
      <c r="B778" s="31"/>
      <c r="C778" s="31"/>
      <c r="D778" s="31"/>
      <c r="E778" s="31"/>
    </row>
    <row r="779">
      <c r="A779" s="31"/>
      <c r="B779" s="31"/>
      <c r="C779" s="31"/>
      <c r="D779" s="31"/>
      <c r="E779" s="31"/>
    </row>
    <row r="780">
      <c r="A780" s="31"/>
      <c r="B780" s="31"/>
      <c r="C780" s="31"/>
      <c r="D780" s="31"/>
      <c r="E780" s="31"/>
    </row>
    <row r="781">
      <c r="A781" s="31"/>
      <c r="B781" s="31"/>
      <c r="C781" s="31"/>
      <c r="D781" s="31"/>
      <c r="E781" s="31"/>
    </row>
    <row r="782">
      <c r="A782" s="31"/>
      <c r="B782" s="31"/>
      <c r="C782" s="31"/>
      <c r="D782" s="31"/>
      <c r="E782" s="31"/>
    </row>
    <row r="783">
      <c r="A783" s="31"/>
      <c r="B783" s="31"/>
      <c r="C783" s="31"/>
      <c r="D783" s="31"/>
      <c r="E783" s="31"/>
    </row>
    <row r="784">
      <c r="A784" s="31"/>
      <c r="B784" s="31"/>
      <c r="C784" s="31"/>
      <c r="D784" s="31"/>
      <c r="E784" s="31"/>
    </row>
    <row r="785">
      <c r="A785" s="31"/>
      <c r="B785" s="31"/>
      <c r="C785" s="31"/>
      <c r="D785" s="31"/>
      <c r="E785" s="31"/>
    </row>
    <row r="786">
      <c r="A786" s="31"/>
      <c r="B786" s="31"/>
      <c r="C786" s="31"/>
      <c r="D786" s="31"/>
      <c r="E786" s="31"/>
    </row>
    <row r="787">
      <c r="A787" s="31"/>
      <c r="B787" s="31"/>
      <c r="C787" s="31"/>
      <c r="D787" s="31"/>
      <c r="E787" s="31"/>
    </row>
    <row r="788">
      <c r="A788" s="31"/>
      <c r="B788" s="31"/>
      <c r="C788" s="31"/>
      <c r="D788" s="31"/>
      <c r="E788" s="31"/>
    </row>
    <row r="789">
      <c r="A789" s="31"/>
      <c r="B789" s="31"/>
      <c r="C789" s="31"/>
      <c r="D789" s="31"/>
      <c r="E789" s="31"/>
    </row>
    <row r="790">
      <c r="A790" s="31"/>
      <c r="B790" s="31"/>
      <c r="C790" s="31"/>
      <c r="D790" s="31"/>
      <c r="E790" s="31"/>
    </row>
    <row r="791">
      <c r="A791" s="31"/>
      <c r="B791" s="31"/>
      <c r="C791" s="31"/>
      <c r="D791" s="31"/>
      <c r="E791" s="31"/>
    </row>
    <row r="792">
      <c r="A792" s="31"/>
      <c r="B792" s="31"/>
      <c r="C792" s="31"/>
      <c r="D792" s="31"/>
      <c r="E792" s="31"/>
    </row>
    <row r="793">
      <c r="A793" s="31"/>
      <c r="B793" s="31"/>
      <c r="C793" s="31"/>
      <c r="D793" s="31"/>
      <c r="E793" s="31"/>
    </row>
    <row r="794">
      <c r="A794" s="31"/>
      <c r="B794" s="31"/>
      <c r="C794" s="31"/>
      <c r="D794" s="31"/>
      <c r="E794" s="31"/>
    </row>
    <row r="795">
      <c r="A795" s="31"/>
      <c r="B795" s="31"/>
      <c r="C795" s="31"/>
      <c r="D795" s="31"/>
      <c r="E795" s="31"/>
    </row>
    <row r="796">
      <c r="A796" s="31"/>
      <c r="B796" s="31"/>
      <c r="C796" s="31"/>
      <c r="D796" s="31"/>
      <c r="E796" s="31"/>
    </row>
    <row r="797">
      <c r="A797" s="31"/>
      <c r="B797" s="31"/>
      <c r="C797" s="31"/>
      <c r="D797" s="31"/>
      <c r="E797" s="31"/>
    </row>
    <row r="798">
      <c r="A798" s="31"/>
      <c r="B798" s="31"/>
      <c r="C798" s="31"/>
      <c r="D798" s="31"/>
      <c r="E798" s="31"/>
    </row>
    <row r="799">
      <c r="A799" s="31"/>
      <c r="B799" s="31"/>
      <c r="C799" s="31"/>
      <c r="D799" s="31"/>
      <c r="E799" s="31"/>
    </row>
    <row r="800">
      <c r="A800" s="31"/>
      <c r="B800" s="31"/>
      <c r="C800" s="31"/>
      <c r="D800" s="31"/>
      <c r="E800" s="31"/>
    </row>
    <row r="801">
      <c r="A801" s="31"/>
      <c r="B801" s="31"/>
      <c r="C801" s="31"/>
      <c r="D801" s="31"/>
      <c r="E801" s="31"/>
    </row>
    <row r="802">
      <c r="A802" s="31"/>
      <c r="B802" s="31"/>
      <c r="C802" s="31"/>
      <c r="D802" s="31"/>
      <c r="E802" s="31"/>
    </row>
    <row r="803">
      <c r="A803" s="31"/>
      <c r="B803" s="31"/>
      <c r="C803" s="31"/>
      <c r="D803" s="31"/>
      <c r="E803" s="31"/>
    </row>
    <row r="804">
      <c r="A804" s="31"/>
      <c r="B804" s="31"/>
      <c r="C804" s="31"/>
      <c r="D804" s="31"/>
      <c r="E804" s="31"/>
    </row>
    <row r="805">
      <c r="A805" s="31"/>
      <c r="B805" s="31"/>
      <c r="C805" s="31"/>
      <c r="D805" s="31"/>
      <c r="E805" s="31"/>
    </row>
    <row r="806">
      <c r="A806" s="31"/>
      <c r="B806" s="31"/>
      <c r="C806" s="31"/>
      <c r="D806" s="31"/>
      <c r="E806" s="31"/>
    </row>
    <row r="807">
      <c r="A807" s="31"/>
      <c r="B807" s="31"/>
      <c r="C807" s="31"/>
      <c r="D807" s="31"/>
      <c r="E807" s="31"/>
    </row>
    <row r="808">
      <c r="A808" s="31"/>
      <c r="B808" s="31"/>
      <c r="C808" s="31"/>
      <c r="D808" s="31"/>
      <c r="E808" s="31"/>
    </row>
    <row r="809">
      <c r="A809" s="31"/>
      <c r="B809" s="31"/>
      <c r="C809" s="31"/>
      <c r="D809" s="31"/>
      <c r="E809" s="31"/>
    </row>
    <row r="810">
      <c r="A810" s="31"/>
      <c r="B810" s="31"/>
      <c r="C810" s="31"/>
      <c r="D810" s="31"/>
      <c r="E810" s="31"/>
    </row>
    <row r="811">
      <c r="A811" s="31"/>
      <c r="B811" s="31"/>
      <c r="C811" s="31"/>
      <c r="D811" s="31"/>
      <c r="E811" s="31"/>
    </row>
    <row r="812">
      <c r="A812" s="31"/>
      <c r="B812" s="31"/>
      <c r="C812" s="31"/>
      <c r="D812" s="31"/>
      <c r="E812" s="31"/>
    </row>
    <row r="813">
      <c r="A813" s="31"/>
      <c r="B813" s="31"/>
      <c r="C813" s="31"/>
      <c r="D813" s="31"/>
      <c r="E813" s="31"/>
    </row>
    <row r="814">
      <c r="A814" s="31"/>
      <c r="B814" s="31"/>
      <c r="C814" s="31"/>
      <c r="D814" s="31"/>
      <c r="E814" s="31"/>
    </row>
    <row r="815">
      <c r="A815" s="31"/>
      <c r="B815" s="31"/>
      <c r="C815" s="31"/>
      <c r="D815" s="31"/>
      <c r="E815" s="31"/>
    </row>
    <row r="816">
      <c r="A816" s="31"/>
      <c r="B816" s="31"/>
      <c r="C816" s="31"/>
      <c r="D816" s="31"/>
      <c r="E816" s="31"/>
    </row>
    <row r="817">
      <c r="A817" s="31"/>
      <c r="B817" s="31"/>
      <c r="C817" s="31"/>
      <c r="D817" s="31"/>
      <c r="E817" s="31"/>
    </row>
    <row r="818">
      <c r="A818" s="31"/>
      <c r="B818" s="31"/>
      <c r="C818" s="31"/>
      <c r="D818" s="31"/>
      <c r="E818" s="31"/>
    </row>
    <row r="819">
      <c r="A819" s="31"/>
      <c r="B819" s="31"/>
      <c r="C819" s="31"/>
      <c r="D819" s="31"/>
      <c r="E819" s="31"/>
    </row>
    <row r="820">
      <c r="A820" s="31"/>
      <c r="B820" s="31"/>
      <c r="C820" s="31"/>
      <c r="D820" s="31"/>
      <c r="E820" s="31"/>
    </row>
    <row r="821">
      <c r="A821" s="31"/>
      <c r="B821" s="31"/>
      <c r="C821" s="31"/>
      <c r="D821" s="31"/>
      <c r="E821" s="31"/>
    </row>
    <row r="822">
      <c r="A822" s="31"/>
      <c r="B822" s="31"/>
      <c r="C822" s="31"/>
      <c r="D822" s="31"/>
      <c r="E822" s="31"/>
    </row>
    <row r="823">
      <c r="A823" s="31"/>
      <c r="B823" s="31"/>
      <c r="C823" s="31"/>
      <c r="D823" s="31"/>
      <c r="E823" s="31"/>
    </row>
    <row r="824">
      <c r="A824" s="31"/>
      <c r="B824" s="31"/>
      <c r="C824" s="31"/>
      <c r="D824" s="31"/>
      <c r="E824" s="31"/>
    </row>
    <row r="825">
      <c r="A825" s="31"/>
      <c r="B825" s="31"/>
      <c r="C825" s="31"/>
      <c r="D825" s="31"/>
      <c r="E825" s="31"/>
    </row>
    <row r="826">
      <c r="A826" s="31"/>
      <c r="B826" s="31"/>
      <c r="C826" s="31"/>
      <c r="D826" s="31"/>
      <c r="E826" s="31"/>
    </row>
    <row r="827">
      <c r="A827" s="31"/>
      <c r="B827" s="31"/>
      <c r="C827" s="31"/>
      <c r="D827" s="31"/>
      <c r="E827" s="31"/>
    </row>
    <row r="828">
      <c r="A828" s="31"/>
      <c r="B828" s="31"/>
      <c r="C828" s="31"/>
      <c r="D828" s="31"/>
      <c r="E828" s="31"/>
    </row>
    <row r="829">
      <c r="A829" s="31"/>
      <c r="B829" s="31"/>
      <c r="C829" s="31"/>
      <c r="D829" s="31"/>
      <c r="E829" s="31"/>
    </row>
    <row r="830">
      <c r="A830" s="31"/>
      <c r="B830" s="31"/>
      <c r="C830" s="31"/>
      <c r="D830" s="31"/>
      <c r="E830" s="31"/>
    </row>
    <row r="831">
      <c r="A831" s="31"/>
      <c r="B831" s="31"/>
      <c r="C831" s="31"/>
      <c r="D831" s="31"/>
      <c r="E831" s="31"/>
    </row>
    <row r="832">
      <c r="A832" s="31"/>
      <c r="B832" s="31"/>
      <c r="C832" s="31"/>
      <c r="D832" s="31"/>
      <c r="E832" s="31"/>
    </row>
    <row r="833">
      <c r="A833" s="31"/>
      <c r="B833" s="31"/>
      <c r="C833" s="31"/>
      <c r="D833" s="31"/>
      <c r="E833" s="31"/>
    </row>
    <row r="834">
      <c r="A834" s="31"/>
      <c r="B834" s="31"/>
      <c r="C834" s="31"/>
      <c r="D834" s="31"/>
      <c r="E834" s="31"/>
    </row>
    <row r="835">
      <c r="A835" s="31"/>
      <c r="B835" s="31"/>
      <c r="C835" s="31"/>
      <c r="D835" s="31"/>
      <c r="E835" s="31"/>
    </row>
    <row r="836">
      <c r="A836" s="31"/>
      <c r="B836" s="31"/>
      <c r="C836" s="31"/>
      <c r="D836" s="31"/>
      <c r="E836" s="31"/>
    </row>
    <row r="837">
      <c r="A837" s="31"/>
      <c r="B837" s="31"/>
      <c r="C837" s="31"/>
      <c r="D837" s="31"/>
      <c r="E837" s="31"/>
    </row>
    <row r="838">
      <c r="A838" s="31"/>
      <c r="B838" s="31"/>
      <c r="C838" s="31"/>
      <c r="D838" s="31"/>
      <c r="E838" s="31"/>
    </row>
    <row r="839">
      <c r="A839" s="31"/>
      <c r="B839" s="31"/>
      <c r="C839" s="31"/>
      <c r="D839" s="31"/>
      <c r="E839" s="31"/>
    </row>
    <row r="840">
      <c r="A840" s="31"/>
      <c r="B840" s="31"/>
      <c r="C840" s="31"/>
      <c r="D840" s="31"/>
      <c r="E840" s="31"/>
    </row>
    <row r="841">
      <c r="A841" s="31"/>
      <c r="B841" s="31"/>
      <c r="C841" s="31"/>
      <c r="D841" s="31"/>
      <c r="E841" s="31"/>
    </row>
    <row r="842">
      <c r="A842" s="31"/>
      <c r="B842" s="31"/>
      <c r="C842" s="31"/>
      <c r="D842" s="31"/>
      <c r="E842" s="31"/>
    </row>
    <row r="843">
      <c r="A843" s="31"/>
      <c r="B843" s="31"/>
      <c r="C843" s="31"/>
      <c r="D843" s="31"/>
      <c r="E843" s="31"/>
    </row>
    <row r="844">
      <c r="A844" s="31"/>
      <c r="B844" s="31"/>
      <c r="C844" s="31"/>
      <c r="D844" s="31"/>
      <c r="E844" s="31"/>
    </row>
    <row r="845">
      <c r="A845" s="31"/>
      <c r="B845" s="31"/>
      <c r="C845" s="31"/>
      <c r="D845" s="31"/>
      <c r="E845" s="31"/>
    </row>
    <row r="846">
      <c r="A846" s="31"/>
      <c r="B846" s="31"/>
      <c r="C846" s="31"/>
      <c r="D846" s="31"/>
      <c r="E846" s="31"/>
    </row>
    <row r="847">
      <c r="A847" s="31"/>
      <c r="B847" s="31"/>
      <c r="C847" s="31"/>
      <c r="D847" s="31"/>
      <c r="E847" s="31"/>
    </row>
    <row r="848">
      <c r="A848" s="31"/>
      <c r="B848" s="31"/>
      <c r="C848" s="31"/>
      <c r="D848" s="31"/>
      <c r="E848" s="31"/>
    </row>
    <row r="849">
      <c r="A849" s="31"/>
      <c r="B849" s="31"/>
      <c r="C849" s="31"/>
      <c r="D849" s="31"/>
      <c r="E849" s="31"/>
    </row>
    <row r="850">
      <c r="A850" s="31"/>
      <c r="B850" s="31"/>
      <c r="C850" s="31"/>
      <c r="D850" s="31"/>
      <c r="E850" s="31"/>
    </row>
    <row r="851">
      <c r="A851" s="31"/>
      <c r="B851" s="31"/>
      <c r="C851" s="31"/>
      <c r="D851" s="31"/>
      <c r="E851" s="31"/>
    </row>
    <row r="852">
      <c r="A852" s="31"/>
      <c r="B852" s="31"/>
      <c r="C852" s="31"/>
      <c r="D852" s="31"/>
      <c r="E852" s="31"/>
    </row>
    <row r="853">
      <c r="A853" s="31"/>
      <c r="B853" s="31"/>
      <c r="C853" s="31"/>
      <c r="D853" s="31"/>
      <c r="E853" s="31"/>
    </row>
    <row r="854">
      <c r="A854" s="31"/>
      <c r="B854" s="31"/>
      <c r="C854" s="31"/>
      <c r="D854" s="31"/>
      <c r="E854" s="31"/>
    </row>
    <row r="855">
      <c r="A855" s="31"/>
      <c r="B855" s="31"/>
      <c r="C855" s="31"/>
      <c r="D855" s="31"/>
      <c r="E855" s="31"/>
    </row>
    <row r="856">
      <c r="A856" s="31"/>
      <c r="B856" s="31"/>
      <c r="C856" s="31"/>
      <c r="D856" s="31"/>
      <c r="E856" s="31"/>
    </row>
    <row r="857">
      <c r="A857" s="31"/>
      <c r="B857" s="31"/>
      <c r="C857" s="31"/>
      <c r="D857" s="31"/>
      <c r="E857" s="31"/>
    </row>
    <row r="858">
      <c r="A858" s="31"/>
      <c r="B858" s="31"/>
      <c r="C858" s="31"/>
      <c r="D858" s="31"/>
      <c r="E858" s="31"/>
    </row>
    <row r="859">
      <c r="A859" s="31"/>
      <c r="B859" s="31"/>
      <c r="C859" s="31"/>
      <c r="D859" s="31"/>
      <c r="E859" s="31"/>
    </row>
    <row r="860">
      <c r="A860" s="31"/>
      <c r="B860" s="31"/>
      <c r="C860" s="31"/>
      <c r="D860" s="31"/>
      <c r="E860" s="31"/>
    </row>
    <row r="861">
      <c r="A861" s="31"/>
      <c r="B861" s="31"/>
      <c r="C861" s="31"/>
      <c r="D861" s="31"/>
      <c r="E861" s="31"/>
    </row>
    <row r="862">
      <c r="A862" s="31"/>
      <c r="B862" s="31"/>
      <c r="C862" s="31"/>
      <c r="D862" s="31"/>
      <c r="E862" s="31"/>
    </row>
    <row r="863">
      <c r="A863" s="31"/>
      <c r="B863" s="31"/>
      <c r="C863" s="31"/>
      <c r="D863" s="31"/>
      <c r="E863" s="31"/>
    </row>
    <row r="864">
      <c r="A864" s="31"/>
      <c r="B864" s="31"/>
      <c r="C864" s="31"/>
      <c r="D864" s="31"/>
      <c r="E864" s="31"/>
    </row>
    <row r="865">
      <c r="A865" s="31"/>
      <c r="B865" s="31"/>
      <c r="C865" s="31"/>
      <c r="D865" s="31"/>
      <c r="E865" s="31"/>
    </row>
    <row r="866">
      <c r="A866" s="31"/>
      <c r="B866" s="31"/>
      <c r="C866" s="31"/>
      <c r="D866" s="31"/>
      <c r="E866" s="31"/>
    </row>
    <row r="867">
      <c r="A867" s="31"/>
      <c r="B867" s="31"/>
      <c r="C867" s="31"/>
      <c r="D867" s="31"/>
      <c r="E867" s="31"/>
    </row>
    <row r="868">
      <c r="A868" s="31"/>
      <c r="B868" s="31"/>
      <c r="C868" s="31"/>
      <c r="D868" s="31"/>
      <c r="E868" s="31"/>
    </row>
    <row r="869">
      <c r="A869" s="31"/>
      <c r="B869" s="31"/>
      <c r="C869" s="31"/>
      <c r="D869" s="31"/>
      <c r="E869" s="31"/>
    </row>
    <row r="870">
      <c r="A870" s="31"/>
      <c r="B870" s="31"/>
      <c r="C870" s="31"/>
      <c r="D870" s="31"/>
      <c r="E870" s="31"/>
    </row>
    <row r="871">
      <c r="A871" s="31"/>
      <c r="B871" s="31"/>
      <c r="C871" s="31"/>
      <c r="D871" s="31"/>
      <c r="E871" s="31"/>
    </row>
    <row r="872">
      <c r="A872" s="31"/>
      <c r="B872" s="31"/>
      <c r="C872" s="31"/>
      <c r="D872" s="31"/>
      <c r="E872" s="31"/>
    </row>
    <row r="873">
      <c r="A873" s="31"/>
      <c r="B873" s="31"/>
      <c r="C873" s="31"/>
      <c r="D873" s="31"/>
      <c r="E873" s="31"/>
    </row>
    <row r="874">
      <c r="A874" s="31"/>
      <c r="B874" s="31"/>
      <c r="C874" s="31"/>
      <c r="D874" s="31"/>
      <c r="E874" s="31"/>
    </row>
    <row r="875">
      <c r="A875" s="31"/>
      <c r="B875" s="31"/>
      <c r="C875" s="31"/>
      <c r="D875" s="31"/>
      <c r="E875" s="31"/>
    </row>
    <row r="876">
      <c r="A876" s="31"/>
      <c r="B876" s="31"/>
      <c r="C876" s="31"/>
      <c r="D876" s="31"/>
      <c r="E876" s="31"/>
    </row>
    <row r="877">
      <c r="A877" s="31"/>
      <c r="B877" s="31"/>
      <c r="C877" s="31"/>
      <c r="D877" s="31"/>
      <c r="E877" s="31"/>
    </row>
    <row r="878">
      <c r="A878" s="31"/>
      <c r="B878" s="31"/>
      <c r="C878" s="31"/>
      <c r="D878" s="31"/>
      <c r="E878" s="31"/>
    </row>
    <row r="879">
      <c r="A879" s="31"/>
      <c r="B879" s="31"/>
      <c r="C879" s="31"/>
      <c r="D879" s="31"/>
      <c r="E879" s="31"/>
    </row>
    <row r="880">
      <c r="A880" s="31"/>
      <c r="B880" s="31"/>
      <c r="C880" s="31"/>
      <c r="D880" s="31"/>
      <c r="E880" s="31"/>
    </row>
    <row r="881">
      <c r="A881" s="31"/>
      <c r="B881" s="31"/>
      <c r="C881" s="31"/>
      <c r="D881" s="31"/>
      <c r="E881" s="31"/>
    </row>
    <row r="882">
      <c r="A882" s="31"/>
      <c r="B882" s="31"/>
      <c r="C882" s="31"/>
      <c r="D882" s="31"/>
      <c r="E882" s="31"/>
    </row>
    <row r="883">
      <c r="A883" s="31"/>
      <c r="B883" s="31"/>
      <c r="C883" s="31"/>
      <c r="D883" s="31"/>
      <c r="E883" s="31"/>
    </row>
    <row r="884">
      <c r="A884" s="31"/>
      <c r="B884" s="31"/>
      <c r="C884" s="31"/>
      <c r="D884" s="31"/>
      <c r="E884" s="31"/>
    </row>
    <row r="885">
      <c r="A885" s="31"/>
      <c r="B885" s="31"/>
      <c r="C885" s="31"/>
      <c r="D885" s="31"/>
      <c r="E885" s="31"/>
    </row>
    <row r="886">
      <c r="A886" s="31"/>
      <c r="B886" s="31"/>
      <c r="C886" s="31"/>
      <c r="D886" s="31"/>
      <c r="E886" s="31"/>
    </row>
    <row r="887">
      <c r="A887" s="31"/>
      <c r="B887" s="31"/>
      <c r="C887" s="31"/>
      <c r="D887" s="31"/>
      <c r="E887" s="31"/>
    </row>
    <row r="888">
      <c r="A888" s="31"/>
      <c r="B888" s="31"/>
      <c r="C888" s="31"/>
      <c r="D888" s="31"/>
      <c r="E888" s="31"/>
    </row>
    <row r="889">
      <c r="A889" s="31"/>
      <c r="B889" s="31"/>
      <c r="C889" s="31"/>
      <c r="D889" s="31"/>
      <c r="E889" s="31"/>
    </row>
    <row r="890">
      <c r="A890" s="31"/>
      <c r="B890" s="31"/>
      <c r="C890" s="31"/>
      <c r="D890" s="31"/>
      <c r="E890" s="31"/>
    </row>
    <row r="891">
      <c r="A891" s="31"/>
      <c r="B891" s="31"/>
      <c r="C891" s="31"/>
      <c r="D891" s="31"/>
      <c r="E891" s="31"/>
    </row>
    <row r="892">
      <c r="A892" s="31"/>
      <c r="B892" s="31"/>
      <c r="C892" s="31"/>
      <c r="D892" s="31"/>
      <c r="E892" s="31"/>
    </row>
    <row r="893">
      <c r="A893" s="31"/>
      <c r="B893" s="31"/>
      <c r="C893" s="31"/>
      <c r="D893" s="31"/>
      <c r="E893" s="31"/>
    </row>
    <row r="894">
      <c r="A894" s="31"/>
      <c r="B894" s="31"/>
      <c r="C894" s="31"/>
      <c r="D894" s="31"/>
      <c r="E894" s="31"/>
    </row>
    <row r="895">
      <c r="A895" s="31"/>
      <c r="B895" s="31"/>
      <c r="C895" s="31"/>
      <c r="D895" s="31"/>
      <c r="E895" s="31"/>
    </row>
    <row r="896">
      <c r="A896" s="31"/>
      <c r="B896" s="31"/>
      <c r="C896" s="31"/>
      <c r="D896" s="31"/>
      <c r="E896" s="31"/>
    </row>
    <row r="897">
      <c r="A897" s="31"/>
      <c r="B897" s="31"/>
      <c r="C897" s="31"/>
      <c r="D897" s="31"/>
      <c r="E897" s="31"/>
    </row>
    <row r="898">
      <c r="A898" s="31"/>
      <c r="B898" s="31"/>
      <c r="C898" s="31"/>
      <c r="D898" s="31"/>
      <c r="E898" s="31"/>
    </row>
    <row r="899">
      <c r="A899" s="31"/>
      <c r="B899" s="31"/>
      <c r="C899" s="31"/>
      <c r="D899" s="31"/>
      <c r="E899" s="31"/>
    </row>
    <row r="900">
      <c r="A900" s="31"/>
      <c r="B900" s="31"/>
      <c r="C900" s="31"/>
      <c r="D900" s="31"/>
      <c r="E900" s="31"/>
    </row>
    <row r="901">
      <c r="A901" s="31"/>
      <c r="B901" s="31"/>
      <c r="C901" s="31"/>
      <c r="D901" s="31"/>
      <c r="E901" s="31"/>
    </row>
    <row r="902">
      <c r="A902" s="31"/>
      <c r="B902" s="31"/>
      <c r="C902" s="31"/>
      <c r="D902" s="31"/>
      <c r="E902" s="31"/>
    </row>
    <row r="903">
      <c r="A903" s="31"/>
      <c r="B903" s="31"/>
      <c r="C903" s="31"/>
      <c r="D903" s="31"/>
      <c r="E903" s="31"/>
    </row>
    <row r="904">
      <c r="A904" s="31"/>
      <c r="B904" s="31"/>
      <c r="C904" s="31"/>
      <c r="D904" s="31"/>
      <c r="E904" s="31"/>
    </row>
    <row r="905">
      <c r="A905" s="31"/>
      <c r="B905" s="31"/>
      <c r="C905" s="31"/>
      <c r="D905" s="31"/>
      <c r="E905" s="31"/>
    </row>
    <row r="906">
      <c r="A906" s="31"/>
      <c r="B906" s="31"/>
      <c r="C906" s="31"/>
      <c r="D906" s="31"/>
      <c r="E906" s="31"/>
    </row>
    <row r="907">
      <c r="A907" s="31"/>
      <c r="B907" s="31"/>
      <c r="C907" s="31"/>
      <c r="D907" s="31"/>
      <c r="E907" s="31"/>
    </row>
    <row r="908">
      <c r="A908" s="31"/>
      <c r="B908" s="31"/>
      <c r="C908" s="31"/>
      <c r="D908" s="31"/>
      <c r="E908" s="31"/>
    </row>
    <row r="909">
      <c r="A909" s="31"/>
      <c r="B909" s="31"/>
      <c r="C909" s="31"/>
      <c r="D909" s="31"/>
      <c r="E909" s="31"/>
    </row>
    <row r="910">
      <c r="A910" s="31"/>
      <c r="B910" s="31"/>
      <c r="C910" s="31"/>
      <c r="D910" s="31"/>
      <c r="E910" s="31"/>
    </row>
    <row r="911">
      <c r="A911" s="31"/>
      <c r="B911" s="31"/>
      <c r="C911" s="31"/>
      <c r="D911" s="31"/>
      <c r="E911" s="31"/>
    </row>
    <row r="912">
      <c r="A912" s="31"/>
      <c r="B912" s="31"/>
      <c r="C912" s="31"/>
      <c r="D912" s="31"/>
      <c r="E912" s="31"/>
    </row>
    <row r="913">
      <c r="A913" s="31"/>
      <c r="B913" s="31"/>
      <c r="C913" s="31"/>
      <c r="D913" s="31"/>
      <c r="E913" s="31"/>
    </row>
    <row r="914">
      <c r="A914" s="31"/>
      <c r="B914" s="31"/>
      <c r="C914" s="31"/>
      <c r="D914" s="31"/>
      <c r="E914" s="31"/>
    </row>
    <row r="915">
      <c r="A915" s="31"/>
      <c r="B915" s="31"/>
      <c r="C915" s="31"/>
      <c r="D915" s="31"/>
      <c r="E915" s="31"/>
    </row>
    <row r="916">
      <c r="A916" s="31"/>
      <c r="B916" s="31"/>
      <c r="C916" s="31"/>
      <c r="D916" s="31"/>
      <c r="E916" s="31"/>
    </row>
    <row r="917">
      <c r="A917" s="31"/>
      <c r="B917" s="31"/>
      <c r="C917" s="31"/>
      <c r="D917" s="31"/>
      <c r="E917" s="31"/>
    </row>
    <row r="918">
      <c r="A918" s="31"/>
      <c r="B918" s="31"/>
      <c r="C918" s="31"/>
      <c r="D918" s="31"/>
      <c r="E918" s="31"/>
    </row>
    <row r="919">
      <c r="A919" s="31"/>
      <c r="B919" s="31"/>
      <c r="C919" s="31"/>
      <c r="D919" s="31"/>
      <c r="E919" s="31"/>
    </row>
    <row r="920">
      <c r="A920" s="31"/>
      <c r="B920" s="31"/>
      <c r="C920" s="31"/>
      <c r="D920" s="31"/>
      <c r="E920" s="31"/>
    </row>
    <row r="921">
      <c r="A921" s="31"/>
      <c r="B921" s="31"/>
      <c r="C921" s="31"/>
      <c r="D921" s="31"/>
      <c r="E921" s="31"/>
    </row>
    <row r="922">
      <c r="A922" s="31"/>
      <c r="B922" s="31"/>
      <c r="C922" s="31"/>
      <c r="D922" s="31"/>
      <c r="E922" s="31"/>
    </row>
    <row r="923">
      <c r="A923" s="31"/>
      <c r="B923" s="31"/>
      <c r="C923" s="31"/>
      <c r="D923" s="31"/>
      <c r="E923" s="31"/>
    </row>
    <row r="924">
      <c r="A924" s="31"/>
      <c r="B924" s="31"/>
      <c r="C924" s="31"/>
      <c r="D924" s="31"/>
      <c r="E924" s="31"/>
    </row>
    <row r="925">
      <c r="A925" s="31"/>
      <c r="B925" s="31"/>
      <c r="C925" s="31"/>
      <c r="D925" s="31"/>
      <c r="E925" s="31"/>
    </row>
    <row r="926">
      <c r="A926" s="31"/>
      <c r="B926" s="31"/>
      <c r="C926" s="31"/>
      <c r="D926" s="31"/>
      <c r="E926" s="31"/>
    </row>
    <row r="927">
      <c r="A927" s="31"/>
      <c r="B927" s="31"/>
      <c r="C927" s="31"/>
      <c r="D927" s="31"/>
      <c r="E927" s="31"/>
    </row>
    <row r="928">
      <c r="A928" s="31"/>
      <c r="B928" s="31"/>
      <c r="C928" s="31"/>
      <c r="D928" s="31"/>
      <c r="E928" s="31"/>
    </row>
    <row r="929">
      <c r="A929" s="31"/>
      <c r="B929" s="31"/>
      <c r="C929" s="31"/>
      <c r="D929" s="31"/>
      <c r="E929" s="31"/>
    </row>
    <row r="930">
      <c r="A930" s="31"/>
      <c r="B930" s="31"/>
      <c r="C930" s="31"/>
      <c r="D930" s="31"/>
      <c r="E930" s="31"/>
    </row>
    <row r="931">
      <c r="A931" s="31"/>
      <c r="B931" s="31"/>
      <c r="C931" s="31"/>
      <c r="D931" s="31"/>
      <c r="E931" s="31"/>
    </row>
    <row r="932">
      <c r="A932" s="31"/>
      <c r="B932" s="31"/>
      <c r="C932" s="31"/>
      <c r="D932" s="31"/>
      <c r="E932" s="31"/>
    </row>
    <row r="933">
      <c r="A933" s="31"/>
      <c r="B933" s="31"/>
      <c r="C933" s="31"/>
      <c r="D933" s="31"/>
      <c r="E933" s="31"/>
    </row>
    <row r="934">
      <c r="A934" s="31"/>
      <c r="B934" s="31"/>
      <c r="C934" s="31"/>
      <c r="D934" s="31"/>
      <c r="E934" s="31"/>
    </row>
    <row r="935">
      <c r="A935" s="31"/>
      <c r="B935" s="31"/>
      <c r="C935" s="31"/>
      <c r="D935" s="31"/>
      <c r="E935" s="31"/>
    </row>
    <row r="936">
      <c r="A936" s="31"/>
      <c r="B936" s="31"/>
      <c r="C936" s="31"/>
      <c r="D936" s="31"/>
      <c r="E936" s="31"/>
    </row>
    <row r="937">
      <c r="A937" s="31"/>
      <c r="B937" s="31"/>
      <c r="C937" s="31"/>
      <c r="D937" s="31"/>
      <c r="E937" s="31"/>
    </row>
    <row r="938">
      <c r="A938" s="31"/>
      <c r="B938" s="31"/>
      <c r="C938" s="31"/>
      <c r="D938" s="31"/>
      <c r="E938" s="31"/>
    </row>
    <row r="939">
      <c r="A939" s="31"/>
      <c r="B939" s="31"/>
      <c r="C939" s="31"/>
      <c r="D939" s="31"/>
      <c r="E939" s="31"/>
    </row>
    <row r="940">
      <c r="A940" s="31"/>
      <c r="B940" s="31"/>
      <c r="C940" s="31"/>
      <c r="D940" s="31"/>
      <c r="E940" s="31"/>
    </row>
    <row r="941">
      <c r="A941" s="31"/>
      <c r="B941" s="31"/>
      <c r="C941" s="31"/>
      <c r="D941" s="31"/>
      <c r="E941" s="31"/>
    </row>
    <row r="942">
      <c r="A942" s="31"/>
      <c r="B942" s="31"/>
      <c r="C942" s="31"/>
      <c r="D942" s="31"/>
      <c r="E942" s="31"/>
    </row>
    <row r="943">
      <c r="A943" s="31"/>
      <c r="B943" s="31"/>
      <c r="C943" s="31"/>
      <c r="D943" s="31"/>
      <c r="E943" s="31"/>
    </row>
    <row r="944">
      <c r="A944" s="31"/>
      <c r="B944" s="31"/>
      <c r="C944" s="31"/>
      <c r="D944" s="31"/>
      <c r="E944" s="31"/>
    </row>
    <row r="945">
      <c r="A945" s="31"/>
      <c r="B945" s="31"/>
      <c r="C945" s="31"/>
      <c r="D945" s="31"/>
      <c r="E945" s="31"/>
    </row>
    <row r="946">
      <c r="A946" s="31"/>
      <c r="B946" s="31"/>
      <c r="C946" s="31"/>
      <c r="D946" s="31"/>
      <c r="E946" s="31"/>
    </row>
    <row r="947">
      <c r="A947" s="31"/>
      <c r="B947" s="31"/>
      <c r="C947" s="31"/>
      <c r="D947" s="31"/>
      <c r="E947" s="31"/>
    </row>
    <row r="948">
      <c r="A948" s="31"/>
      <c r="B948" s="31"/>
      <c r="C948" s="31"/>
      <c r="D948" s="31"/>
      <c r="E948" s="31"/>
    </row>
    <row r="949">
      <c r="A949" s="31"/>
      <c r="B949" s="31"/>
      <c r="C949" s="31"/>
      <c r="D949" s="31"/>
      <c r="E949" s="31"/>
    </row>
    <row r="950">
      <c r="A950" s="31"/>
      <c r="B950" s="31"/>
      <c r="C950" s="31"/>
      <c r="D950" s="31"/>
      <c r="E950" s="31"/>
    </row>
    <row r="951">
      <c r="A951" s="31"/>
      <c r="B951" s="31"/>
      <c r="C951" s="31"/>
      <c r="D951" s="31"/>
      <c r="E951" s="31"/>
    </row>
    <row r="952">
      <c r="A952" s="31"/>
      <c r="B952" s="31"/>
      <c r="C952" s="31"/>
      <c r="D952" s="31"/>
      <c r="E952" s="31"/>
    </row>
    <row r="953">
      <c r="A953" s="31"/>
      <c r="B953" s="31"/>
      <c r="C953" s="31"/>
      <c r="D953" s="31"/>
      <c r="E953" s="31"/>
    </row>
    <row r="954">
      <c r="A954" s="31"/>
      <c r="B954" s="31"/>
      <c r="C954" s="31"/>
      <c r="D954" s="31"/>
      <c r="E954" s="31"/>
    </row>
    <row r="955">
      <c r="A955" s="31"/>
      <c r="B955" s="31"/>
      <c r="C955" s="31"/>
      <c r="D955" s="31"/>
      <c r="E955" s="31"/>
    </row>
    <row r="956">
      <c r="A956" s="31"/>
      <c r="B956" s="31"/>
      <c r="C956" s="31"/>
      <c r="D956" s="31"/>
      <c r="E956" s="31"/>
    </row>
    <row r="957">
      <c r="A957" s="31"/>
      <c r="B957" s="31"/>
      <c r="C957" s="31"/>
      <c r="D957" s="31"/>
      <c r="E957" s="31"/>
    </row>
    <row r="958">
      <c r="A958" s="31"/>
      <c r="B958" s="31"/>
      <c r="C958" s="31"/>
      <c r="D958" s="31"/>
      <c r="E958" s="31"/>
    </row>
    <row r="959">
      <c r="A959" s="31"/>
      <c r="B959" s="31"/>
      <c r="C959" s="31"/>
      <c r="D959" s="31"/>
      <c r="E959" s="31"/>
    </row>
    <row r="960">
      <c r="A960" s="31"/>
      <c r="B960" s="31"/>
      <c r="C960" s="31"/>
      <c r="D960" s="31"/>
      <c r="E960" s="31"/>
    </row>
    <row r="961">
      <c r="A961" s="31"/>
      <c r="B961" s="31"/>
      <c r="C961" s="31"/>
      <c r="D961" s="31"/>
      <c r="E961" s="31"/>
    </row>
    <row r="962">
      <c r="A962" s="31"/>
      <c r="B962" s="31"/>
      <c r="C962" s="31"/>
      <c r="D962" s="31"/>
      <c r="E962" s="31"/>
    </row>
    <row r="963">
      <c r="A963" s="31"/>
      <c r="B963" s="31"/>
      <c r="C963" s="31"/>
      <c r="D963" s="31"/>
      <c r="E963" s="31"/>
    </row>
    <row r="964">
      <c r="A964" s="31"/>
      <c r="B964" s="31"/>
      <c r="C964" s="31"/>
      <c r="D964" s="31"/>
      <c r="E964" s="31"/>
    </row>
    <row r="965">
      <c r="A965" s="31"/>
      <c r="B965" s="31"/>
      <c r="C965" s="31"/>
      <c r="D965" s="31"/>
      <c r="E965" s="31"/>
    </row>
    <row r="966">
      <c r="A966" s="31"/>
      <c r="B966" s="31"/>
      <c r="C966" s="31"/>
      <c r="D966" s="31"/>
      <c r="E966" s="31"/>
    </row>
    <row r="967">
      <c r="A967" s="31"/>
      <c r="B967" s="31"/>
      <c r="C967" s="31"/>
      <c r="D967" s="31"/>
      <c r="E967" s="31"/>
    </row>
    <row r="968">
      <c r="A968" s="31"/>
      <c r="B968" s="31"/>
      <c r="C968" s="31"/>
      <c r="D968" s="31"/>
      <c r="E968" s="31"/>
    </row>
    <row r="969">
      <c r="A969" s="31"/>
      <c r="B969" s="31"/>
      <c r="C969" s="31"/>
      <c r="D969" s="31"/>
      <c r="E969" s="31"/>
    </row>
    <row r="970">
      <c r="A970" s="31"/>
      <c r="B970" s="31"/>
      <c r="C970" s="31"/>
      <c r="D970" s="31"/>
      <c r="E970" s="31"/>
    </row>
    <row r="971">
      <c r="A971" s="31"/>
      <c r="B971" s="31"/>
      <c r="C971" s="31"/>
      <c r="D971" s="31"/>
      <c r="E971" s="31"/>
    </row>
    <row r="972">
      <c r="A972" s="31"/>
      <c r="B972" s="31"/>
      <c r="C972" s="31"/>
      <c r="D972" s="31"/>
      <c r="E972" s="31"/>
    </row>
    <row r="973">
      <c r="A973" s="31"/>
      <c r="B973" s="31"/>
      <c r="C973" s="31"/>
      <c r="D973" s="31"/>
      <c r="E973" s="31"/>
    </row>
    <row r="974">
      <c r="A974" s="31"/>
      <c r="B974" s="31"/>
      <c r="C974" s="31"/>
      <c r="D974" s="31"/>
      <c r="E974" s="31"/>
    </row>
    <row r="975">
      <c r="A975" s="31"/>
      <c r="B975" s="31"/>
      <c r="C975" s="31"/>
      <c r="D975" s="31"/>
      <c r="E975" s="31"/>
    </row>
    <row r="976">
      <c r="A976" s="31"/>
      <c r="B976" s="31"/>
      <c r="C976" s="31"/>
      <c r="D976" s="31"/>
      <c r="E976" s="31"/>
    </row>
    <row r="977">
      <c r="A977" s="31"/>
      <c r="B977" s="31"/>
      <c r="C977" s="31"/>
      <c r="D977" s="31"/>
      <c r="E977" s="31"/>
    </row>
    <row r="978">
      <c r="A978" s="31"/>
      <c r="B978" s="31"/>
      <c r="C978" s="31"/>
      <c r="D978" s="31"/>
      <c r="E978" s="31"/>
    </row>
    <row r="979">
      <c r="A979" s="31"/>
      <c r="B979" s="31"/>
      <c r="C979" s="31"/>
      <c r="D979" s="31"/>
      <c r="E979" s="31"/>
    </row>
    <row r="980">
      <c r="A980" s="31"/>
      <c r="B980" s="31"/>
      <c r="C980" s="31"/>
      <c r="D980" s="31"/>
      <c r="E980" s="31"/>
    </row>
    <row r="981">
      <c r="A981" s="31"/>
      <c r="B981" s="31"/>
      <c r="C981" s="31"/>
      <c r="D981" s="31"/>
      <c r="E981" s="31"/>
    </row>
    <row r="982">
      <c r="A982" s="31"/>
      <c r="B982" s="31"/>
      <c r="C982" s="31"/>
      <c r="D982" s="31"/>
      <c r="E982" s="31"/>
    </row>
    <row r="983">
      <c r="A983" s="31"/>
      <c r="B983" s="31"/>
      <c r="C983" s="31"/>
      <c r="D983" s="31"/>
      <c r="E983" s="31"/>
    </row>
    <row r="984">
      <c r="A984" s="31"/>
      <c r="B984" s="31"/>
      <c r="C984" s="31"/>
      <c r="D984" s="31"/>
      <c r="E984" s="31"/>
    </row>
    <row r="985">
      <c r="A985" s="31"/>
      <c r="B985" s="31"/>
      <c r="C985" s="31"/>
      <c r="D985" s="31"/>
      <c r="E985" s="31"/>
    </row>
    <row r="986">
      <c r="A986" s="31"/>
      <c r="B986" s="31"/>
      <c r="C986" s="31"/>
      <c r="D986" s="31"/>
      <c r="E986" s="31"/>
    </row>
    <row r="987">
      <c r="A987" s="31"/>
      <c r="B987" s="31"/>
      <c r="C987" s="31"/>
      <c r="D987" s="31"/>
      <c r="E987" s="31"/>
    </row>
    <row r="988">
      <c r="A988" s="31"/>
      <c r="B988" s="31"/>
      <c r="C988" s="31"/>
      <c r="D988" s="31"/>
      <c r="E988" s="31"/>
    </row>
    <row r="989">
      <c r="A989" s="31"/>
      <c r="B989" s="31"/>
      <c r="C989" s="31"/>
      <c r="D989" s="31"/>
      <c r="E989" s="31"/>
    </row>
    <row r="990">
      <c r="A990" s="31"/>
      <c r="B990" s="31"/>
      <c r="C990" s="31"/>
      <c r="D990" s="31"/>
      <c r="E990" s="31"/>
    </row>
    <row r="991">
      <c r="A991" s="31"/>
      <c r="B991" s="31"/>
      <c r="C991" s="31"/>
      <c r="D991" s="31"/>
      <c r="E991" s="31"/>
    </row>
    <row r="992">
      <c r="A992" s="31"/>
      <c r="B992" s="31"/>
      <c r="C992" s="31"/>
      <c r="D992" s="31"/>
      <c r="E992" s="31"/>
    </row>
    <row r="993">
      <c r="A993" s="31"/>
      <c r="B993" s="31"/>
      <c r="C993" s="31"/>
      <c r="D993" s="31"/>
      <c r="E993" s="31"/>
    </row>
    <row r="994">
      <c r="A994" s="31"/>
      <c r="B994" s="31"/>
      <c r="C994" s="31"/>
      <c r="D994" s="31"/>
      <c r="E994" s="31"/>
    </row>
    <row r="995">
      <c r="A995" s="31"/>
      <c r="B995" s="31"/>
      <c r="C995" s="31"/>
      <c r="D995" s="31"/>
      <c r="E995" s="31"/>
    </row>
    <row r="996">
      <c r="A996" s="31"/>
      <c r="B996" s="31"/>
      <c r="C996" s="31"/>
      <c r="D996" s="31"/>
      <c r="E996" s="31"/>
    </row>
    <row r="997">
      <c r="A997" s="31"/>
      <c r="B997" s="31"/>
      <c r="C997" s="31"/>
      <c r="D997" s="31"/>
      <c r="E997" s="31"/>
    </row>
    <row r="998">
      <c r="A998" s="31"/>
      <c r="B998" s="31"/>
      <c r="C998" s="31"/>
      <c r="D998" s="31"/>
      <c r="E998" s="31"/>
    </row>
    <row r="999">
      <c r="A999" s="31"/>
      <c r="B999" s="31"/>
      <c r="C999" s="31"/>
      <c r="D999" s="31"/>
      <c r="E999" s="31"/>
    </row>
    <row r="1000">
      <c r="A1000" s="31"/>
      <c r="B1000" s="31"/>
      <c r="C1000" s="31"/>
      <c r="D1000" s="31"/>
      <c r="E1000" s="31"/>
    </row>
  </sheetData>
  <drawing r:id="rId1"/>
  <tableParts count="1">
    <tablePart r:id="rId3"/>
  </tableParts>
</worksheet>
</file>